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Laura\POWER BI\Treinamento\Analise pessoal financeira mes e ano - Copia\"/>
    </mc:Choice>
  </mc:AlternateContent>
  <xr:revisionPtr revIDLastSave="0" documentId="13_ncr:1_{12FDF297-A0C1-4732-BA55-096AEF4220D5}" xr6:coauthVersionLast="47" xr6:coauthVersionMax="47" xr10:uidLastSave="{00000000-0000-0000-0000-000000000000}"/>
  <bookViews>
    <workbookView xWindow="28680" yWindow="-120" windowWidth="20730" windowHeight="11040" activeTab="1" xr2:uid="{00000000-000D-0000-FFFF-FFFF00000000}"/>
  </bookViews>
  <sheets>
    <sheet name="2022" sheetId="1" r:id="rId1"/>
    <sheet name="202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9" i="4" l="1"/>
  <c r="Q32" i="1"/>
  <c r="Q31" i="1"/>
  <c r="Q32" i="4"/>
  <c r="Q31" i="4"/>
  <c r="Q63" i="4"/>
  <c r="Q62" i="4"/>
  <c r="Q61" i="4"/>
  <c r="Q60" i="4"/>
  <c r="Q58" i="4"/>
  <c r="Q57" i="4"/>
  <c r="Q56" i="4"/>
  <c r="Q55" i="4"/>
  <c r="Q54" i="4"/>
  <c r="Q53" i="4"/>
  <c r="Q52" i="4"/>
  <c r="Q51" i="4"/>
  <c r="Q50" i="4"/>
  <c r="Q49" i="4"/>
  <c r="Q48" i="4"/>
  <c r="Q47" i="4"/>
  <c r="Q46" i="4"/>
  <c r="Q45" i="4"/>
  <c r="Q44" i="4"/>
  <c r="Q43" i="4"/>
  <c r="Q42" i="4"/>
  <c r="Q41" i="4"/>
  <c r="Q40" i="4"/>
  <c r="Q39" i="4"/>
  <c r="Q38" i="4"/>
  <c r="Q37" i="4"/>
  <c r="Q33" i="4"/>
  <c r="Q30" i="4"/>
  <c r="Q29" i="4"/>
  <c r="Q28" i="4"/>
  <c r="Q27" i="4"/>
  <c r="Q26" i="4"/>
  <c r="Q25" i="4"/>
  <c r="Q24" i="4"/>
  <c r="Q23" i="4"/>
  <c r="Q22" i="4"/>
  <c r="Q21" i="4"/>
  <c r="Q20" i="4"/>
  <c r="O7" i="4"/>
  <c r="O17" i="4" s="1"/>
  <c r="O67" i="4" s="1"/>
  <c r="N7" i="4"/>
  <c r="M7" i="4"/>
  <c r="L7" i="4"/>
  <c r="L17" i="4" s="1"/>
  <c r="L67" i="4" s="1"/>
  <c r="K7" i="4"/>
  <c r="K17" i="4" s="1"/>
  <c r="K67" i="4" s="1"/>
  <c r="H92" i="4"/>
  <c r="G92" i="4"/>
  <c r="O87" i="4"/>
  <c r="N87" i="4"/>
  <c r="M87" i="4"/>
  <c r="L87" i="4"/>
  <c r="K87" i="4"/>
  <c r="J87" i="4"/>
  <c r="I87" i="4"/>
  <c r="H87" i="4"/>
  <c r="G87" i="4"/>
  <c r="F87" i="4"/>
  <c r="E87" i="4"/>
  <c r="D87" i="4"/>
  <c r="O71" i="4"/>
  <c r="N71" i="4"/>
  <c r="M71" i="4"/>
  <c r="L71" i="4"/>
  <c r="K71" i="4"/>
  <c r="J71" i="4"/>
  <c r="I71" i="4"/>
  <c r="H71" i="4"/>
  <c r="G71" i="4"/>
  <c r="F71" i="4"/>
  <c r="E71" i="4"/>
  <c r="D71" i="4"/>
  <c r="K64" i="4"/>
  <c r="D64" i="4"/>
  <c r="M64" i="4"/>
  <c r="J64" i="4"/>
  <c r="O64" i="4"/>
  <c r="L64" i="4"/>
  <c r="I64" i="4"/>
  <c r="H64" i="4"/>
  <c r="G64" i="4"/>
  <c r="F64" i="4"/>
  <c r="N64" i="4"/>
  <c r="N34" i="4"/>
  <c r="R29" i="4"/>
  <c r="R28" i="4"/>
  <c r="R27" i="4"/>
  <c r="M34" i="4"/>
  <c r="E34" i="4"/>
  <c r="R25" i="4"/>
  <c r="R24" i="4"/>
  <c r="R23" i="4"/>
  <c r="R22" i="4"/>
  <c r="J34" i="4"/>
  <c r="I34" i="4"/>
  <c r="H34" i="4"/>
  <c r="G34" i="4"/>
  <c r="R21" i="4"/>
  <c r="R20" i="4"/>
  <c r="O34" i="4"/>
  <c r="L34" i="4"/>
  <c r="G17" i="4"/>
  <c r="G67" i="4" s="1"/>
  <c r="E17" i="4"/>
  <c r="E67" i="4" s="1"/>
  <c r="R16" i="4"/>
  <c r="Q16" i="4"/>
  <c r="D17" i="4"/>
  <c r="D67" i="4" s="1"/>
  <c r="Q15" i="4"/>
  <c r="Q14" i="4"/>
  <c r="Q13" i="4"/>
  <c r="R12" i="4"/>
  <c r="Q12" i="4"/>
  <c r="R11" i="4"/>
  <c r="Q11" i="4"/>
  <c r="R10" i="4"/>
  <c r="M17" i="4"/>
  <c r="M67" i="4" s="1"/>
  <c r="J17" i="4"/>
  <c r="J67" i="4" s="1"/>
  <c r="Q10" i="4"/>
  <c r="R9" i="4"/>
  <c r="I17" i="4"/>
  <c r="I67" i="4" s="1"/>
  <c r="H17" i="4"/>
  <c r="H67" i="4" s="1"/>
  <c r="F17" i="4"/>
  <c r="F67" i="4" s="1"/>
  <c r="R8" i="4"/>
  <c r="N17" i="4"/>
  <c r="N67" i="4" s="1"/>
  <c r="R7" i="4"/>
  <c r="Q7" i="4"/>
  <c r="O32" i="1"/>
  <c r="J32" i="1"/>
  <c r="I32" i="1"/>
  <c r="G32" i="1"/>
  <c r="D34" i="1"/>
  <c r="N45" i="1"/>
  <c r="M45" i="1"/>
  <c r="Q45" i="1" s="1"/>
  <c r="M55" i="1"/>
  <c r="L55" i="1"/>
  <c r="K55" i="1"/>
  <c r="J55" i="1"/>
  <c r="I55" i="1"/>
  <c r="H55" i="1"/>
  <c r="G55" i="1"/>
  <c r="F55" i="1"/>
  <c r="E55" i="1"/>
  <c r="D55" i="1"/>
  <c r="O11" i="1"/>
  <c r="N11" i="1"/>
  <c r="M11" i="1"/>
  <c r="L11" i="1"/>
  <c r="H11" i="1"/>
  <c r="Q12" i="1"/>
  <c r="M10" i="1"/>
  <c r="L10" i="1"/>
  <c r="K10" i="1"/>
  <c r="J10" i="1"/>
  <c r="I10" i="1"/>
  <c r="F10" i="1"/>
  <c r="E10" i="1"/>
  <c r="Q13" i="1"/>
  <c r="Q15" i="1"/>
  <c r="Q14" i="1"/>
  <c r="Q49" i="1"/>
  <c r="Q41" i="1"/>
  <c r="O54" i="1"/>
  <c r="L54" i="1"/>
  <c r="J54" i="1"/>
  <c r="M51" i="1"/>
  <c r="E51" i="1"/>
  <c r="O29" i="1"/>
  <c r="M29" i="1"/>
  <c r="O30" i="1"/>
  <c r="N30" i="1"/>
  <c r="M30" i="1"/>
  <c r="L30" i="1"/>
  <c r="K30" i="1"/>
  <c r="J30" i="1"/>
  <c r="I30" i="1"/>
  <c r="H30" i="1"/>
  <c r="G30" i="1"/>
  <c r="F30" i="1"/>
  <c r="E30" i="1"/>
  <c r="D30" i="1"/>
  <c r="K24" i="1"/>
  <c r="L26" i="1"/>
  <c r="K26" i="1"/>
  <c r="J26" i="1"/>
  <c r="K8" i="1"/>
  <c r="L8" i="1"/>
  <c r="M8" i="1"/>
  <c r="N8" i="1"/>
  <c r="O8" i="1"/>
  <c r="H92" i="1"/>
  <c r="G92" i="1"/>
  <c r="O87" i="1"/>
  <c r="M87" i="1"/>
  <c r="L87" i="1"/>
  <c r="K87" i="1"/>
  <c r="J87" i="1"/>
  <c r="I87" i="1"/>
  <c r="H87" i="1"/>
  <c r="G87" i="1"/>
  <c r="F87" i="1"/>
  <c r="E87" i="1"/>
  <c r="D87" i="1"/>
  <c r="O71" i="1"/>
  <c r="N71" i="1"/>
  <c r="M71" i="1"/>
  <c r="L71" i="1"/>
  <c r="K71" i="1"/>
  <c r="J71" i="1"/>
  <c r="I71" i="1"/>
  <c r="H71" i="1"/>
  <c r="G71" i="1"/>
  <c r="F71" i="1"/>
  <c r="E71" i="1"/>
  <c r="D71" i="1"/>
  <c r="Q63" i="1"/>
  <c r="J62" i="1"/>
  <c r="H62" i="1"/>
  <c r="F62" i="1"/>
  <c r="E62" i="1"/>
  <c r="D62" i="1"/>
  <c r="Q61" i="1"/>
  <c r="O59" i="1"/>
  <c r="H59" i="1"/>
  <c r="G59" i="1"/>
  <c r="E59" i="1"/>
  <c r="Q58" i="1"/>
  <c r="O57" i="1"/>
  <c r="M57" i="1"/>
  <c r="L57" i="1"/>
  <c r="K57" i="1"/>
  <c r="J57" i="1"/>
  <c r="H57" i="1"/>
  <c r="G57" i="1"/>
  <c r="E57" i="1"/>
  <c r="N56" i="1"/>
  <c r="L56" i="1"/>
  <c r="K56" i="1"/>
  <c r="J56" i="1"/>
  <c r="I56" i="1"/>
  <c r="E56" i="1"/>
  <c r="O53" i="1"/>
  <c r="N53" i="1"/>
  <c r="M53" i="1"/>
  <c r="L53" i="1"/>
  <c r="J53" i="1"/>
  <c r="H53" i="1"/>
  <c r="F53" i="1"/>
  <c r="O52" i="1"/>
  <c r="M52" i="1"/>
  <c r="J52" i="1"/>
  <c r="I52" i="1"/>
  <c r="F52" i="1"/>
  <c r="Q50" i="1"/>
  <c r="L48" i="1"/>
  <c r="G48" i="1"/>
  <c r="Q47" i="1"/>
  <c r="O46" i="1"/>
  <c r="N46" i="1"/>
  <c r="M46" i="1"/>
  <c r="L46" i="1"/>
  <c r="J46" i="1"/>
  <c r="I46" i="1"/>
  <c r="H46" i="1"/>
  <c r="G46" i="1"/>
  <c r="F46" i="1"/>
  <c r="E46" i="1"/>
  <c r="D46" i="1"/>
  <c r="Q44" i="1"/>
  <c r="Q43" i="1"/>
  <c r="Q39" i="1"/>
  <c r="Q38" i="1"/>
  <c r="Q37" i="1"/>
  <c r="Q33" i="1"/>
  <c r="R29" i="1"/>
  <c r="R28" i="1"/>
  <c r="Q28" i="1"/>
  <c r="R27" i="1"/>
  <c r="O27" i="1"/>
  <c r="N27" i="1"/>
  <c r="M27" i="1"/>
  <c r="L27" i="1"/>
  <c r="K27" i="1"/>
  <c r="J27" i="1"/>
  <c r="I27" i="1"/>
  <c r="H27" i="1"/>
  <c r="G27" i="1"/>
  <c r="F27" i="1"/>
  <c r="E27" i="1"/>
  <c r="R25" i="1"/>
  <c r="Q25" i="1"/>
  <c r="R24" i="1"/>
  <c r="J24" i="1"/>
  <c r="I24" i="1"/>
  <c r="H24" i="1"/>
  <c r="G24" i="1"/>
  <c r="F24" i="1"/>
  <c r="E24" i="1"/>
  <c r="D24" i="1"/>
  <c r="R23" i="1"/>
  <c r="O23" i="1"/>
  <c r="N23" i="1"/>
  <c r="M23" i="1"/>
  <c r="L23" i="1"/>
  <c r="K23" i="1"/>
  <c r="J23" i="1"/>
  <c r="I23" i="1"/>
  <c r="H23" i="1"/>
  <c r="G23" i="1"/>
  <c r="F23" i="1"/>
  <c r="E23" i="1"/>
  <c r="D23" i="1"/>
  <c r="R22" i="1"/>
  <c r="O22" i="1"/>
  <c r="N22" i="1"/>
  <c r="L22" i="1"/>
  <c r="K22" i="1"/>
  <c r="J22" i="1"/>
  <c r="I22" i="1"/>
  <c r="H22" i="1"/>
  <c r="G22" i="1"/>
  <c r="F22" i="1"/>
  <c r="E22" i="1"/>
  <c r="D22" i="1"/>
  <c r="R21" i="1"/>
  <c r="Q21" i="1"/>
  <c r="R20" i="1"/>
  <c r="O20" i="1"/>
  <c r="N20" i="1"/>
  <c r="M20" i="1"/>
  <c r="L20" i="1"/>
  <c r="K20" i="1"/>
  <c r="R16" i="1"/>
  <c r="O16" i="1"/>
  <c r="K16" i="1"/>
  <c r="J16" i="1"/>
  <c r="I16" i="1"/>
  <c r="H16" i="1"/>
  <c r="D16" i="1"/>
  <c r="R12" i="1"/>
  <c r="R11" i="1"/>
  <c r="R10" i="1"/>
  <c r="G17" i="1"/>
  <c r="G67" i="1" s="1"/>
  <c r="R9" i="1"/>
  <c r="O9" i="1"/>
  <c r="N9" i="1"/>
  <c r="L9" i="1"/>
  <c r="K9" i="1"/>
  <c r="J9" i="1"/>
  <c r="I9" i="1"/>
  <c r="H9" i="1"/>
  <c r="F9" i="1"/>
  <c r="E9" i="1"/>
  <c r="D9" i="1"/>
  <c r="R8" i="1"/>
  <c r="R7" i="1"/>
  <c r="H68" i="4" l="1"/>
  <c r="H69" i="4" s="1"/>
  <c r="N68" i="4"/>
  <c r="N69" i="4" s="1"/>
  <c r="G68" i="4"/>
  <c r="G69" i="4" s="1"/>
  <c r="L68" i="4"/>
  <c r="L69" i="4" s="1"/>
  <c r="O68" i="4"/>
  <c r="O69" i="4" s="1"/>
  <c r="I68" i="4"/>
  <c r="I69" i="4" s="1"/>
  <c r="J68" i="4"/>
  <c r="J69" i="4" s="1"/>
  <c r="M68" i="4"/>
  <c r="M69" i="4" s="1"/>
  <c r="F34" i="4"/>
  <c r="F68" i="4" s="1"/>
  <c r="F69" i="4" s="1"/>
  <c r="E64" i="4"/>
  <c r="E68" i="4" s="1"/>
  <c r="E69" i="4" s="1"/>
  <c r="Q9" i="4"/>
  <c r="Q64" i="4"/>
  <c r="Q34" i="4"/>
  <c r="Q8" i="4"/>
  <c r="K34" i="4"/>
  <c r="K68" i="4" s="1"/>
  <c r="K69" i="4" s="1"/>
  <c r="D34" i="4"/>
  <c r="D68" i="4" s="1"/>
  <c r="D69" i="4" s="1"/>
  <c r="D70" i="4" s="1"/>
  <c r="D76" i="4" s="1"/>
  <c r="E4" i="4" s="1"/>
  <c r="F17" i="1"/>
  <c r="F67" i="1" s="1"/>
  <c r="Q51" i="1"/>
  <c r="Q11" i="1"/>
  <c r="E17" i="1"/>
  <c r="E67" i="1" s="1"/>
  <c r="O17" i="1"/>
  <c r="O67" i="1" s="1"/>
  <c r="Q55" i="1"/>
  <c r="I17" i="1"/>
  <c r="I67" i="1" s="1"/>
  <c r="Q48" i="1"/>
  <c r="L34" i="1"/>
  <c r="N64" i="1"/>
  <c r="Q26" i="1"/>
  <c r="Q29" i="1"/>
  <c r="H64" i="1"/>
  <c r="Q53" i="1"/>
  <c r="Q10" i="1"/>
  <c r="Q22" i="1"/>
  <c r="Q27" i="1"/>
  <c r="O34" i="1"/>
  <c r="H34" i="1"/>
  <c r="I34" i="1"/>
  <c r="Q52" i="1"/>
  <c r="Q30" i="1"/>
  <c r="Q9" i="1"/>
  <c r="E34" i="1"/>
  <c r="Q24" i="1"/>
  <c r="F64" i="1"/>
  <c r="Q56" i="1"/>
  <c r="Q59" i="1"/>
  <c r="Q62" i="1"/>
  <c r="G64" i="1"/>
  <c r="Q8" i="1"/>
  <c r="Q42" i="1"/>
  <c r="Q23" i="1"/>
  <c r="L17" i="1"/>
  <c r="L67" i="1" s="1"/>
  <c r="K64" i="1"/>
  <c r="D64" i="1"/>
  <c r="M64" i="1"/>
  <c r="Q57" i="1"/>
  <c r="Q54" i="1"/>
  <c r="Q16" i="1"/>
  <c r="H17" i="1"/>
  <c r="H67" i="1" s="1"/>
  <c r="M17" i="1"/>
  <c r="M67" i="1" s="1"/>
  <c r="J17" i="1"/>
  <c r="J67" i="1" s="1"/>
  <c r="J64" i="1"/>
  <c r="L64" i="1"/>
  <c r="E64" i="1"/>
  <c r="I64" i="1"/>
  <c r="O64" i="1"/>
  <c r="M34" i="1"/>
  <c r="F34" i="1"/>
  <c r="N34" i="1"/>
  <c r="K34" i="1"/>
  <c r="J34" i="1"/>
  <c r="N17" i="1"/>
  <c r="N67" i="1" s="1"/>
  <c r="K17" i="1"/>
  <c r="K67" i="1" s="1"/>
  <c r="Q40" i="1"/>
  <c r="Q60" i="1"/>
  <c r="G34" i="1"/>
  <c r="Q46" i="1"/>
  <c r="Q7" i="1"/>
  <c r="D17" i="1"/>
  <c r="D67" i="1" s="1"/>
  <c r="N87" i="1"/>
  <c r="Q20" i="1"/>
  <c r="Q17" i="4" l="1"/>
  <c r="E70" i="4"/>
  <c r="E76" i="4" s="1"/>
  <c r="F4" i="4" s="1"/>
  <c r="F70" i="4" s="1"/>
  <c r="F76" i="4" s="1"/>
  <c r="G4" i="4" s="1"/>
  <c r="G70" i="4" s="1"/>
  <c r="G76" i="4" s="1"/>
  <c r="H4" i="4" s="1"/>
  <c r="H70" i="4" s="1"/>
  <c r="H76" i="4" s="1"/>
  <c r="I4" i="4" s="1"/>
  <c r="I70" i="4" s="1"/>
  <c r="I76" i="4" s="1"/>
  <c r="J4" i="4" s="1"/>
  <c r="J70" i="4" s="1"/>
  <c r="J76" i="4" s="1"/>
  <c r="K4" i="4" s="1"/>
  <c r="K70" i="4" s="1"/>
  <c r="K76" i="4" s="1"/>
  <c r="L4" i="4" s="1"/>
  <c r="L70" i="4" s="1"/>
  <c r="L76" i="4" s="1"/>
  <c r="M4" i="4" s="1"/>
  <c r="M70" i="4" s="1"/>
  <c r="M76" i="4" s="1"/>
  <c r="N4" i="4" s="1"/>
  <c r="N70" i="4" s="1"/>
  <c r="N76" i="4" s="1"/>
  <c r="O4" i="4" s="1"/>
  <c r="O70" i="4" s="1"/>
  <c r="O76" i="4" s="1"/>
  <c r="N68" i="1"/>
  <c r="N69" i="1" s="1"/>
  <c r="H68" i="1"/>
  <c r="H69" i="1" s="1"/>
  <c r="Q17" i="1"/>
  <c r="L68" i="1"/>
  <c r="Q34" i="1"/>
  <c r="Q64" i="1"/>
  <c r="F68" i="1"/>
  <c r="F69" i="1" s="1"/>
  <c r="O68" i="1"/>
  <c r="O69" i="1" s="1"/>
  <c r="E68" i="1"/>
  <c r="E69" i="1" s="1"/>
  <c r="I68" i="1"/>
  <c r="I69" i="1" s="1"/>
  <c r="K68" i="1"/>
  <c r="K69" i="1" s="1"/>
  <c r="L69" i="1"/>
  <c r="D68" i="1"/>
  <c r="D69" i="1" s="1"/>
  <c r="D70" i="1" s="1"/>
  <c r="D76" i="1" s="1"/>
  <c r="E4" i="1" s="1"/>
  <c r="M68" i="1"/>
  <c r="M69" i="1" s="1"/>
  <c r="G68" i="1"/>
  <c r="G69" i="1" s="1"/>
  <c r="J68" i="1"/>
  <c r="J69" i="1" s="1"/>
  <c r="E70" i="1" l="1"/>
  <c r="E76" i="1"/>
  <c r="F4" i="1" l="1"/>
  <c r="F70" i="1" s="1"/>
  <c r="F76" i="1" s="1"/>
  <c r="G4" i="1" l="1"/>
  <c r="G70" i="1" s="1"/>
  <c r="G76" i="1" s="1"/>
  <c r="H4" i="1" s="1"/>
  <c r="H70" i="1" s="1"/>
  <c r="H76" i="1" s="1"/>
  <c r="I4" i="1" s="1"/>
  <c r="I70" i="1" s="1"/>
  <c r="I76" i="1" s="1"/>
  <c r="J4" i="1" s="1"/>
  <c r="J70" i="1" l="1"/>
  <c r="J76" i="1" s="1"/>
  <c r="K4" i="1" s="1"/>
  <c r="K70" i="1" l="1"/>
  <c r="K76" i="1" s="1"/>
  <c r="L4" i="1" s="1"/>
  <c r="L70" i="1" l="1"/>
  <c r="L76" i="1" s="1"/>
  <c r="M4" i="1" s="1"/>
  <c r="M70" i="1" l="1"/>
  <c r="M76" i="1" s="1"/>
  <c r="N4" i="1" s="1"/>
  <c r="N70" i="1" l="1"/>
  <c r="N76" i="1" s="1"/>
  <c r="O4" i="1" s="1"/>
  <c r="O70" i="1" l="1"/>
  <c r="O76" i="1" s="1"/>
</calcChain>
</file>

<file path=xl/sharedStrings.xml><?xml version="1.0" encoding="utf-8"?>
<sst xmlns="http://schemas.openxmlformats.org/spreadsheetml/2006/main" count="424" uniqueCount="90">
  <si>
    <t>Planejamento Financeiro Mensal</t>
  </si>
  <si>
    <t>ANO: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</si>
  <si>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</si>
  <si>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</si>
  <si>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</si>
  <si>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</si>
  <si>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</si>
  <si>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</si>
  <si>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</si>
  <si>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</si>
  <si>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</si>
  <si>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</si>
  <si>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</si>
  <si>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</si>
  <si>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Caixa mensal</t>
  </si>
  <si>
    <t>RECEITA</t>
  </si>
  <si>
    <t>TOTAL NO ANO</t>
  </si>
  <si>
    <t>TENDÊNCIA</t>
  </si>
  <si>
    <t>% Ganhos em Relação à Receita Total</t>
  </si>
  <si>
    <t>Outros</t>
  </si>
  <si>
    <t>RENDA TOTAIS</t>
  </si>
  <si>
    <t>DESPESA PREVISTA</t>
  </si>
  <si>
    <t>Plano de Saúde</t>
  </si>
  <si>
    <t>Aposentadoria</t>
  </si>
  <si>
    <t>Telefone Celular</t>
  </si>
  <si>
    <t>DESPESAS TOTAIS</t>
  </si>
  <si>
    <t>DESPESA EXTRA</t>
  </si>
  <si>
    <t>Aluguel e Condomínio</t>
  </si>
  <si>
    <t>Água, Energia e Gás</t>
  </si>
  <si>
    <t>Academia / Pilates</t>
  </si>
  <si>
    <t>Medicamentos / Farmácia</t>
  </si>
  <si>
    <t>Restaurante /Almoço / Jantar</t>
  </si>
  <si>
    <t>Cabeleireiro / Salão / Estética</t>
  </si>
  <si>
    <t>Vestuário/ Cosmético/ Calçado</t>
  </si>
  <si>
    <t>Mobília e coisas de casa</t>
  </si>
  <si>
    <t>Viagens / Passagens / Hotél</t>
  </si>
  <si>
    <t>Saída / Lazer / Cinema</t>
  </si>
  <si>
    <t>Papelaria / Escritório</t>
  </si>
  <si>
    <t>Presentes</t>
  </si>
  <si>
    <t>Costura / Artesanato</t>
  </si>
  <si>
    <t>DESPESAS EXTRA TOTAIS</t>
  </si>
  <si>
    <t>SITUAÇÃO NO MÊS</t>
  </si>
  <si>
    <t>Receita</t>
  </si>
  <si>
    <t>Despesas</t>
  </si>
  <si>
    <t>Quanto sobrou?</t>
  </si>
  <si>
    <t>Saldo Mês + sobra Mês</t>
  </si>
  <si>
    <t>Valor Aplicado</t>
  </si>
  <si>
    <t>Retorno de valor emprestado</t>
  </si>
  <si>
    <t>Cash emprestado saída</t>
  </si>
  <si>
    <t>Situação Final</t>
  </si>
  <si>
    <t>Gestão dos Investimentos</t>
  </si>
  <si>
    <t>Empréstimo</t>
  </si>
  <si>
    <t>(+) Acompanhamento Pgtos recebidos</t>
  </si>
  <si>
    <t>Quanto em Aberto?</t>
  </si>
  <si>
    <t/>
  </si>
  <si>
    <t>Salário</t>
  </si>
  <si>
    <t>Extra</t>
  </si>
  <si>
    <t>Investimentos</t>
  </si>
  <si>
    <t>Internet / Tv / Assinatura / Google</t>
  </si>
  <si>
    <t>Faculdade</t>
  </si>
  <si>
    <t>Transporte Faculdade</t>
  </si>
  <si>
    <t>Consultas Médicas</t>
  </si>
  <si>
    <t>Lanches e fast food</t>
  </si>
  <si>
    <t>Refeições fora de casa</t>
  </si>
  <si>
    <t>Transporte Público</t>
  </si>
  <si>
    <t>Transporte Aplicativo</t>
  </si>
  <si>
    <t>Reparos e manutenção</t>
  </si>
  <si>
    <t>Compras de supermercado</t>
  </si>
  <si>
    <t>Exames</t>
  </si>
  <si>
    <t>Cursos e treinamentos</t>
  </si>
  <si>
    <t>(-) Emprestei</t>
  </si>
  <si>
    <t>Total aplicado investimento</t>
  </si>
  <si>
    <t>Valor Retirado da Poupança</t>
  </si>
  <si>
    <t>Ajuda da família</t>
  </si>
  <si>
    <t>Renda</t>
  </si>
  <si>
    <t>Saúde</t>
  </si>
  <si>
    <t>Economias e Investimentos</t>
  </si>
  <si>
    <t>Assinaturas e IoT</t>
  </si>
  <si>
    <t>Educação</t>
  </si>
  <si>
    <t>Alimentação</t>
  </si>
  <si>
    <t>Transporte</t>
  </si>
  <si>
    <t>Moradia</t>
  </si>
  <si>
    <t>Despesas Pessoais</t>
  </si>
  <si>
    <t>Lazer e Entretenimento</t>
  </si>
  <si>
    <t>Compras</t>
  </si>
  <si>
    <t>maria</t>
  </si>
  <si>
    <t>carlos</t>
  </si>
  <si>
    <t>jardim</t>
  </si>
  <si>
    <t>data</t>
  </si>
  <si>
    <t>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</si>
</sst>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 -416]#,##0.00"/>
    <numFmt numFmtId="165" formatCode="&quot;R$&quot;\ #,##0.00"/>
  </numFmts>
  <fonts count="38" x14ac:knownFonts="1">
    <font>
      <sz val="10"/>
      <color rgb="FF000000"/>
      <name val="Arial"/>
      <scheme val="minor"/>
    </font>
    <font>
      <b/>
      <sz val="12"/>
      <color rgb="FF808080"/>
      <name val="Bookman Old Style"/>
    </font>
    <font>
      <sz val="12"/>
      <color rgb="FF000000"/>
      <name val="Bookman Old Style"/>
    </font>
    <font>
      <sz val="10"/>
      <color rgb="FFA6A6A6"/>
      <name val="Century Gothic"/>
    </font>
    <font>
      <sz val="10"/>
      <color rgb="FF434343"/>
      <name val="Century Gothic"/>
    </font>
    <font>
      <sz val="12"/>
      <color theme="1"/>
      <name val="Bookman Old Style"/>
    </font>
    <font>
      <b/>
      <sz val="12"/>
      <color rgb="FF808080"/>
      <name val="Century Gothic"/>
    </font>
    <font>
      <sz val="12"/>
      <color rgb="FF000000"/>
      <name val="Century Gothic"/>
    </font>
    <font>
      <sz val="12"/>
      <color theme="1"/>
      <name val="Century Gothic"/>
    </font>
    <font>
      <b/>
      <sz val="10"/>
      <color rgb="FF808080"/>
      <name val="Bookman Old Style"/>
    </font>
    <font>
      <sz val="10"/>
      <color theme="1"/>
      <name val="Bookman Old Style"/>
    </font>
    <font>
      <b/>
      <sz val="10"/>
      <color rgb="FFFFFFFF"/>
      <name val="Century Gothic"/>
    </font>
    <font>
      <sz val="10"/>
      <color rgb="FF000000"/>
      <name val="Century Gothic"/>
    </font>
    <font>
      <sz val="10"/>
      <color theme="1"/>
      <name val="Century Gothic"/>
    </font>
    <font>
      <b/>
      <sz val="10"/>
      <color rgb="FFFFFFFF"/>
      <name val="Bookman Old Style"/>
    </font>
    <font>
      <b/>
      <sz val="11"/>
      <color rgb="FF808080"/>
      <name val="Bookman Old Style"/>
    </font>
    <font>
      <sz val="10"/>
      <color rgb="FF434343"/>
      <name val="Bookman Old Style"/>
    </font>
    <font>
      <sz val="10"/>
      <color theme="1"/>
      <name val="Century Gothic"/>
    </font>
    <font>
      <sz val="10"/>
      <color theme="9"/>
      <name val="Century Gothic"/>
    </font>
    <font>
      <sz val="10"/>
      <name val="Arial"/>
    </font>
    <font>
      <b/>
      <sz val="10"/>
      <color rgb="FF6CCACD"/>
      <name val="Century Gothic"/>
    </font>
    <font>
      <b/>
      <sz val="10"/>
      <color rgb="FF6CCACD"/>
      <name val="Century Gothic"/>
    </font>
    <font>
      <sz val="10"/>
      <color theme="5"/>
      <name val="Century Gothic"/>
    </font>
    <font>
      <b/>
      <sz val="10"/>
      <color rgb="FF000000"/>
      <name val="Century Gothic"/>
    </font>
    <font>
      <sz val="10"/>
      <color rgb="FFD9D9D9"/>
      <name val="Century Gothic"/>
    </font>
    <font>
      <b/>
      <sz val="10"/>
      <color rgb="FFF26C63"/>
      <name val="Century Gothic"/>
    </font>
    <font>
      <b/>
      <i/>
      <strike/>
      <sz val="10"/>
      <color rgb="FFF26C63"/>
      <name val="Century Gothic"/>
    </font>
    <font>
      <b/>
      <sz val="10"/>
      <color theme="1"/>
      <name val="Century Gothic"/>
    </font>
    <font>
      <b/>
      <sz val="10"/>
      <color rgb="FFCC0000"/>
      <name val="Century Gothic"/>
    </font>
    <font>
      <sz val="10"/>
      <color rgb="FF9C0006"/>
      <name val="Century Gothic"/>
    </font>
    <font>
      <sz val="8"/>
      <color theme="1"/>
      <name val="Century Gothic"/>
    </font>
    <font>
      <b/>
      <sz val="10"/>
      <color rgb="FF38761D"/>
      <name val="Bookman Old Style"/>
    </font>
    <font>
      <i/>
      <sz val="10"/>
      <color theme="1"/>
      <name val="Century Gothic"/>
    </font>
    <font>
      <i/>
      <sz val="10"/>
      <color rgb="FF000000"/>
      <name val="Century Gothic"/>
    </font>
    <font>
      <sz val="10"/>
      <color rgb="FF00000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color rgb="FF808080"/>
      <name val="Bookman Old Style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A9F4E"/>
        <bgColor rgb="FFFA9F4E"/>
      </patternFill>
    </fill>
    <fill>
      <patternFill patternType="solid">
        <fgColor rgb="FFF9CB9C"/>
        <bgColor rgb="FFF9CB9C"/>
      </patternFill>
    </fill>
    <fill>
      <patternFill patternType="solid">
        <fgColor rgb="FF6CCACD"/>
        <bgColor rgb="FF6CCACD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F26C63"/>
        <bgColor rgb="FFF26C63"/>
      </patternFill>
    </fill>
    <fill>
      <patternFill patternType="solid">
        <fgColor rgb="FFCC0000"/>
        <bgColor rgb="FFCC0000"/>
      </patternFill>
    </fill>
    <fill>
      <patternFill patternType="solid">
        <fgColor rgb="FF999999"/>
        <bgColor rgb="FF999999"/>
      </patternFill>
    </fill>
    <fill>
      <patternFill patternType="solid">
        <fgColor rgb="FFD9D9D9"/>
        <bgColor rgb="FFD9D9D9"/>
      </patternFill>
    </fill>
    <fill>
      <patternFill patternType="solid">
        <fgColor rgb="FFFFE7E7"/>
        <bgColor rgb="FFFFE7E7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indexed="64"/>
      </patternFill>
    </fill>
  </fills>
  <borders count="29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A9F4E"/>
      </top>
      <bottom style="thin">
        <color rgb="FFFA9F4E"/>
      </bottom>
      <diagonal/>
    </border>
    <border>
      <left style="thin">
        <color rgb="FFFFFFFF"/>
      </left>
      <right style="thin">
        <color rgb="FFFFFFFF"/>
      </right>
      <top style="thin">
        <color rgb="FFFA9F4E"/>
      </top>
      <bottom style="thin">
        <color rgb="FFFA9F4E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 style="thin">
        <color rgb="FFFFFFFF"/>
      </right>
      <top style="thin">
        <color rgb="FF6CCACD"/>
      </top>
      <bottom style="thin">
        <color rgb="FF6CCACD"/>
      </bottom>
      <diagonal/>
    </border>
    <border>
      <left style="thin">
        <color rgb="FFFFFFFF"/>
      </left>
      <right/>
      <top style="thin">
        <color rgb="FF6CCACD"/>
      </top>
      <bottom style="thin">
        <color rgb="FF6CCACD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FFFFFF"/>
      </right>
      <top/>
      <bottom/>
      <diagonal/>
    </border>
    <border>
      <left style="thin">
        <color rgb="FFC0C0C0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6CCACD"/>
      </top>
      <bottom/>
      <diagonal/>
    </border>
    <border>
      <left style="thin">
        <color rgb="FFFFFFFF"/>
      </left>
      <right style="thin">
        <color rgb="FFFFFFFF"/>
      </right>
      <top style="thin">
        <color rgb="FF6CCACD"/>
      </top>
      <bottom/>
      <diagonal/>
    </border>
    <border>
      <left style="thin">
        <color rgb="FFFFFFFF"/>
      </left>
      <right/>
      <top style="thin">
        <color rgb="FF6CCACD"/>
      </top>
      <bottom/>
      <diagonal/>
    </border>
    <border>
      <left style="thin">
        <color rgb="FFFFFFFF"/>
      </left>
      <right style="thin">
        <color rgb="FFFFFFFF"/>
      </right>
      <top style="thin">
        <color rgb="FFF26C63"/>
      </top>
      <bottom style="thin">
        <color rgb="FFF26C63"/>
      </bottom>
      <diagonal/>
    </border>
    <border>
      <left style="thin">
        <color rgb="FFFFFFFF"/>
      </left>
      <right/>
      <top style="thin">
        <color rgb="FFF26C63"/>
      </top>
      <bottom style="thin">
        <color rgb="FFF26C63"/>
      </bottom>
      <diagonal/>
    </border>
    <border>
      <left/>
      <right style="thin">
        <color rgb="FFFFFFFF"/>
      </right>
      <top style="thin">
        <color rgb="FFF26C63"/>
      </top>
      <bottom/>
      <diagonal/>
    </border>
    <border>
      <left style="thin">
        <color rgb="FFFFFFFF"/>
      </left>
      <right style="thin">
        <color rgb="FFFFFFFF"/>
      </right>
      <top style="thin">
        <color rgb="FFF26C63"/>
      </top>
      <bottom/>
      <diagonal/>
    </border>
    <border>
      <left style="thin">
        <color rgb="FFFFFFFF"/>
      </left>
      <right/>
      <top style="thin">
        <color rgb="FFF26C63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thin">
        <color rgb="FF666666"/>
      </bottom>
      <diagonal/>
    </border>
    <border>
      <left style="thin">
        <color rgb="FFC0C0C0"/>
      </left>
      <right style="thin">
        <color rgb="FFC0C0C0"/>
      </right>
      <top/>
      <bottom style="thin">
        <color rgb="FF666666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rgb="FF80808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6666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4" fontId="3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7" fillId="2" borderId="1" xfId="0" applyFont="1" applyFill="1" applyBorder="1"/>
    <xf numFmtId="0" fontId="4" fillId="2" borderId="1" xfId="0" applyFont="1" applyFill="1" applyBorder="1"/>
    <xf numFmtId="0" fontId="7" fillId="0" borderId="1" xfId="0" applyFont="1" applyBorder="1"/>
    <xf numFmtId="0" fontId="8" fillId="0" borderId="0" xfId="0" applyFont="1"/>
    <xf numFmtId="0" fontId="9" fillId="0" borderId="2" xfId="0" applyFont="1" applyBorder="1"/>
    <xf numFmtId="0" fontId="9" fillId="0" borderId="3" xfId="0" applyFont="1" applyBorder="1" applyAlignment="1">
      <alignment horizontal="right"/>
    </xf>
    <xf numFmtId="0" fontId="2" fillId="0" borderId="0" xfId="0" applyFont="1"/>
    <xf numFmtId="0" fontId="10" fillId="0" borderId="0" xfId="0" applyFont="1"/>
    <xf numFmtId="0" fontId="11" fillId="3" borderId="4" xfId="0" applyFont="1" applyFill="1" applyBorder="1" applyAlignment="1">
      <alignment horizontal="left"/>
    </xf>
    <xf numFmtId="4" fontId="12" fillId="4" borderId="5" xfId="0" applyNumberFormat="1" applyFont="1" applyFill="1" applyBorder="1" applyAlignment="1">
      <alignment horizontal="right"/>
    </xf>
    <xf numFmtId="0" fontId="7" fillId="0" borderId="0" xfId="0" applyFont="1"/>
    <xf numFmtId="0" fontId="13" fillId="0" borderId="0" xfId="0" applyFont="1"/>
    <xf numFmtId="0" fontId="14" fillId="5" borderId="4" xfId="0" applyFont="1" applyFill="1" applyBorder="1" applyAlignment="1">
      <alignment horizontal="left"/>
    </xf>
    <xf numFmtId="0" fontId="9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6" fillId="0" borderId="7" xfId="0" applyFont="1" applyBorder="1" applyAlignment="1">
      <alignment horizontal="right"/>
    </xf>
    <xf numFmtId="0" fontId="17" fillId="6" borderId="8" xfId="0" applyFont="1" applyFill="1" applyBorder="1"/>
    <xf numFmtId="4" fontId="12" fillId="6" borderId="5" xfId="0" applyNumberFormat="1" applyFont="1" applyFill="1" applyBorder="1" applyAlignment="1">
      <alignment horizontal="right"/>
    </xf>
    <xf numFmtId="4" fontId="12" fillId="6" borderId="8" xfId="0" applyNumberFormat="1" applyFont="1" applyFill="1" applyBorder="1" applyAlignment="1">
      <alignment horizontal="right"/>
    </xf>
    <xf numFmtId="4" fontId="18" fillId="0" borderId="1" xfId="0" applyNumberFormat="1" applyFont="1" applyBorder="1" applyAlignment="1">
      <alignment horizontal="right"/>
    </xf>
    <xf numFmtId="10" fontId="12" fillId="6" borderId="5" xfId="0" applyNumberFormat="1" applyFont="1" applyFill="1" applyBorder="1" applyAlignment="1">
      <alignment horizontal="right"/>
    </xf>
    <xf numFmtId="0" fontId="20" fillId="8" borderId="11" xfId="0" applyFont="1" applyFill="1" applyBorder="1" applyAlignment="1">
      <alignment horizontal="left"/>
    </xf>
    <xf numFmtId="164" fontId="20" fillId="8" borderId="12" xfId="0" applyNumberFormat="1" applyFont="1" applyFill="1" applyBorder="1" applyAlignment="1">
      <alignment horizontal="right"/>
    </xf>
    <xf numFmtId="164" fontId="20" fillId="0" borderId="12" xfId="0" applyNumberFormat="1" applyFont="1" applyBorder="1" applyAlignment="1">
      <alignment horizontal="right"/>
    </xf>
    <xf numFmtId="0" fontId="21" fillId="0" borderId="13" xfId="0" applyFont="1" applyBorder="1"/>
    <xf numFmtId="0" fontId="14" fillId="9" borderId="4" xfId="0" applyFont="1" applyFill="1" applyBorder="1" applyAlignment="1">
      <alignment horizontal="left"/>
    </xf>
    <xf numFmtId="0" fontId="9" fillId="0" borderId="14" xfId="0" applyFont="1" applyBorder="1" applyAlignment="1">
      <alignment horizontal="right"/>
    </xf>
    <xf numFmtId="0" fontId="15" fillId="0" borderId="14" xfId="0" applyFont="1" applyBorder="1" applyAlignment="1">
      <alignment horizontal="right"/>
    </xf>
    <xf numFmtId="0" fontId="15" fillId="0" borderId="15" xfId="0" applyFont="1" applyBorder="1" applyAlignment="1">
      <alignment horizontal="right"/>
    </xf>
    <xf numFmtId="4" fontId="22" fillId="0" borderId="1" xfId="0" applyNumberFormat="1" applyFont="1" applyBorder="1" applyAlignment="1">
      <alignment horizontal="right"/>
    </xf>
    <xf numFmtId="4" fontId="23" fillId="6" borderId="5" xfId="0" applyNumberFormat="1" applyFont="1" applyFill="1" applyBorder="1" applyAlignment="1">
      <alignment horizontal="right"/>
    </xf>
    <xf numFmtId="0" fontId="25" fillId="8" borderId="16" xfId="0" applyFont="1" applyFill="1" applyBorder="1" applyAlignment="1">
      <alignment horizontal="left"/>
    </xf>
    <xf numFmtId="164" fontId="25" fillId="8" borderId="17" xfId="0" applyNumberFormat="1" applyFont="1" applyFill="1" applyBorder="1" applyAlignment="1">
      <alignment horizontal="right"/>
    </xf>
    <xf numFmtId="164" fontId="25" fillId="0" borderId="17" xfId="0" applyNumberFormat="1" applyFont="1" applyBorder="1" applyAlignment="1">
      <alignment horizontal="right"/>
    </xf>
    <xf numFmtId="0" fontId="26" fillId="0" borderId="18" xfId="0" applyFont="1" applyBorder="1"/>
    <xf numFmtId="0" fontId="14" fillId="10" borderId="4" xfId="0" applyFont="1" applyFill="1" applyBorder="1" applyAlignment="1">
      <alignment horizontal="left"/>
    </xf>
    <xf numFmtId="0" fontId="4" fillId="0" borderId="19" xfId="0" applyFont="1" applyBorder="1"/>
    <xf numFmtId="0" fontId="3" fillId="0" borderId="1" xfId="0" applyFont="1" applyBorder="1" applyAlignment="1">
      <alignment horizontal="right"/>
    </xf>
    <xf numFmtId="0" fontId="28" fillId="8" borderId="16" xfId="0" applyFont="1" applyFill="1" applyBorder="1" applyAlignment="1">
      <alignment horizontal="left"/>
    </xf>
    <xf numFmtId="164" fontId="28" fillId="8" borderId="17" xfId="0" applyNumberFormat="1" applyFont="1" applyFill="1" applyBorder="1" applyAlignment="1">
      <alignment horizontal="right"/>
    </xf>
    <xf numFmtId="164" fontId="28" fillId="0" borderId="17" xfId="0" applyNumberFormat="1" applyFont="1" applyBorder="1" applyAlignment="1">
      <alignment horizontal="right"/>
    </xf>
    <xf numFmtId="0" fontId="14" fillId="11" borderId="4" xfId="0" applyFont="1" applyFill="1" applyBorder="1" applyAlignment="1">
      <alignment horizontal="left"/>
    </xf>
    <xf numFmtId="0" fontId="17" fillId="7" borderId="20" xfId="0" applyFont="1" applyFill="1" applyBorder="1" applyAlignment="1">
      <alignment horizontal="left"/>
    </xf>
    <xf numFmtId="4" fontId="12" fillId="12" borderId="21" xfId="0" applyNumberFormat="1" applyFont="1" applyFill="1" applyBorder="1" applyAlignment="1">
      <alignment horizontal="right"/>
    </xf>
    <xf numFmtId="0" fontId="17" fillId="7" borderId="22" xfId="0" applyFont="1" applyFill="1" applyBorder="1" applyAlignment="1">
      <alignment horizontal="right"/>
    </xf>
    <xf numFmtId="4" fontId="12" fillId="12" borderId="23" xfId="0" applyNumberFormat="1" applyFont="1" applyFill="1" applyBorder="1" applyAlignment="1">
      <alignment horizontal="right"/>
    </xf>
    <xf numFmtId="0" fontId="27" fillId="6" borderId="22" xfId="0" applyFont="1" applyFill="1" applyBorder="1" applyAlignment="1">
      <alignment horizontal="left" vertical="center"/>
    </xf>
    <xf numFmtId="4" fontId="29" fillId="13" borderId="22" xfId="0" applyNumberFormat="1" applyFont="1" applyFill="1" applyBorder="1" applyAlignment="1">
      <alignment horizontal="right" vertical="center"/>
    </xf>
    <xf numFmtId="0" fontId="6" fillId="2" borderId="4" xfId="0" applyFont="1" applyFill="1" applyBorder="1"/>
    <xf numFmtId="0" fontId="17" fillId="7" borderId="0" xfId="0" applyFont="1" applyFill="1" applyAlignment="1">
      <alignment horizontal="right"/>
    </xf>
    <xf numFmtId="4" fontId="12" fillId="12" borderId="24" xfId="0" applyNumberFormat="1" applyFont="1" applyFill="1" applyBorder="1" applyAlignment="1">
      <alignment horizontal="right"/>
    </xf>
    <xf numFmtId="4" fontId="12" fillId="7" borderId="24" xfId="0" applyNumberFormat="1" applyFont="1" applyFill="1" applyBorder="1" applyAlignment="1">
      <alignment horizontal="right"/>
    </xf>
    <xf numFmtId="4" fontId="12" fillId="7" borderId="23" xfId="0" applyNumberFormat="1" applyFont="1" applyFill="1" applyBorder="1" applyAlignment="1">
      <alignment horizontal="right"/>
    </xf>
    <xf numFmtId="0" fontId="30" fillId="0" borderId="0" xfId="0" applyFont="1"/>
    <xf numFmtId="0" fontId="12" fillId="14" borderId="0" xfId="0" applyFont="1" applyFill="1"/>
    <xf numFmtId="0" fontId="31" fillId="2" borderId="4" xfId="0" applyFont="1" applyFill="1" applyBorder="1" applyAlignment="1">
      <alignment horizontal="left"/>
    </xf>
    <xf numFmtId="0" fontId="17" fillId="6" borderId="5" xfId="0" applyFont="1" applyFill="1" applyBorder="1" applyAlignment="1">
      <alignment horizontal="left"/>
    </xf>
    <xf numFmtId="4" fontId="24" fillId="6" borderId="5" xfId="0" applyNumberFormat="1" applyFont="1" applyFill="1" applyBorder="1" applyAlignment="1">
      <alignment horizontal="right"/>
    </xf>
    <xf numFmtId="0" fontId="32" fillId="6" borderId="5" xfId="0" applyFont="1" applyFill="1" applyBorder="1" applyAlignment="1">
      <alignment horizontal="left"/>
    </xf>
    <xf numFmtId="4" fontId="33" fillId="7" borderId="8" xfId="0" applyNumberFormat="1" applyFont="1" applyFill="1" applyBorder="1" applyAlignment="1">
      <alignment horizontal="right"/>
    </xf>
    <xf numFmtId="0" fontId="27" fillId="6" borderId="25" xfId="0" applyFont="1" applyFill="1" applyBorder="1"/>
    <xf numFmtId="4" fontId="29" fillId="13" borderId="26" xfId="0" applyNumberFormat="1" applyFont="1" applyFill="1" applyBorder="1" applyAlignment="1">
      <alignment horizontal="right"/>
    </xf>
    <xf numFmtId="0" fontId="4" fillId="0" borderId="0" xfId="0" applyFont="1"/>
    <xf numFmtId="0" fontId="35" fillId="6" borderId="8" xfId="0" applyFont="1" applyFill="1" applyBorder="1" applyAlignment="1">
      <alignment horizontal="right"/>
    </xf>
    <xf numFmtId="0" fontId="36" fillId="7" borderId="0" xfId="0" applyFont="1" applyFill="1" applyAlignment="1">
      <alignment horizontal="right"/>
    </xf>
    <xf numFmtId="0" fontId="35" fillId="7" borderId="0" xfId="0" applyFont="1" applyFill="1" applyAlignment="1">
      <alignment horizontal="right"/>
    </xf>
    <xf numFmtId="0" fontId="35" fillId="7" borderId="22" xfId="0" applyFont="1" applyFill="1" applyBorder="1" applyAlignment="1">
      <alignment horizontal="right"/>
    </xf>
    <xf numFmtId="0" fontId="15" fillId="0" borderId="14" xfId="0" applyFont="1" applyBorder="1" applyAlignment="1">
      <alignment horizontal="left"/>
    </xf>
    <xf numFmtId="0" fontId="37" fillId="0" borderId="6" xfId="0" applyFont="1" applyBorder="1" applyAlignment="1">
      <alignment horizontal="left"/>
    </xf>
    <xf numFmtId="165" fontId="6" fillId="2" borderId="1" xfId="0" applyNumberFormat="1" applyFont="1" applyFill="1" applyBorder="1"/>
    <xf numFmtId="0" fontId="35" fillId="6" borderId="8" xfId="0" applyFont="1" applyFill="1" applyBorder="1"/>
    <xf numFmtId="4" fontId="34" fillId="6" borderId="5" xfId="0" applyNumberFormat="1" applyFont="1" applyFill="1" applyBorder="1" applyAlignment="1">
      <alignment horizontal="right"/>
    </xf>
    <xf numFmtId="0" fontId="6" fillId="2" borderId="28" xfId="0" applyFont="1" applyFill="1" applyBorder="1"/>
    <xf numFmtId="0" fontId="1" fillId="2" borderId="27" xfId="0" applyFont="1" applyFill="1" applyBorder="1"/>
    <xf numFmtId="0" fontId="2" fillId="2" borderId="27" xfId="0" applyFont="1" applyFill="1" applyBorder="1"/>
    <xf numFmtId="0" fontId="7" fillId="2" borderId="28" xfId="0" applyFont="1" applyFill="1" applyBorder="1"/>
    <xf numFmtId="0" fontId="17" fillId="6" borderId="0" xfId="0" applyFont="1" applyFill="1"/>
    <xf numFmtId="14" fontId="12" fillId="6" borderId="0" xfId="0" applyNumberFormat="1" applyFont="1" applyFill="1" applyAlignment="1">
      <alignment horizontal="right"/>
    </xf>
    <xf numFmtId="14" fontId="34" fillId="15" borderId="0" xfId="0" applyNumberFormat="1" applyFont="1" applyFill="1" applyAlignment="1">
      <alignment horizontal="right" wrapText="1"/>
    </xf>
    <xf numFmtId="0" fontId="13" fillId="6" borderId="8" xfId="0" applyFont="1" applyFill="1" applyBorder="1"/>
    <xf numFmtId="0" fontId="4" fillId="7" borderId="9" xfId="0" applyFont="1" applyFill="1" applyBorder="1" applyAlignment="1">
      <alignment horizontal="center" vertical="center" wrapText="1"/>
    </xf>
    <xf numFmtId="0" fontId="19" fillId="0" borderId="9" xfId="0" applyFont="1" applyBorder="1"/>
    <xf numFmtId="0" fontId="19" fillId="0" borderId="10" xfId="0" applyFont="1" applyBorder="1"/>
  </cellXfs>
  <cellStyles count="1">
    <cellStyle name="Normal" xfId="0" builtinId="0"/>
  </cellStyles>
  <dxfs count="4">
    <dxf>
      <font>
        <color rgb="FF000000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none"/>
      </fill>
    </dxf>
    <dxf>
      <font>
        <color rgb="FF000000"/>
      </font>
      <fill>
        <patternFill patternType="solid">
          <fgColor rgb="FFD9D9D9"/>
          <bgColor rgb="FFD9D9D9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50"/>
  <sheetViews>
    <sheetView zoomScale="85" zoomScaleNormal="85"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Q29" sqref="Q29"/>
    </sheetView>
  </sheetViews>
  <sheetFormatPr defaultColWidth="12.6640625" defaultRowHeight="15.75" customHeight="1" x14ac:dyDescent="0.25"/>
  <cols>
    <col min="1" max="1" width="8.77734375" customWidth="1"/>
    <col min="2" max="2" width="9.109375" customWidth="1"/>
    <col min="3" max="3" width="26.88671875" customWidth="1"/>
    <col min="16" max="16" width="1.33203125" customWidth="1"/>
    <col min="17" max="17" width="14.44140625" customWidth="1"/>
    <col min="18" max="18" width="5.33203125" customWidth="1"/>
    <col min="19" max="19" width="9.33203125" customWidth="1"/>
    <col min="21" max="21" width="13.109375" customWidth="1"/>
  </cols>
  <sheetData>
    <row r="1" spans="1:28" ht="15.6" x14ac:dyDescent="0.3">
      <c r="A1" s="1"/>
      <c r="B1" s="1"/>
      <c r="C1" s="80" t="s">
        <v>0</v>
      </c>
      <c r="D1" s="80"/>
      <c r="E1" s="80"/>
      <c r="F1" s="81"/>
      <c r="G1" s="81"/>
      <c r="H1" s="81"/>
      <c r="I1" s="81"/>
      <c r="J1" s="81"/>
      <c r="K1" s="81"/>
      <c r="L1" s="81"/>
      <c r="M1" s="81"/>
      <c r="N1" s="80" t="s">
        <v>1</v>
      </c>
      <c r="O1" s="80">
        <v>2022</v>
      </c>
      <c r="P1" s="2"/>
      <c r="Q1" s="3"/>
      <c r="R1" s="3"/>
      <c r="S1" s="3"/>
      <c r="T1" s="4"/>
      <c r="U1" s="2"/>
      <c r="V1" s="5"/>
      <c r="W1" s="5"/>
      <c r="X1" s="5"/>
      <c r="Y1" s="5"/>
      <c r="Z1" s="5"/>
      <c r="AA1" s="5"/>
      <c r="AB1" s="5"/>
    </row>
    <row r="2" spans="1:28" ht="15" x14ac:dyDescent="0.25">
      <c r="A2" s="6"/>
      <c r="B2" s="6"/>
      <c r="C2" s="79"/>
      <c r="D2" s="79"/>
      <c r="E2" s="79"/>
      <c r="F2" s="82"/>
      <c r="G2" s="82"/>
      <c r="H2" s="82"/>
      <c r="I2" s="82"/>
      <c r="J2" s="82"/>
      <c r="K2" s="82"/>
      <c r="L2" s="82"/>
      <c r="M2" s="82"/>
      <c r="N2" s="82"/>
      <c r="O2" s="82"/>
      <c r="P2" s="7"/>
      <c r="Q2" s="7"/>
      <c r="R2" s="7"/>
      <c r="S2" s="7"/>
      <c r="T2" s="8"/>
      <c r="U2" s="9"/>
      <c r="V2" s="10"/>
      <c r="W2" s="10"/>
      <c r="X2" s="10"/>
      <c r="Y2" s="10"/>
      <c r="Z2" s="10"/>
      <c r="AA2" s="10"/>
      <c r="AB2" s="10"/>
    </row>
    <row r="3" spans="1:28" ht="15.6" x14ac:dyDescent="0.3">
      <c r="A3" s="11"/>
      <c r="B3" s="11"/>
      <c r="C3" s="11"/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3"/>
      <c r="Q3" s="7"/>
      <c r="R3" s="7"/>
      <c r="S3" s="7"/>
      <c r="T3" s="8"/>
      <c r="U3" s="13"/>
      <c r="V3" s="14"/>
      <c r="W3" s="14"/>
      <c r="X3" s="14"/>
      <c r="Y3" s="14"/>
      <c r="Z3" s="14"/>
      <c r="AA3" s="14"/>
      <c r="AB3" s="14"/>
    </row>
    <row r="4" spans="1:28" ht="15" x14ac:dyDescent="0.25">
      <c r="A4" s="15"/>
      <c r="B4" s="15"/>
      <c r="C4" s="15" t="s">
        <v>14</v>
      </c>
      <c r="D4" s="16">
        <v>10</v>
      </c>
      <c r="E4" s="16">
        <f t="shared" ref="E4:O4" si="0">IF(D76&gt;0,D76,"0")</f>
        <v>173.44166666666661</v>
      </c>
      <c r="F4" s="16">
        <f t="shared" si="0"/>
        <v>577.56166666666695</v>
      </c>
      <c r="G4" s="16">
        <f t="shared" si="0"/>
        <v>1244.1616666666671</v>
      </c>
      <c r="H4" s="16">
        <f t="shared" si="0"/>
        <v>1108.1716666666673</v>
      </c>
      <c r="I4" s="16">
        <f t="shared" si="0"/>
        <v>1371.8516666666674</v>
      </c>
      <c r="J4" s="16">
        <f t="shared" si="0"/>
        <v>1234.3416666666672</v>
      </c>
      <c r="K4" s="16">
        <f t="shared" si="0"/>
        <v>2415.6766666666672</v>
      </c>
      <c r="L4" s="16">
        <f t="shared" si="0"/>
        <v>2195.4066666666672</v>
      </c>
      <c r="M4" s="16">
        <f t="shared" si="0"/>
        <v>1680.1321166666676</v>
      </c>
      <c r="N4" s="16">
        <f t="shared" si="0"/>
        <v>1285.7542333333342</v>
      </c>
      <c r="O4" s="16">
        <f t="shared" si="0"/>
        <v>1077.5096833333344</v>
      </c>
      <c r="P4" s="17"/>
      <c r="Q4" s="7"/>
      <c r="R4" s="7"/>
      <c r="S4" s="7"/>
      <c r="T4" s="8"/>
      <c r="U4" s="17"/>
      <c r="V4" s="18"/>
      <c r="W4" s="18"/>
      <c r="X4" s="18"/>
      <c r="Y4" s="18"/>
      <c r="Z4" s="18"/>
      <c r="AA4" s="18"/>
      <c r="AB4" s="18"/>
    </row>
    <row r="5" spans="1:28" ht="15" x14ac:dyDescent="0.25">
      <c r="A5" s="6"/>
      <c r="B5" s="6"/>
      <c r="C5" s="83" t="s">
        <v>88</v>
      </c>
      <c r="D5" s="84">
        <v>44562</v>
      </c>
      <c r="E5" s="84">
        <v>44593</v>
      </c>
      <c r="F5" s="84">
        <v>44622</v>
      </c>
      <c r="G5" s="84">
        <v>44653</v>
      </c>
      <c r="H5" s="84">
        <v>44683</v>
      </c>
      <c r="I5" s="84">
        <v>44714</v>
      </c>
      <c r="J5" s="84">
        <v>44745</v>
      </c>
      <c r="K5" s="84">
        <v>44775</v>
      </c>
      <c r="L5" s="84">
        <v>44806</v>
      </c>
      <c r="M5" s="84">
        <v>44836</v>
      </c>
      <c r="N5" s="84">
        <v>44867</v>
      </c>
      <c r="O5" s="84">
        <v>44897</v>
      </c>
      <c r="P5" s="6"/>
      <c r="Q5" s="6"/>
      <c r="R5" s="6"/>
      <c r="S5" s="6"/>
      <c r="T5" s="8"/>
      <c r="U5" s="6"/>
      <c r="V5" s="10"/>
      <c r="W5" s="10"/>
      <c r="X5" s="10"/>
      <c r="Y5" s="10"/>
      <c r="Z5" s="10"/>
      <c r="AA5" s="10"/>
      <c r="AB5" s="10"/>
    </row>
    <row r="6" spans="1:28" ht="15" x14ac:dyDescent="0.25">
      <c r="A6" s="19"/>
      <c r="B6" s="19"/>
      <c r="C6" s="19" t="s">
        <v>15</v>
      </c>
      <c r="D6" s="20" t="s">
        <v>2</v>
      </c>
      <c r="E6" s="20" t="s">
        <v>3</v>
      </c>
      <c r="F6" s="20" t="s">
        <v>4</v>
      </c>
      <c r="G6" s="20" t="s">
        <v>5</v>
      </c>
      <c r="H6" s="20" t="s">
        <v>6</v>
      </c>
      <c r="I6" s="20" t="s">
        <v>7</v>
      </c>
      <c r="J6" s="20" t="s">
        <v>8</v>
      </c>
      <c r="K6" s="20" t="s">
        <v>9</v>
      </c>
      <c r="L6" s="20" t="s">
        <v>10</v>
      </c>
      <c r="M6" s="20" t="s">
        <v>11</v>
      </c>
      <c r="N6" s="20" t="s">
        <v>12</v>
      </c>
      <c r="O6" s="20" t="s">
        <v>13</v>
      </c>
      <c r="P6" s="6"/>
      <c r="Q6" s="75" t="s">
        <v>16</v>
      </c>
      <c r="R6" s="21" t="s">
        <v>17</v>
      </c>
      <c r="S6" s="20"/>
      <c r="T6" s="22"/>
      <c r="U6" s="6"/>
      <c r="V6" s="14"/>
      <c r="W6" s="14"/>
      <c r="X6" s="14"/>
      <c r="Y6" s="14"/>
      <c r="Z6" s="14"/>
      <c r="AA6" s="14"/>
      <c r="AB6" s="14"/>
    </row>
    <row r="7" spans="1:28" ht="15" x14ac:dyDescent="0.25">
      <c r="A7" s="23" t="s">
        <v>15</v>
      </c>
      <c r="B7" s="23" t="s">
        <v>74</v>
      </c>
      <c r="C7" s="23" t="s">
        <v>55</v>
      </c>
      <c r="D7" s="25">
        <v>450</v>
      </c>
      <c r="E7" s="25">
        <v>450</v>
      </c>
      <c r="F7" s="25">
        <v>450</v>
      </c>
      <c r="G7" s="25">
        <v>450</v>
      </c>
      <c r="H7" s="25">
        <v>450</v>
      </c>
      <c r="I7" s="24">
        <v>450</v>
      </c>
      <c r="J7" s="24">
        <v>450</v>
      </c>
      <c r="K7" s="24">
        <v>450</v>
      </c>
      <c r="L7" s="24">
        <v>550</v>
      </c>
      <c r="M7" s="24">
        <v>350</v>
      </c>
      <c r="N7" s="24">
        <v>350</v>
      </c>
      <c r="O7" s="24">
        <v>350</v>
      </c>
      <c r="P7" s="6"/>
      <c r="Q7" s="25">
        <f t="shared" ref="Q7:Q15" si="1">SUM(D7:O7)</f>
        <v>5200</v>
      </c>
      <c r="R7" s="26" t="str">
        <f ca="1">IFERROR(__xludf.DUMMYFUNCTION("iferror(SPARKLINE(B7:M7))"),"")</f>
        <v/>
      </c>
      <c r="S7" s="27">
        <v>0.1260360707</v>
      </c>
      <c r="T7" s="87" t="s">
        <v>18</v>
      </c>
      <c r="U7" s="6"/>
      <c r="V7" s="18"/>
      <c r="W7" s="18"/>
      <c r="X7" s="18"/>
      <c r="Y7" s="18"/>
      <c r="Z7" s="18"/>
      <c r="AA7" s="18"/>
      <c r="AB7" s="18"/>
    </row>
    <row r="8" spans="1:28" ht="15" x14ac:dyDescent="0.25">
      <c r="A8" s="23" t="s">
        <v>15</v>
      </c>
      <c r="B8" s="23" t="s">
        <v>74</v>
      </c>
      <c r="C8" s="23" t="s">
        <v>55</v>
      </c>
      <c r="D8" s="25">
        <v>900</v>
      </c>
      <c r="E8" s="25">
        <v>900</v>
      </c>
      <c r="F8" s="25">
        <v>900</v>
      </c>
      <c r="G8" s="25">
        <v>900</v>
      </c>
      <c r="H8" s="24">
        <v>900</v>
      </c>
      <c r="I8" s="24">
        <v>900</v>
      </c>
      <c r="J8" s="24">
        <v>900</v>
      </c>
      <c r="K8" s="24">
        <f t="shared" ref="K8:O8" si="2">900</f>
        <v>900</v>
      </c>
      <c r="L8" s="24">
        <f t="shared" si="2"/>
        <v>900</v>
      </c>
      <c r="M8" s="24">
        <f t="shared" si="2"/>
        <v>900</v>
      </c>
      <c r="N8" s="24">
        <f t="shared" si="2"/>
        <v>900</v>
      </c>
      <c r="O8" s="24">
        <f t="shared" si="2"/>
        <v>900</v>
      </c>
      <c r="P8" s="6"/>
      <c r="Q8" s="25">
        <f t="shared" si="1"/>
        <v>10800</v>
      </c>
      <c r="R8" s="26" t="str">
        <f ca="1">IFERROR(__xludf.DUMMYFUNCTION("iferror(SPARKLINE(B8:M8))"),"")</f>
        <v/>
      </c>
      <c r="S8" s="27">
        <v>0.34177042140000002</v>
      </c>
      <c r="T8" s="88"/>
      <c r="U8" s="6"/>
      <c r="V8" s="18"/>
      <c r="W8" s="18"/>
      <c r="X8" s="18"/>
      <c r="Y8" s="18"/>
      <c r="Z8" s="18"/>
      <c r="AA8" s="18"/>
      <c r="AB8" s="18"/>
    </row>
    <row r="9" spans="1:28" ht="15" x14ac:dyDescent="0.25">
      <c r="A9" s="77" t="s">
        <v>15</v>
      </c>
      <c r="B9" s="77" t="s">
        <v>74</v>
      </c>
      <c r="C9" s="77" t="s">
        <v>73</v>
      </c>
      <c r="D9" s="25">
        <f>(50+150+100+100+50)-210</f>
        <v>240</v>
      </c>
      <c r="E9" s="25">
        <f>150+210</f>
        <v>360</v>
      </c>
      <c r="F9" s="25">
        <f>150+100+20+10</f>
        <v>280</v>
      </c>
      <c r="G9" s="25">
        <v>2</v>
      </c>
      <c r="H9" s="25">
        <f>50+20</f>
        <v>70</v>
      </c>
      <c r="I9" s="24">
        <f>150+450+100</f>
        <v>700</v>
      </c>
      <c r="J9" s="24">
        <f>1000+150+20+10+20</f>
        <v>1200</v>
      </c>
      <c r="K9" s="24">
        <f>200+40</f>
        <v>240</v>
      </c>
      <c r="L9" s="24">
        <f>40+50+150</f>
        <v>240</v>
      </c>
      <c r="M9" s="24"/>
      <c r="N9" s="24">
        <f t="shared" ref="N9:O9" si="3">150</f>
        <v>150</v>
      </c>
      <c r="O9" s="24">
        <f t="shared" si="3"/>
        <v>150</v>
      </c>
      <c r="P9" s="6"/>
      <c r="Q9" s="25">
        <f t="shared" si="1"/>
        <v>3632</v>
      </c>
      <c r="R9" s="26" t="str">
        <f ca="1">IFERROR(__xludf.DUMMYFUNCTION("iferror(SPARKLINE(B9:M9))"),"")</f>
        <v/>
      </c>
      <c r="S9" s="27">
        <v>0.1149361269</v>
      </c>
      <c r="T9" s="88"/>
      <c r="U9" s="6"/>
      <c r="V9" s="18"/>
      <c r="W9" s="18"/>
      <c r="X9" s="18"/>
      <c r="Y9" s="18"/>
      <c r="Z9" s="18"/>
      <c r="AA9" s="18"/>
      <c r="AB9" s="18"/>
    </row>
    <row r="10" spans="1:28" ht="15" x14ac:dyDescent="0.25">
      <c r="A10" s="23" t="s">
        <v>15</v>
      </c>
      <c r="B10" s="23" t="s">
        <v>74</v>
      </c>
      <c r="C10" s="23" t="s">
        <v>56</v>
      </c>
      <c r="D10" s="25"/>
      <c r="E10" s="24">
        <f>300+45+73.5+(656.45-332)+143.12</f>
        <v>886.07</v>
      </c>
      <c r="F10" s="24">
        <f>128+310+40+225</f>
        <v>703</v>
      </c>
      <c r="G10" s="25"/>
      <c r="H10" s="25"/>
      <c r="I10" s="25">
        <f>240+45+240</f>
        <v>525</v>
      </c>
      <c r="J10" s="25">
        <f>240+50</f>
        <v>290</v>
      </c>
      <c r="K10" s="25">
        <f>50+60+50</f>
        <v>160</v>
      </c>
      <c r="L10" s="24">
        <f>50</f>
        <v>50</v>
      </c>
      <c r="M10" s="24">
        <f>62</f>
        <v>62</v>
      </c>
      <c r="N10" s="24">
        <v>500</v>
      </c>
      <c r="O10" s="24"/>
      <c r="P10" s="6"/>
      <c r="Q10" s="25">
        <f t="shared" si="1"/>
        <v>3176.07</v>
      </c>
      <c r="R10" s="26" t="str">
        <f ca="1">IFERROR(__xludf.DUMMYFUNCTION("iferror(SPARKLINE(B10:M10))"),"")</f>
        <v/>
      </c>
      <c r="S10" s="27">
        <v>9.1567257890000003E-2</v>
      </c>
      <c r="T10" s="88"/>
      <c r="U10" s="6"/>
      <c r="V10" s="18"/>
      <c r="W10" s="18"/>
      <c r="X10" s="18"/>
      <c r="Y10" s="18"/>
      <c r="Z10" s="18"/>
      <c r="AA10" s="18"/>
      <c r="AB10" s="18"/>
    </row>
    <row r="11" spans="1:28" ht="15" x14ac:dyDescent="0.25">
      <c r="A11" s="23" t="s">
        <v>15</v>
      </c>
      <c r="B11" s="23" t="s">
        <v>74</v>
      </c>
      <c r="C11" s="23" t="s">
        <v>57</v>
      </c>
      <c r="D11" s="25"/>
      <c r="E11" s="24"/>
      <c r="F11" s="25"/>
      <c r="G11" s="25"/>
      <c r="H11" s="25">
        <f>60</f>
        <v>60</v>
      </c>
      <c r="I11" s="25"/>
      <c r="J11" s="25"/>
      <c r="K11" s="25"/>
      <c r="L11" s="24">
        <f>8+7.6</f>
        <v>15.6</v>
      </c>
      <c r="M11" s="24">
        <f>7.87+7.64</f>
        <v>15.51</v>
      </c>
      <c r="N11" s="24">
        <f>7.75+7.56</f>
        <v>15.309999999999999</v>
      </c>
      <c r="O11" s="24">
        <f>7.4+7.65</f>
        <v>15.05</v>
      </c>
      <c r="P11" s="6"/>
      <c r="Q11" s="25">
        <f t="shared" si="1"/>
        <v>121.47</v>
      </c>
      <c r="R11" s="26" t="str">
        <f ca="1">IFERROR(__xludf.DUMMYFUNCTION("iferror(SPARKLINE(B11:M11))"),"")</f>
        <v/>
      </c>
      <c r="S11" s="27">
        <v>2.1360651340000002E-2</v>
      </c>
      <c r="T11" s="88"/>
      <c r="U11" s="6"/>
      <c r="V11" s="18"/>
      <c r="W11" s="18"/>
      <c r="X11" s="18"/>
      <c r="Y11" s="18"/>
      <c r="Z11" s="18"/>
      <c r="AA11" s="18"/>
      <c r="AB11" s="18"/>
    </row>
    <row r="12" spans="1:28" ht="15" x14ac:dyDescent="0.25">
      <c r="A12" s="23" t="s">
        <v>15</v>
      </c>
      <c r="B12" s="23" t="s">
        <v>74</v>
      </c>
      <c r="C12" s="23"/>
      <c r="D12" s="25"/>
      <c r="E12" s="24"/>
      <c r="F12" s="25"/>
      <c r="G12" s="25"/>
      <c r="H12" s="25"/>
      <c r="I12" s="25"/>
      <c r="J12" s="25"/>
      <c r="K12" s="25"/>
      <c r="L12" s="24"/>
      <c r="M12" s="24"/>
      <c r="N12" s="24"/>
      <c r="O12" s="24"/>
      <c r="P12" s="6"/>
      <c r="Q12" s="25">
        <f t="shared" si="1"/>
        <v>0</v>
      </c>
      <c r="R12" s="26" t="str">
        <f ca="1">IFERROR(__xludf.DUMMYFUNCTION("iferror(SPARKLINE(B12:M12))"),"")</f>
        <v/>
      </c>
      <c r="S12" s="27">
        <v>0.1005080354</v>
      </c>
      <c r="T12" s="88"/>
      <c r="U12" s="6"/>
      <c r="V12" s="18"/>
      <c r="W12" s="18"/>
      <c r="X12" s="18"/>
      <c r="Y12" s="18"/>
      <c r="Z12" s="18"/>
      <c r="AA12" s="18"/>
      <c r="AB12" s="18"/>
    </row>
    <row r="13" spans="1:28" ht="15" x14ac:dyDescent="0.25">
      <c r="A13" s="23" t="s">
        <v>15</v>
      </c>
      <c r="B13" s="23" t="s">
        <v>74</v>
      </c>
      <c r="C13" s="23"/>
      <c r="D13" s="25"/>
      <c r="E13" s="24"/>
      <c r="F13" s="25"/>
      <c r="G13" s="25"/>
      <c r="H13" s="25"/>
      <c r="I13" s="25"/>
      <c r="J13" s="25"/>
      <c r="K13" s="25"/>
      <c r="L13" s="24"/>
      <c r="M13" s="24"/>
      <c r="N13" s="24"/>
      <c r="O13" s="24"/>
      <c r="P13" s="6"/>
      <c r="Q13" s="25">
        <f t="shared" si="1"/>
        <v>0</v>
      </c>
      <c r="R13" s="26"/>
      <c r="S13" s="27">
        <v>2.1360651340000002E-2</v>
      </c>
      <c r="T13" s="88"/>
      <c r="U13" s="6"/>
      <c r="V13" s="18"/>
      <c r="W13" s="18"/>
      <c r="X13" s="18"/>
      <c r="Y13" s="18"/>
      <c r="Z13" s="18"/>
      <c r="AA13" s="18"/>
      <c r="AB13" s="18"/>
    </row>
    <row r="14" spans="1:28" ht="15" x14ac:dyDescent="0.25">
      <c r="A14" s="23" t="s">
        <v>15</v>
      </c>
      <c r="B14" s="23" t="s">
        <v>74</v>
      </c>
      <c r="C14" s="23"/>
      <c r="D14" s="25"/>
      <c r="E14" s="24"/>
      <c r="F14" s="25"/>
      <c r="G14" s="25"/>
      <c r="H14" s="25"/>
      <c r="I14" s="25"/>
      <c r="J14" s="25"/>
      <c r="K14" s="25"/>
      <c r="L14" s="24"/>
      <c r="M14" s="24"/>
      <c r="N14" s="24"/>
      <c r="O14" s="24"/>
      <c r="P14" s="6"/>
      <c r="Q14" s="25">
        <f t="shared" si="1"/>
        <v>0</v>
      </c>
      <c r="R14" s="26"/>
      <c r="S14" s="27">
        <v>2.1360651340000002E-2</v>
      </c>
      <c r="T14" s="88"/>
      <c r="U14" s="6"/>
      <c r="V14" s="18"/>
      <c r="W14" s="18"/>
      <c r="X14" s="18"/>
      <c r="Y14" s="18"/>
      <c r="Z14" s="18"/>
      <c r="AA14" s="18"/>
      <c r="AB14" s="18"/>
    </row>
    <row r="15" spans="1:28" ht="15" x14ac:dyDescent="0.25">
      <c r="A15" s="23" t="s">
        <v>15</v>
      </c>
      <c r="B15" s="23" t="s">
        <v>74</v>
      </c>
      <c r="C15" s="23"/>
      <c r="D15" s="25"/>
      <c r="E15" s="24"/>
      <c r="F15" s="25"/>
      <c r="G15" s="25"/>
      <c r="H15" s="25"/>
      <c r="I15" s="25"/>
      <c r="J15" s="25"/>
      <c r="K15" s="25"/>
      <c r="L15" s="24"/>
      <c r="M15" s="24"/>
      <c r="N15" s="24"/>
      <c r="O15" s="24"/>
      <c r="P15" s="6"/>
      <c r="Q15" s="25">
        <f t="shared" si="1"/>
        <v>0</v>
      </c>
      <c r="R15" s="26"/>
      <c r="S15" s="27">
        <v>2.1360651340000002E-2</v>
      </c>
      <c r="T15" s="88"/>
      <c r="U15" s="6"/>
      <c r="V15" s="18"/>
      <c r="W15" s="18"/>
      <c r="X15" s="18"/>
      <c r="Y15" s="18"/>
      <c r="Z15" s="18"/>
      <c r="AA15" s="18"/>
      <c r="AB15" s="18"/>
    </row>
    <row r="16" spans="1:28" ht="15" x14ac:dyDescent="0.25">
      <c r="A16" s="23" t="s">
        <v>15</v>
      </c>
      <c r="B16" s="23" t="s">
        <v>74</v>
      </c>
      <c r="C16" s="23" t="s">
        <v>19</v>
      </c>
      <c r="D16" s="25">
        <f>2.61+27.71+11.1</f>
        <v>41.42</v>
      </c>
      <c r="E16" s="24"/>
      <c r="F16" s="25">
        <v>100</v>
      </c>
      <c r="G16" s="24">
        <v>1250</v>
      </c>
      <c r="H16" s="24">
        <f>45+534.77</f>
        <v>579.77</v>
      </c>
      <c r="I16" s="24">
        <f>65</f>
        <v>65</v>
      </c>
      <c r="J16" s="24">
        <f>200+72.5+100+25</f>
        <v>397.5</v>
      </c>
      <c r="K16" s="24">
        <f>72.5+20+100+110</f>
        <v>302.5</v>
      </c>
      <c r="L16" s="24">
        <v>100</v>
      </c>
      <c r="M16" s="24">
        <v>160</v>
      </c>
      <c r="N16" s="24">
        <v>5</v>
      </c>
      <c r="O16" s="24">
        <f>67.5+72.1</f>
        <v>139.6</v>
      </c>
      <c r="P16" s="6"/>
      <c r="Q16" s="25">
        <f>SUM(D16:O16)</f>
        <v>3140.79</v>
      </c>
      <c r="R16" s="26" t="str">
        <f ca="1">IFERROR(__xludf.DUMMYFUNCTION("iferror(SPARKLINE(B16:M16))"),"")</f>
        <v/>
      </c>
      <c r="S16" s="27">
        <v>0.20382143629999999</v>
      </c>
      <c r="T16" s="89"/>
      <c r="U16" s="6"/>
      <c r="V16" s="18"/>
      <c r="W16" s="18"/>
      <c r="X16" s="18"/>
      <c r="Y16" s="18"/>
      <c r="Z16" s="18"/>
      <c r="AA16" s="18"/>
      <c r="AB16" s="18"/>
    </row>
    <row r="17" spans="1:28" ht="15" x14ac:dyDescent="0.25">
      <c r="A17" s="28"/>
      <c r="B17" s="28"/>
      <c r="C17" s="28" t="s">
        <v>20</v>
      </c>
      <c r="D17" s="29">
        <f t="shared" ref="D17:O17" si="4">SUM(D7:D16)</f>
        <v>1631.42</v>
      </c>
      <c r="E17" s="29">
        <f t="shared" si="4"/>
        <v>2596.0700000000002</v>
      </c>
      <c r="F17" s="29">
        <f t="shared" si="4"/>
        <v>2433</v>
      </c>
      <c r="G17" s="29">
        <f t="shared" si="4"/>
        <v>2602</v>
      </c>
      <c r="H17" s="29">
        <f t="shared" si="4"/>
        <v>2059.77</v>
      </c>
      <c r="I17" s="29">
        <f t="shared" si="4"/>
        <v>2640</v>
      </c>
      <c r="J17" s="29">
        <f t="shared" si="4"/>
        <v>3237.5</v>
      </c>
      <c r="K17" s="29">
        <f t="shared" si="4"/>
        <v>2052.5</v>
      </c>
      <c r="L17" s="29">
        <f t="shared" si="4"/>
        <v>1855.6</v>
      </c>
      <c r="M17" s="29">
        <f t="shared" si="4"/>
        <v>1487.51</v>
      </c>
      <c r="N17" s="29">
        <f t="shared" si="4"/>
        <v>1920.31</v>
      </c>
      <c r="O17" s="29">
        <f t="shared" si="4"/>
        <v>1554.6499999999999</v>
      </c>
      <c r="P17" s="6"/>
      <c r="Q17" s="30">
        <f>SUM(Q7:Q16)</f>
        <v>26070.33</v>
      </c>
      <c r="R17" s="31"/>
      <c r="S17" s="30"/>
      <c r="T17" s="6"/>
      <c r="U17" s="6"/>
      <c r="V17" s="18"/>
      <c r="W17" s="18"/>
      <c r="X17" s="18"/>
      <c r="Y17" s="18"/>
      <c r="Z17" s="18"/>
      <c r="AA17" s="18"/>
      <c r="AB17" s="18"/>
    </row>
    <row r="18" spans="1:28" ht="15" x14ac:dyDescent="0.25">
      <c r="A18" s="6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6"/>
      <c r="O18" s="6"/>
      <c r="P18" s="6"/>
      <c r="Q18" s="76"/>
      <c r="R18" s="6"/>
      <c r="S18" s="6"/>
      <c r="T18" s="6"/>
      <c r="U18" s="6"/>
      <c r="V18" s="10"/>
      <c r="W18" s="10"/>
      <c r="X18" s="10"/>
      <c r="Y18" s="10"/>
      <c r="Z18" s="10"/>
      <c r="AA18" s="10"/>
      <c r="AB18" s="10"/>
    </row>
    <row r="19" spans="1:28" ht="15" x14ac:dyDescent="0.25">
      <c r="A19" s="32"/>
      <c r="B19" s="32"/>
      <c r="C19" s="32" t="s">
        <v>21</v>
      </c>
      <c r="D19" s="33" t="s">
        <v>2</v>
      </c>
      <c r="E19" s="33" t="s">
        <v>3</v>
      </c>
      <c r="F19" s="33" t="s">
        <v>4</v>
      </c>
      <c r="G19" s="33" t="s">
        <v>5</v>
      </c>
      <c r="H19" s="33" t="s">
        <v>6</v>
      </c>
      <c r="I19" s="33" t="s">
        <v>7</v>
      </c>
      <c r="J19" s="33" t="s">
        <v>8</v>
      </c>
      <c r="K19" s="33" t="s">
        <v>9</v>
      </c>
      <c r="L19" s="33" t="s">
        <v>10</v>
      </c>
      <c r="M19" s="33" t="s">
        <v>11</v>
      </c>
      <c r="N19" s="33" t="s">
        <v>12</v>
      </c>
      <c r="O19" s="33" t="s">
        <v>13</v>
      </c>
      <c r="P19" s="6"/>
      <c r="Q19" s="74" t="s">
        <v>16</v>
      </c>
      <c r="R19" s="35" t="s">
        <v>17</v>
      </c>
      <c r="S19" s="33"/>
      <c r="T19" s="6"/>
      <c r="U19" s="6"/>
      <c r="V19" s="14"/>
      <c r="W19" s="14"/>
      <c r="X19" s="14"/>
      <c r="Y19" s="14"/>
      <c r="Z19" s="14"/>
      <c r="AA19" s="14"/>
      <c r="AB19" s="14"/>
    </row>
    <row r="20" spans="1:28" ht="15" x14ac:dyDescent="0.25">
      <c r="A20" s="23" t="s">
        <v>21</v>
      </c>
      <c r="B20" s="23" t="s">
        <v>75</v>
      </c>
      <c r="C20" s="23" t="s">
        <v>22</v>
      </c>
      <c r="D20" s="24">
        <v>407</v>
      </c>
      <c r="E20" s="24">
        <v>359.08</v>
      </c>
      <c r="F20" s="24">
        <v>459.76</v>
      </c>
      <c r="G20" s="24">
        <v>301.61</v>
      </c>
      <c r="H20" s="24">
        <v>385.95</v>
      </c>
      <c r="I20" s="24">
        <v>368.21</v>
      </c>
      <c r="J20" s="24">
        <v>301.61</v>
      </c>
      <c r="K20" s="24">
        <f>301.61+57.33</f>
        <v>358.94</v>
      </c>
      <c r="L20" s="24">
        <f t="shared" ref="L20:N20" si="5">301.61*15.5%+301.61</f>
        <v>348.35955000000001</v>
      </c>
      <c r="M20" s="24">
        <f t="shared" si="5"/>
        <v>348.35955000000001</v>
      </c>
      <c r="N20" s="24">
        <f t="shared" si="5"/>
        <v>348.35955000000001</v>
      </c>
      <c r="O20" s="24">
        <f>301.61*15.5%+301.61+64.37</f>
        <v>412.72955000000002</v>
      </c>
      <c r="P20" s="6"/>
      <c r="Q20" s="25">
        <f t="shared" ref="Q20:Q26" si="6">SUM(D20:O20)</f>
        <v>4399.9682000000003</v>
      </c>
      <c r="R20" s="36" t="str">
        <f ca="1">IFERROR(__xludf.DUMMYFUNCTION("iferror(SPARKLINE(B20:M20))"),"")</f>
        <v/>
      </c>
      <c r="S20" s="27">
        <v>0.30171265959999999</v>
      </c>
      <c r="T20" s="6"/>
      <c r="U20" s="6"/>
      <c r="V20" s="18"/>
      <c r="W20" s="18"/>
      <c r="X20" s="18"/>
      <c r="Y20" s="18"/>
      <c r="Z20" s="18"/>
      <c r="AA20" s="18"/>
      <c r="AB20" s="18"/>
    </row>
    <row r="21" spans="1:28" ht="15" x14ac:dyDescent="0.25">
      <c r="A21" s="23" t="s">
        <v>21</v>
      </c>
      <c r="B21" s="23" t="s">
        <v>76</v>
      </c>
      <c r="C21" s="23" t="s">
        <v>23</v>
      </c>
      <c r="D21" s="24">
        <v>124.19</v>
      </c>
      <c r="E21" s="24">
        <v>133.32</v>
      </c>
      <c r="F21" s="24">
        <v>133.32</v>
      </c>
      <c r="G21" s="24">
        <v>133.32</v>
      </c>
      <c r="H21" s="37"/>
      <c r="I21" s="24">
        <v>67.040000000000006</v>
      </c>
      <c r="J21" s="24">
        <v>66.06</v>
      </c>
      <c r="K21" s="24">
        <v>66.06</v>
      </c>
      <c r="L21" s="24">
        <v>66.06</v>
      </c>
      <c r="M21" s="24">
        <v>66.819999999999993</v>
      </c>
      <c r="N21" s="24">
        <v>66.06</v>
      </c>
      <c r="O21" s="24">
        <v>66.819999999999993</v>
      </c>
      <c r="P21" s="6"/>
      <c r="Q21" s="25">
        <f t="shared" si="6"/>
        <v>989.06999999999971</v>
      </c>
      <c r="R21" s="36" t="str">
        <f ca="1">IFERROR(__xludf.DUMMYFUNCTION("iferror(SPARKLINE(B21:M21))"),"")</f>
        <v/>
      </c>
      <c r="S21" s="27">
        <v>6.7822067489999999E-2</v>
      </c>
      <c r="T21" s="6"/>
      <c r="U21" s="6"/>
      <c r="V21" s="18"/>
      <c r="W21" s="18"/>
      <c r="X21" s="18"/>
      <c r="Y21" s="18"/>
      <c r="Z21" s="18"/>
      <c r="AA21" s="18"/>
      <c r="AB21" s="18"/>
    </row>
    <row r="22" spans="1:28" ht="15" x14ac:dyDescent="0.25">
      <c r="A22" s="23" t="s">
        <v>21</v>
      </c>
      <c r="B22" s="23" t="s">
        <v>77</v>
      </c>
      <c r="C22" s="23" t="s">
        <v>24</v>
      </c>
      <c r="D22" s="24">
        <f t="shared" ref="D22:E22" si="7">30.61+34.95</f>
        <v>65.56</v>
      </c>
      <c r="E22" s="24">
        <f t="shared" si="7"/>
        <v>65.56</v>
      </c>
      <c r="F22" s="24">
        <f>34.95+20+12.49+24.99+34.99</f>
        <v>127.41999999999999</v>
      </c>
      <c r="G22" s="24">
        <f>29.84+20</f>
        <v>49.84</v>
      </c>
      <c r="H22" s="24">
        <f>26.99+20+26.99</f>
        <v>73.97999999999999</v>
      </c>
      <c r="I22" s="24">
        <f>4+29.84</f>
        <v>33.840000000000003</v>
      </c>
      <c r="J22" s="24">
        <f t="shared" ref="J22:L22" si="8">20+29.84</f>
        <v>49.84</v>
      </c>
      <c r="K22" s="24">
        <f t="shared" si="8"/>
        <v>49.84</v>
      </c>
      <c r="L22" s="24">
        <f t="shared" si="8"/>
        <v>49.84</v>
      </c>
      <c r="M22" s="24">
        <v>20</v>
      </c>
      <c r="N22" s="24">
        <f>20+12.99</f>
        <v>32.99</v>
      </c>
      <c r="O22" s="24">
        <f>20+29.99+30.28+28</f>
        <v>108.27</v>
      </c>
      <c r="P22" s="6"/>
      <c r="Q22" s="25">
        <f t="shared" si="6"/>
        <v>726.98000000000013</v>
      </c>
      <c r="R22" s="36" t="str">
        <f ca="1">IFERROR(__xludf.DUMMYFUNCTION("iferror(SPARKLINE(B22:M22))"),"")</f>
        <v/>
      </c>
      <c r="S22" s="27">
        <v>4.9850148750000003E-2</v>
      </c>
      <c r="T22" s="6"/>
      <c r="U22" s="6"/>
      <c r="V22" s="18"/>
      <c r="W22" s="18"/>
      <c r="X22" s="18"/>
      <c r="Y22" s="18"/>
      <c r="Z22" s="18"/>
      <c r="AA22" s="18"/>
      <c r="AB22" s="18"/>
    </row>
    <row r="23" spans="1:28" ht="15" x14ac:dyDescent="0.25">
      <c r="A23" s="23" t="s">
        <v>21</v>
      </c>
      <c r="B23" s="23" t="s">
        <v>77</v>
      </c>
      <c r="C23" s="23" t="s">
        <v>58</v>
      </c>
      <c r="D23" s="24">
        <f t="shared" ref="D23:H23" si="9">6.9+9.9</f>
        <v>16.8</v>
      </c>
      <c r="E23" s="24">
        <f t="shared" si="9"/>
        <v>16.8</v>
      </c>
      <c r="F23" s="24">
        <f t="shared" si="9"/>
        <v>16.8</v>
      </c>
      <c r="G23" s="24">
        <f t="shared" si="9"/>
        <v>16.8</v>
      </c>
      <c r="H23" s="24">
        <f t="shared" si="9"/>
        <v>16.8</v>
      </c>
      <c r="I23" s="24">
        <f>9.9+8.9</f>
        <v>18.8</v>
      </c>
      <c r="J23" s="24">
        <f t="shared" ref="J23:K23" si="10">14.9+8.9</f>
        <v>23.8</v>
      </c>
      <c r="K23" s="24">
        <f t="shared" si="10"/>
        <v>23.8</v>
      </c>
      <c r="L23" s="24">
        <f>14.9</f>
        <v>14.9</v>
      </c>
      <c r="M23" s="24">
        <f t="shared" ref="M23:N23" si="11">14.9+8.9</f>
        <v>23.8</v>
      </c>
      <c r="N23" s="24">
        <f t="shared" si="11"/>
        <v>23.8</v>
      </c>
      <c r="O23" s="24">
        <f>14.9+8.9+6.99</f>
        <v>30.79</v>
      </c>
      <c r="P23" s="6"/>
      <c r="Q23" s="25">
        <f t="shared" si="6"/>
        <v>243.69000000000003</v>
      </c>
      <c r="R23" s="36" t="str">
        <f ca="1">IFERROR(__xludf.DUMMYFUNCTION("iferror(SPARKLINE(B23:M23))"),"")</f>
        <v/>
      </c>
      <c r="S23" s="27">
        <v>1.6710202140000002E-2</v>
      </c>
      <c r="T23" s="6"/>
      <c r="U23" s="6"/>
      <c r="V23" s="18"/>
      <c r="W23" s="18"/>
      <c r="X23" s="18"/>
      <c r="Y23" s="18"/>
      <c r="Z23" s="18"/>
      <c r="AA23" s="18"/>
      <c r="AB23" s="18"/>
    </row>
    <row r="24" spans="1:28" ht="15" x14ac:dyDescent="0.25">
      <c r="A24" s="23" t="s">
        <v>21</v>
      </c>
      <c r="B24" s="23" t="s">
        <v>78</v>
      </c>
      <c r="C24" s="23" t="s">
        <v>59</v>
      </c>
      <c r="D24" s="24">
        <f>287.99/6</f>
        <v>47.998333333333335</v>
      </c>
      <c r="E24" s="24">
        <f t="shared" ref="E24:G24" si="12">287.86+(48.01)</f>
        <v>335.87</v>
      </c>
      <c r="F24" s="24">
        <f t="shared" si="12"/>
        <v>335.87</v>
      </c>
      <c r="G24" s="24">
        <f t="shared" si="12"/>
        <v>335.87</v>
      </c>
      <c r="H24" s="24">
        <f>287.86+(48.01)+22.9</f>
        <v>358.77</v>
      </c>
      <c r="I24" s="24">
        <f>287.86+(48.01)+70</f>
        <v>405.87</v>
      </c>
      <c r="J24" s="24">
        <f>287.86+71.51+40.91</f>
        <v>400.28</v>
      </c>
      <c r="K24" s="24">
        <f>287.86</f>
        <v>287.86</v>
      </c>
      <c r="L24" s="24"/>
      <c r="M24" s="24"/>
      <c r="N24" s="24"/>
      <c r="O24" s="24"/>
      <c r="P24" s="6"/>
      <c r="Q24" s="25">
        <f t="shared" si="6"/>
        <v>2508.3883333333338</v>
      </c>
      <c r="R24" s="36" t="str">
        <f ca="1">IFERROR(__xludf.DUMMYFUNCTION("iferror(SPARKLINE(B24:M24))"),"")</f>
        <v/>
      </c>
      <c r="S24" s="27">
        <v>0.25771853080000001</v>
      </c>
      <c r="T24" s="6"/>
      <c r="U24" s="6"/>
      <c r="V24" s="18"/>
      <c r="W24" s="18"/>
      <c r="X24" s="18"/>
      <c r="Y24" s="18"/>
      <c r="Z24" s="18"/>
      <c r="AA24" s="18"/>
      <c r="AB24" s="18"/>
    </row>
    <row r="25" spans="1:28" ht="15" x14ac:dyDescent="0.25">
      <c r="A25" s="23" t="s">
        <v>21</v>
      </c>
      <c r="B25" s="23" t="s">
        <v>78</v>
      </c>
      <c r="C25" s="23" t="s">
        <v>60</v>
      </c>
      <c r="D25" s="24"/>
      <c r="E25" s="24"/>
      <c r="F25" s="24"/>
      <c r="G25" s="24"/>
      <c r="H25" s="24"/>
      <c r="I25" s="24"/>
      <c r="J25" s="24"/>
      <c r="K25" s="24">
        <v>250</v>
      </c>
      <c r="L25" s="24">
        <v>250</v>
      </c>
      <c r="M25" s="24">
        <v>250</v>
      </c>
      <c r="N25" s="24">
        <v>250</v>
      </c>
      <c r="O25" s="24">
        <v>250</v>
      </c>
      <c r="P25" s="6"/>
      <c r="Q25" s="25">
        <f t="shared" si="6"/>
        <v>1250</v>
      </c>
      <c r="R25" s="36" t="str">
        <f ca="1">IFERROR(__xludf.DUMMYFUNCTION("iferror(SPARKLINE(B25:M25))"),"")</f>
        <v/>
      </c>
      <c r="S25" s="27">
        <v>9.2571598690000007E-2</v>
      </c>
      <c r="T25" s="6"/>
      <c r="U25" s="6"/>
      <c r="V25" s="18"/>
      <c r="W25" s="18"/>
      <c r="X25" s="18"/>
      <c r="Y25" s="18"/>
      <c r="Z25" s="18"/>
      <c r="AA25" s="18"/>
      <c r="AB25" s="18"/>
    </row>
    <row r="26" spans="1:28" ht="15" x14ac:dyDescent="0.25">
      <c r="A26" s="23" t="s">
        <v>21</v>
      </c>
      <c r="B26" s="23" t="s">
        <v>75</v>
      </c>
      <c r="C26" s="86" t="s">
        <v>61</v>
      </c>
      <c r="D26" s="24"/>
      <c r="E26" s="24"/>
      <c r="F26" s="24">
        <v>150</v>
      </c>
      <c r="G26" s="24">
        <v>150</v>
      </c>
      <c r="H26" s="24">
        <v>150</v>
      </c>
      <c r="I26" s="24">
        <v>150</v>
      </c>
      <c r="J26" s="24">
        <f t="shared" ref="J26:K26" si="13">150</f>
        <v>150</v>
      </c>
      <c r="K26" s="24">
        <f t="shared" si="13"/>
        <v>150</v>
      </c>
      <c r="L26" s="24">
        <f>150*2</f>
        <v>300</v>
      </c>
      <c r="M26" s="24"/>
      <c r="N26" s="24">
        <v>150</v>
      </c>
      <c r="O26" s="24"/>
      <c r="P26" s="6"/>
      <c r="Q26" s="25">
        <f t="shared" si="6"/>
        <v>1350</v>
      </c>
      <c r="R26" s="36" t="s">
        <v>54</v>
      </c>
      <c r="S26" s="27">
        <v>9.2571598690000007E-2</v>
      </c>
      <c r="T26" s="6"/>
      <c r="U26" s="6"/>
      <c r="V26" s="18"/>
      <c r="W26" s="18"/>
      <c r="X26" s="18"/>
      <c r="Y26" s="18"/>
      <c r="Z26" s="18"/>
      <c r="AA26" s="18"/>
      <c r="AB26" s="18"/>
    </row>
    <row r="27" spans="1:28" ht="15" x14ac:dyDescent="0.25">
      <c r="A27" s="23" t="s">
        <v>21</v>
      </c>
      <c r="B27" s="23" t="s">
        <v>79</v>
      </c>
      <c r="C27" s="23" t="s">
        <v>62</v>
      </c>
      <c r="D27" s="24">
        <v>9.49</v>
      </c>
      <c r="E27" s="24">
        <f>3+8.39</f>
        <v>11.39</v>
      </c>
      <c r="F27" s="24">
        <f>3.5+14.99</f>
        <v>18.490000000000002</v>
      </c>
      <c r="G27" s="24">
        <f>17</f>
        <v>17</v>
      </c>
      <c r="H27" s="24">
        <f>6.99+7.4</f>
        <v>14.39</v>
      </c>
      <c r="I27" s="24">
        <f>17+13+11.5</f>
        <v>41.5</v>
      </c>
      <c r="J27" s="24">
        <f>7.5+13</f>
        <v>20.5</v>
      </c>
      <c r="K27" s="24">
        <f>13.2+42.05+24.68+3.5+3.5+22</f>
        <v>108.93</v>
      </c>
      <c r="L27" s="24">
        <f>5.98+4.49+11.48+5.5+2+8+31.23+17+11+10+16+10.5+10.5</f>
        <v>143.68</v>
      </c>
      <c r="M27" s="24">
        <f>(11+10.5+8.5+20+12+12+8.5+9.87+13+8.5+4+6.5+33.89+8.95+12)</f>
        <v>179.20999999999998</v>
      </c>
      <c r="N27" s="24">
        <f>14+11.2+2.5+1.2+6+6+11.4+6+12+10+9.8+36+48.98+15+19.99+8.5+14+15.4+26.5+13.85+7+12+19.99+15+4+17+15+5</f>
        <v>383.31000000000006</v>
      </c>
      <c r="O27" s="24">
        <f>13.5+14+15+28.8+37+19.99+26.94+8.5+22.66+27.5+19.85+20.98+4+31+12</f>
        <v>301.71999999999997</v>
      </c>
      <c r="P27" s="6"/>
      <c r="Q27" s="25">
        <f t="shared" ref="Q27:Q29" si="14">SUM(D27:O27)</f>
        <v>1249.6099999999999</v>
      </c>
      <c r="R27" s="36" t="str">
        <f ca="1">IFERROR(__xludf.DUMMYFUNCTION("iferror(SPARKLINE(B27:M27))"),"")</f>
        <v/>
      </c>
      <c r="S27" s="27">
        <v>8.5687700330000005E-2</v>
      </c>
      <c r="T27" s="6"/>
      <c r="U27" s="6"/>
      <c r="V27" s="18"/>
      <c r="W27" s="18"/>
      <c r="X27" s="18"/>
      <c r="Y27" s="18"/>
      <c r="Z27" s="18"/>
      <c r="AA27" s="18"/>
      <c r="AB27" s="18"/>
    </row>
    <row r="28" spans="1:28" ht="15" x14ac:dyDescent="0.25">
      <c r="A28" s="23" t="s">
        <v>21</v>
      </c>
      <c r="B28" s="23" t="s">
        <v>79</v>
      </c>
      <c r="C28" s="23" t="s">
        <v>63</v>
      </c>
      <c r="D28" s="24">
        <v>30.45</v>
      </c>
      <c r="E28" s="24">
        <v>30.45</v>
      </c>
      <c r="F28" s="24">
        <v>18.7</v>
      </c>
      <c r="G28" s="24"/>
      <c r="H28" s="24">
        <v>118.16</v>
      </c>
      <c r="I28" s="24"/>
      <c r="J28" s="24">
        <v>65.8</v>
      </c>
      <c r="K28" s="24"/>
      <c r="L28" s="24">
        <v>22.3</v>
      </c>
      <c r="M28" s="24">
        <v>113.37</v>
      </c>
      <c r="N28" s="24">
        <v>88.37</v>
      </c>
      <c r="O28" s="24">
        <v>196.46</v>
      </c>
      <c r="P28" s="6"/>
      <c r="Q28" s="25">
        <f t="shared" si="14"/>
        <v>684.06000000000006</v>
      </c>
      <c r="R28" s="36" t="str">
        <f ca="1">IFERROR(__xludf.DUMMYFUNCTION("iferror(SPARKLINE(B28:M28))"),"")</f>
        <v/>
      </c>
      <c r="S28" s="27">
        <v>2.8868624480000001E-2</v>
      </c>
      <c r="T28" s="6"/>
      <c r="U28" s="6"/>
      <c r="V28" s="18"/>
      <c r="W28" s="18"/>
      <c r="X28" s="18"/>
      <c r="Y28" s="18"/>
      <c r="Z28" s="18"/>
      <c r="AA28" s="18"/>
      <c r="AB28" s="18"/>
    </row>
    <row r="29" spans="1:28" ht="15" x14ac:dyDescent="0.25">
      <c r="A29" s="23" t="s">
        <v>21</v>
      </c>
      <c r="B29" s="23" t="s">
        <v>80</v>
      </c>
      <c r="C29" s="23" t="s">
        <v>64</v>
      </c>
      <c r="D29" s="24">
        <v>40</v>
      </c>
      <c r="E29" s="24"/>
      <c r="F29" s="24">
        <v>20</v>
      </c>
      <c r="G29" s="24"/>
      <c r="H29" s="24"/>
      <c r="I29" s="24"/>
      <c r="J29" s="24">
        <v>20</v>
      </c>
      <c r="K29" s="24"/>
      <c r="L29" s="24"/>
      <c r="M29" s="24">
        <f>70.4</f>
        <v>70.400000000000006</v>
      </c>
      <c r="N29" s="24">
        <v>67.400000000000006</v>
      </c>
      <c r="O29" s="24">
        <f>82+40+40-(20+20+20)+((22+22)*4.4)/2+4.4</f>
        <v>203.20000000000002</v>
      </c>
      <c r="P29" s="6"/>
      <c r="Q29" s="25">
        <f t="shared" si="14"/>
        <v>421</v>
      </c>
      <c r="R29" s="36" t="str">
        <f ca="1">IFERROR(__xludf.DUMMYFUNCTION("iferror(SPARKLINE(B29:M29))"),"")</f>
        <v/>
      </c>
      <c r="S29" s="27">
        <v>9.9058467760000005E-2</v>
      </c>
      <c r="T29" s="6"/>
      <c r="U29" s="6"/>
      <c r="V29" s="18"/>
      <c r="W29" s="18"/>
      <c r="X29" s="18"/>
      <c r="Y29" s="18"/>
      <c r="Z29" s="18"/>
      <c r="AA29" s="18"/>
      <c r="AB29" s="18"/>
    </row>
    <row r="30" spans="1:28" ht="15" x14ac:dyDescent="0.25">
      <c r="A30" s="23" t="s">
        <v>21</v>
      </c>
      <c r="B30" s="23" t="s">
        <v>80</v>
      </c>
      <c r="C30" s="23" t="s">
        <v>65</v>
      </c>
      <c r="D30" s="24">
        <f>11.23</f>
        <v>11.23</v>
      </c>
      <c r="E30" s="24">
        <f>15+5+15+12.91+9.08+17.52+22.85+12.22+12+15+15</f>
        <v>151.57999999999998</v>
      </c>
      <c r="F30" s="24">
        <f>26+10.97+13.01+8.09</f>
        <v>58.069999999999993</v>
      </c>
      <c r="G30" s="24">
        <f>16.95+13.97+2+9.92+3+11.97+6.68+11.96+14.93+12.91+3+5.73</f>
        <v>113.02000000000002</v>
      </c>
      <c r="H30" s="24">
        <f>12.91</f>
        <v>12.91</v>
      </c>
      <c r="I30" s="24">
        <f>14.92+8.93+14.95+13.92</f>
        <v>52.72</v>
      </c>
      <c r="J30" s="24">
        <f>17.99+14.96+14.98+14.97+3+14.97+14.98+14.96+17.99+19.98+8.98+23.87+9.92+3+8.92+21.39+19.72+10</f>
        <v>254.57999999999996</v>
      </c>
      <c r="K30" s="24">
        <f>14.7+8.4+11.47+19.96+8.63+17.97+22.96</f>
        <v>104.09</v>
      </c>
      <c r="L30" s="24">
        <f>9.96+8.98+8.9+8.9+9.91+16.92+17.93+8.83+9.96+14.98+10.99+9.94+12.98+24</f>
        <v>173.17999999999998</v>
      </c>
      <c r="M30" s="24">
        <f>40+0.78+12.78+14.98+8.91+9.47+(23.94-2.37)+13.95+9.98+10.98+15.1+19.99+55.8</f>
        <v>234.29000000000002</v>
      </c>
      <c r="N30" s="24">
        <f>17.92+10.97+10.92+8.98+9.96+10.93+9.93+19.93+13.99+7.82</f>
        <v>121.35000000000002</v>
      </c>
      <c r="O30" s="24">
        <f>29.94+13.96+14.92+19.99+13.96+14.92+29.9+19.99</f>
        <v>157.58000000000001</v>
      </c>
      <c r="P30" s="6"/>
      <c r="Q30" s="25">
        <f t="shared" ref="Q30:Q31" si="15">SUM(D30:O30)</f>
        <v>1444.6</v>
      </c>
      <c r="R30" s="36" t="s">
        <v>54</v>
      </c>
      <c r="S30" s="27">
        <v>9.2571598690000007E-2</v>
      </c>
      <c r="T30" s="6"/>
      <c r="U30" s="6"/>
      <c r="V30" s="18"/>
      <c r="W30" s="18"/>
      <c r="X30" s="18"/>
      <c r="Y30" s="18"/>
      <c r="Z30" s="18"/>
      <c r="AA30" s="18"/>
      <c r="AB30" s="18"/>
    </row>
    <row r="31" spans="1:28" ht="15" x14ac:dyDescent="0.25">
      <c r="A31" s="23" t="s">
        <v>21</v>
      </c>
      <c r="B31" s="23" t="s">
        <v>81</v>
      </c>
      <c r="C31" s="23" t="s">
        <v>27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6"/>
      <c r="Q31" s="25">
        <f t="shared" si="15"/>
        <v>0</v>
      </c>
      <c r="R31" s="36" t="s">
        <v>54</v>
      </c>
      <c r="S31" s="27">
        <v>0</v>
      </c>
      <c r="T31" s="4"/>
      <c r="U31" s="6"/>
      <c r="V31" s="18"/>
      <c r="W31" s="18"/>
      <c r="X31" s="18"/>
      <c r="Y31" s="18"/>
      <c r="Z31" s="18"/>
      <c r="AA31" s="18"/>
      <c r="AB31" s="18"/>
    </row>
    <row r="32" spans="1:28" ht="15" x14ac:dyDescent="0.25">
      <c r="A32" s="23" t="s">
        <v>21</v>
      </c>
      <c r="B32" s="23" t="s">
        <v>79</v>
      </c>
      <c r="C32" s="23" t="s">
        <v>67</v>
      </c>
      <c r="D32" s="24"/>
      <c r="E32" s="24"/>
      <c r="F32" s="24"/>
      <c r="G32" s="24">
        <f>7.08</f>
        <v>7.08</v>
      </c>
      <c r="H32" s="24"/>
      <c r="I32" s="24">
        <f>14.93</f>
        <v>14.93</v>
      </c>
      <c r="J32" s="24">
        <f>25.6+14.5</f>
        <v>40.1</v>
      </c>
      <c r="K32" s="24"/>
      <c r="L32" s="24"/>
      <c r="M32" s="24"/>
      <c r="N32" s="24"/>
      <c r="O32" s="24">
        <f>44.35</f>
        <v>44.35</v>
      </c>
      <c r="P32" s="6"/>
      <c r="Q32" s="25">
        <f t="shared" ref="Q32" si="16">SUM(D32:O32)</f>
        <v>106.46000000000001</v>
      </c>
      <c r="R32" s="36"/>
      <c r="S32" s="27"/>
      <c r="T32" s="4"/>
      <c r="U32" s="6"/>
      <c r="V32" s="18"/>
      <c r="W32" s="18"/>
      <c r="X32" s="18"/>
      <c r="Y32" s="18"/>
      <c r="Z32" s="18"/>
      <c r="AA32" s="18"/>
      <c r="AB32" s="18"/>
    </row>
    <row r="33" spans="1:28" ht="15" x14ac:dyDescent="0.25">
      <c r="A33" s="23" t="s">
        <v>21</v>
      </c>
      <c r="B33" s="23" t="s">
        <v>81</v>
      </c>
      <c r="C33" s="23" t="s">
        <v>28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6"/>
      <c r="Q33" s="25">
        <f t="shared" ref="Q31:Q33" si="17">SUM(D33:O33)</f>
        <v>0</v>
      </c>
      <c r="R33" s="36" t="s">
        <v>54</v>
      </c>
      <c r="S33" s="27">
        <v>0</v>
      </c>
      <c r="T33" s="4"/>
      <c r="U33" s="6"/>
      <c r="V33" s="18"/>
      <c r="W33" s="18"/>
      <c r="X33" s="18"/>
      <c r="Y33" s="18"/>
      <c r="Z33" s="18"/>
      <c r="AA33" s="18"/>
      <c r="AB33" s="18"/>
    </row>
    <row r="34" spans="1:28" ht="15" x14ac:dyDescent="0.25">
      <c r="A34" s="38"/>
      <c r="B34" s="38"/>
      <c r="C34" s="38" t="s">
        <v>25</v>
      </c>
      <c r="D34" s="39">
        <f t="shared" ref="D34:O34" si="18">SUM(D20:D33)</f>
        <v>752.71833333333336</v>
      </c>
      <c r="E34" s="39">
        <f t="shared" si="18"/>
        <v>1104.05</v>
      </c>
      <c r="F34" s="39">
        <f t="shared" si="18"/>
        <v>1338.4299999999998</v>
      </c>
      <c r="G34" s="39">
        <f t="shared" si="18"/>
        <v>1124.54</v>
      </c>
      <c r="H34" s="39">
        <f t="shared" si="18"/>
        <v>1130.96</v>
      </c>
      <c r="I34" s="39">
        <f t="shared" si="18"/>
        <v>1152.9100000000001</v>
      </c>
      <c r="J34" s="39">
        <f t="shared" si="18"/>
        <v>1392.5699999999997</v>
      </c>
      <c r="K34" s="39">
        <f t="shared" si="18"/>
        <v>1399.52</v>
      </c>
      <c r="L34" s="39">
        <f t="shared" si="18"/>
        <v>1368.3195499999999</v>
      </c>
      <c r="M34" s="39">
        <f t="shared" si="18"/>
        <v>1306.24955</v>
      </c>
      <c r="N34" s="39">
        <f t="shared" si="18"/>
        <v>1531.6395499999999</v>
      </c>
      <c r="O34" s="39">
        <f t="shared" si="18"/>
        <v>1771.9195499999998</v>
      </c>
      <c r="P34" s="6"/>
      <c r="Q34" s="40">
        <f>SUM(Q20:Q33)</f>
        <v>15373.826533333333</v>
      </c>
      <c r="R34" s="41"/>
      <c r="S34" s="40"/>
      <c r="T34" s="4"/>
      <c r="U34" s="6"/>
      <c r="V34" s="18"/>
      <c r="W34" s="18"/>
      <c r="X34" s="18"/>
      <c r="Y34" s="18"/>
      <c r="Z34" s="18"/>
      <c r="AA34" s="18"/>
      <c r="AB34" s="18"/>
    </row>
    <row r="35" spans="1:28" ht="15" x14ac:dyDescent="0.25">
      <c r="A35" s="6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4"/>
      <c r="U35" s="6"/>
      <c r="V35" s="10"/>
      <c r="W35" s="10"/>
      <c r="X35" s="10"/>
      <c r="Y35" s="10"/>
      <c r="Z35" s="10"/>
      <c r="AA35" s="10"/>
      <c r="AB35" s="10"/>
    </row>
    <row r="36" spans="1:28" ht="15" x14ac:dyDescent="0.25">
      <c r="A36" s="42"/>
      <c r="B36" s="42"/>
      <c r="C36" s="42" t="s">
        <v>26</v>
      </c>
      <c r="D36" s="33" t="s">
        <v>2</v>
      </c>
      <c r="E36" s="33" t="s">
        <v>3</v>
      </c>
      <c r="F36" s="33" t="s">
        <v>4</v>
      </c>
      <c r="G36" s="33" t="s">
        <v>5</v>
      </c>
      <c r="H36" s="33" t="s">
        <v>6</v>
      </c>
      <c r="I36" s="33" t="s">
        <v>7</v>
      </c>
      <c r="J36" s="33" t="s">
        <v>8</v>
      </c>
      <c r="K36" s="33" t="s">
        <v>9</v>
      </c>
      <c r="L36" s="33" t="s">
        <v>10</v>
      </c>
      <c r="M36" s="33" t="s">
        <v>11</v>
      </c>
      <c r="N36" s="33" t="s">
        <v>12</v>
      </c>
      <c r="O36" s="33" t="s">
        <v>13</v>
      </c>
      <c r="P36" s="6"/>
      <c r="Q36" s="34" t="s">
        <v>16</v>
      </c>
      <c r="R36" s="35"/>
      <c r="S36" s="33"/>
      <c r="T36" s="4"/>
      <c r="U36" s="6"/>
      <c r="V36" s="14"/>
      <c r="W36" s="14"/>
      <c r="X36" s="14"/>
      <c r="Y36" s="14"/>
      <c r="Z36" s="14"/>
      <c r="AA36" s="14"/>
      <c r="AB36" s="14"/>
    </row>
    <row r="37" spans="1:28" ht="15" x14ac:dyDescent="0.25">
      <c r="A37" s="23" t="s">
        <v>26</v>
      </c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6"/>
      <c r="Q37" s="25">
        <f t="shared" ref="Q37:Q41" si="19">SUM(D37:O37)</f>
        <v>0</v>
      </c>
      <c r="R37" s="36"/>
      <c r="S37" s="27">
        <v>0</v>
      </c>
      <c r="T37" s="4"/>
      <c r="U37" s="6"/>
      <c r="V37" s="18"/>
      <c r="W37" s="18"/>
      <c r="X37" s="18"/>
      <c r="Y37" s="18"/>
      <c r="Z37" s="18"/>
      <c r="AA37" s="18"/>
      <c r="AB37" s="18"/>
    </row>
    <row r="38" spans="1:28" ht="15" x14ac:dyDescent="0.25">
      <c r="A38" s="23" t="s">
        <v>26</v>
      </c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6"/>
      <c r="Q38" s="25">
        <f t="shared" si="19"/>
        <v>0</v>
      </c>
      <c r="R38" s="36"/>
      <c r="S38" s="27">
        <v>0</v>
      </c>
      <c r="T38" s="43"/>
      <c r="U38" s="6"/>
      <c r="V38" s="18"/>
      <c r="W38" s="18"/>
      <c r="X38" s="18"/>
      <c r="Y38" s="18"/>
      <c r="Z38" s="18"/>
      <c r="AA38" s="18"/>
      <c r="AB38" s="18"/>
    </row>
    <row r="39" spans="1:28" ht="15" x14ac:dyDescent="0.25">
      <c r="A39" s="23" t="s">
        <v>26</v>
      </c>
      <c r="B39" s="23" t="s">
        <v>81</v>
      </c>
      <c r="C39" s="23" t="s">
        <v>66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6"/>
      <c r="Q39" s="25">
        <f t="shared" si="19"/>
        <v>0</v>
      </c>
      <c r="R39" s="36"/>
      <c r="S39" s="27">
        <v>0</v>
      </c>
      <c r="T39" s="6"/>
      <c r="U39" s="6"/>
      <c r="V39" s="18"/>
      <c r="W39" s="18"/>
      <c r="X39" s="18"/>
      <c r="Y39" s="18"/>
      <c r="Z39" s="18"/>
      <c r="AA39" s="18"/>
      <c r="AB39" s="18"/>
    </row>
    <row r="40" spans="1:28" ht="15" x14ac:dyDescent="0.25">
      <c r="A40" s="23" t="s">
        <v>26</v>
      </c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6"/>
      <c r="Q40" s="25">
        <f t="shared" si="19"/>
        <v>0</v>
      </c>
      <c r="R40" s="36"/>
      <c r="S40" s="27">
        <v>3.0975134400000002E-4</v>
      </c>
      <c r="T40" s="6"/>
      <c r="U40" s="6"/>
      <c r="V40" s="18"/>
      <c r="W40" s="18"/>
      <c r="X40" s="18"/>
      <c r="Y40" s="18"/>
      <c r="Z40" s="18"/>
      <c r="AA40" s="18"/>
      <c r="AB40" s="18"/>
    </row>
    <row r="41" spans="1:28" ht="15" x14ac:dyDescent="0.25">
      <c r="A41" s="23" t="s">
        <v>26</v>
      </c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6"/>
      <c r="Q41" s="25">
        <f t="shared" si="19"/>
        <v>0</v>
      </c>
      <c r="R41" s="36"/>
      <c r="S41" s="27">
        <v>0</v>
      </c>
      <c r="T41" s="6"/>
      <c r="U41" s="6"/>
      <c r="V41" s="18"/>
      <c r="W41" s="18"/>
      <c r="X41" s="18"/>
      <c r="Y41" s="18"/>
      <c r="Z41" s="18"/>
      <c r="AA41" s="18"/>
      <c r="AB41" s="18"/>
    </row>
    <row r="42" spans="1:28" ht="15" x14ac:dyDescent="0.25">
      <c r="A42" s="23" t="s">
        <v>26</v>
      </c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6"/>
      <c r="Q42" s="25">
        <f t="shared" ref="Q42:Q45" si="20">SUM(D42:O42)</f>
        <v>0</v>
      </c>
      <c r="R42" s="36"/>
      <c r="S42" s="27">
        <v>0</v>
      </c>
      <c r="T42" s="6"/>
      <c r="U42" s="6"/>
      <c r="V42" s="18"/>
      <c r="W42" s="18"/>
      <c r="X42" s="18"/>
      <c r="Y42" s="18"/>
      <c r="Z42" s="18"/>
      <c r="AA42" s="18"/>
      <c r="AB42" s="18"/>
    </row>
    <row r="43" spans="1:28" ht="15" x14ac:dyDescent="0.25">
      <c r="A43" s="23" t="s">
        <v>26</v>
      </c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6"/>
      <c r="Q43" s="25">
        <f t="shared" si="20"/>
        <v>0</v>
      </c>
      <c r="R43" s="36"/>
      <c r="S43" s="27">
        <v>0</v>
      </c>
      <c r="T43" s="6"/>
      <c r="U43" s="6"/>
      <c r="V43" s="18"/>
      <c r="W43" s="18"/>
      <c r="X43" s="18"/>
      <c r="Y43" s="18"/>
      <c r="Z43" s="18"/>
      <c r="AA43" s="18"/>
      <c r="AB43" s="18"/>
    </row>
    <row r="44" spans="1:28" ht="15" x14ac:dyDescent="0.25">
      <c r="A44" s="23" t="s">
        <v>26</v>
      </c>
      <c r="B44" s="23" t="s">
        <v>75</v>
      </c>
      <c r="C44" s="23" t="s">
        <v>30</v>
      </c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6"/>
      <c r="Q44" s="25">
        <f t="shared" si="20"/>
        <v>0</v>
      </c>
      <c r="R44" s="36"/>
      <c r="S44" s="27">
        <v>0</v>
      </c>
      <c r="T44" s="6"/>
      <c r="U44" s="6"/>
      <c r="V44" s="18"/>
      <c r="W44" s="18"/>
      <c r="X44" s="18"/>
      <c r="Y44" s="18"/>
      <c r="Z44" s="18"/>
      <c r="AA44" s="18"/>
      <c r="AB44" s="18"/>
    </row>
    <row r="45" spans="1:28" ht="15" x14ac:dyDescent="0.25">
      <c r="A45" s="23" t="s">
        <v>26</v>
      </c>
      <c r="B45" s="23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>
        <f>(250/3)+50+5</f>
        <v>138.33333333333331</v>
      </c>
      <c r="N45" s="24">
        <f>250/3</f>
        <v>83.333333333333329</v>
      </c>
      <c r="O45" s="24"/>
      <c r="P45" s="6"/>
      <c r="Q45" s="25">
        <f t="shared" si="20"/>
        <v>221.66666666666663</v>
      </c>
      <c r="R45" s="36"/>
      <c r="S45" s="27">
        <v>0</v>
      </c>
      <c r="T45" s="6"/>
      <c r="U45" s="6"/>
      <c r="V45" s="18"/>
      <c r="W45" s="18"/>
      <c r="X45" s="18"/>
      <c r="Y45" s="18"/>
      <c r="Z45" s="18"/>
      <c r="AA45" s="18"/>
      <c r="AB45" s="18"/>
    </row>
    <row r="46" spans="1:28" ht="15" x14ac:dyDescent="0.25">
      <c r="A46" s="23" t="s">
        <v>26</v>
      </c>
      <c r="B46" s="23" t="s">
        <v>79</v>
      </c>
      <c r="C46" s="23" t="s">
        <v>31</v>
      </c>
      <c r="D46" s="24">
        <f>48.5+11.22</f>
        <v>59.72</v>
      </c>
      <c r="E46" s="24">
        <f>48.5+11.22+53.88+78.15</f>
        <v>191.75</v>
      </c>
      <c r="F46" s="24">
        <f>48.5+11.22+88+108</f>
        <v>255.72</v>
      </c>
      <c r="G46" s="24">
        <f>48.5+11.22+16</f>
        <v>75.72</v>
      </c>
      <c r="H46" s="24">
        <f>48.5+11.22+51.99</f>
        <v>111.71000000000001</v>
      </c>
      <c r="I46" s="24">
        <f>48.5+(103.36/2)</f>
        <v>100.18</v>
      </c>
      <c r="J46" s="24">
        <f>10.7+(103.36/2)</f>
        <v>62.379999999999995</v>
      </c>
      <c r="K46" s="24"/>
      <c r="L46" s="24">
        <f>19.8</f>
        <v>19.8</v>
      </c>
      <c r="M46" s="24">
        <f>(213.25/10)+16+30.76+3</f>
        <v>71.085000000000008</v>
      </c>
      <c r="N46" s="24">
        <f>(213.25/10)+23.28+30.67</f>
        <v>75.275000000000006</v>
      </c>
      <c r="O46" s="24">
        <f>(213.25/10)+91.35/10</f>
        <v>30.46</v>
      </c>
      <c r="P46" s="6"/>
      <c r="Q46" s="25">
        <f t="shared" ref="Q46:Q48" si="21">SUM(D46:O46)</f>
        <v>1053.8</v>
      </c>
      <c r="R46" s="36"/>
      <c r="S46" s="27">
        <v>6.5283193259999997E-2</v>
      </c>
      <c r="T46" s="43"/>
      <c r="U46" s="6"/>
      <c r="V46" s="18"/>
      <c r="W46" s="18"/>
      <c r="X46" s="18"/>
      <c r="Y46" s="18"/>
      <c r="Z46" s="18"/>
      <c r="AA46" s="18"/>
      <c r="AB46" s="18"/>
    </row>
    <row r="47" spans="1:28" ht="15" x14ac:dyDescent="0.25">
      <c r="A47" s="23" t="s">
        <v>26</v>
      </c>
      <c r="B47" s="23" t="s">
        <v>75</v>
      </c>
      <c r="C47" s="23" t="s">
        <v>61</v>
      </c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6"/>
      <c r="Q47" s="25">
        <f t="shared" si="21"/>
        <v>0</v>
      </c>
      <c r="R47" s="36"/>
      <c r="S47" s="27">
        <v>6.5952256170000003E-3</v>
      </c>
      <c r="T47" s="43"/>
      <c r="U47" s="6"/>
      <c r="V47" s="18"/>
      <c r="W47" s="18"/>
      <c r="X47" s="18"/>
      <c r="Y47" s="18"/>
      <c r="Z47" s="18"/>
      <c r="AA47" s="18"/>
      <c r="AB47" s="18"/>
    </row>
    <row r="48" spans="1:28" ht="15" x14ac:dyDescent="0.25">
      <c r="A48" s="23" t="s">
        <v>26</v>
      </c>
      <c r="B48" s="23" t="s">
        <v>75</v>
      </c>
      <c r="C48" s="23" t="s">
        <v>68</v>
      </c>
      <c r="D48" s="24">
        <v>54</v>
      </c>
      <c r="E48" s="24"/>
      <c r="F48" s="24"/>
      <c r="G48" s="24">
        <f>42.77</f>
        <v>42.77</v>
      </c>
      <c r="H48" s="24"/>
      <c r="I48" s="24"/>
      <c r="J48" s="24"/>
      <c r="K48" s="24"/>
      <c r="L48" s="24">
        <f>41.9+35.35+16+15+35.9</f>
        <v>144.15</v>
      </c>
      <c r="M48" s="24"/>
      <c r="N48" s="24"/>
      <c r="O48" s="24"/>
      <c r="P48" s="6"/>
      <c r="Q48" s="25">
        <f t="shared" si="21"/>
        <v>240.92000000000002</v>
      </c>
      <c r="R48" s="36"/>
      <c r="S48" s="27">
        <v>1.492505876E-2</v>
      </c>
      <c r="T48" s="43"/>
      <c r="U48" s="6"/>
      <c r="V48" s="18"/>
      <c r="W48" s="18"/>
      <c r="X48" s="18"/>
      <c r="Y48" s="18"/>
      <c r="Z48" s="18"/>
      <c r="AA48" s="18"/>
      <c r="AB48" s="18"/>
    </row>
    <row r="49" spans="1:28" ht="15" x14ac:dyDescent="0.25">
      <c r="A49" s="23" t="s">
        <v>26</v>
      </c>
      <c r="B49" s="23" t="s">
        <v>75</v>
      </c>
      <c r="C49" s="23" t="s">
        <v>29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6"/>
      <c r="Q49" s="25">
        <f t="shared" ref="Q49" si="22">SUM(D49:O49)</f>
        <v>0</v>
      </c>
      <c r="R49" s="36"/>
      <c r="S49" s="27">
        <v>0</v>
      </c>
      <c r="T49" s="43"/>
      <c r="U49" s="6"/>
      <c r="V49" s="18"/>
      <c r="W49" s="18"/>
      <c r="X49" s="18"/>
      <c r="Y49" s="18"/>
      <c r="Z49" s="18"/>
      <c r="AA49" s="18"/>
      <c r="AB49" s="18"/>
    </row>
    <row r="50" spans="1:28" ht="15" x14ac:dyDescent="0.25">
      <c r="A50" s="23" t="s">
        <v>26</v>
      </c>
      <c r="B50" s="23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6"/>
      <c r="Q50" s="25">
        <f t="shared" ref="Q50:Q63" si="23">SUM(D50:O50)</f>
        <v>0</v>
      </c>
      <c r="R50" s="36"/>
      <c r="S50" s="27">
        <v>2.2425997310000001E-2</v>
      </c>
      <c r="T50" s="43"/>
      <c r="U50" s="6"/>
      <c r="V50" s="18"/>
      <c r="W50" s="18"/>
      <c r="X50" s="18"/>
      <c r="Y50" s="18"/>
      <c r="Z50" s="18"/>
      <c r="AA50" s="18"/>
      <c r="AB50" s="18"/>
    </row>
    <row r="51" spans="1:28" ht="15" x14ac:dyDescent="0.25">
      <c r="A51" s="23" t="s">
        <v>26</v>
      </c>
      <c r="B51" s="23" t="s">
        <v>82</v>
      </c>
      <c r="C51" s="23" t="s">
        <v>32</v>
      </c>
      <c r="D51" s="24"/>
      <c r="E51" s="24">
        <f>210+130</f>
        <v>340</v>
      </c>
      <c r="F51" s="24"/>
      <c r="G51" s="24"/>
      <c r="H51" s="24"/>
      <c r="I51" s="24"/>
      <c r="J51" s="24"/>
      <c r="K51" s="24"/>
      <c r="L51" s="24"/>
      <c r="M51" s="24">
        <f>22</f>
        <v>22</v>
      </c>
      <c r="N51" s="24"/>
      <c r="O51" s="24"/>
      <c r="P51" s="6"/>
      <c r="Q51" s="25">
        <f t="shared" si="23"/>
        <v>362</v>
      </c>
      <c r="R51" s="36"/>
      <c r="S51" s="27">
        <v>3.6891385069999999E-3</v>
      </c>
      <c r="T51" s="43"/>
      <c r="U51" s="6"/>
      <c r="V51" s="18"/>
      <c r="W51" s="18"/>
      <c r="X51" s="18"/>
      <c r="Y51" s="18"/>
      <c r="Z51" s="18"/>
      <c r="AA51" s="18"/>
      <c r="AB51" s="18"/>
    </row>
    <row r="52" spans="1:28" ht="15" x14ac:dyDescent="0.25">
      <c r="A52" s="23" t="s">
        <v>26</v>
      </c>
      <c r="B52" s="23" t="s">
        <v>82</v>
      </c>
      <c r="C52" s="23" t="s">
        <v>33</v>
      </c>
      <c r="D52" s="24"/>
      <c r="E52" s="24"/>
      <c r="F52" s="24">
        <f>80+35</f>
        <v>115</v>
      </c>
      <c r="G52" s="24"/>
      <c r="H52" s="24"/>
      <c r="I52" s="24">
        <f>40+20</f>
        <v>60</v>
      </c>
      <c r="J52" s="24">
        <f>15+30+20</f>
        <v>65</v>
      </c>
      <c r="K52" s="78" t="s">
        <v>85</v>
      </c>
      <c r="L52" s="24">
        <v>90</v>
      </c>
      <c r="M52" s="24">
        <f>30</f>
        <v>30</v>
      </c>
      <c r="N52" s="24">
        <v>10</v>
      </c>
      <c r="O52" s="24">
        <f>20+(300/2)+(300/2)+10+27</f>
        <v>357</v>
      </c>
      <c r="P52" s="6"/>
      <c r="Q52" s="25">
        <f t="shared" si="23"/>
        <v>727</v>
      </c>
      <c r="R52" s="36"/>
      <c r="S52" s="27">
        <v>4.503784542E-2</v>
      </c>
      <c r="T52" s="43"/>
      <c r="U52" s="6"/>
      <c r="V52" s="18"/>
      <c r="W52" s="18"/>
      <c r="X52" s="18"/>
      <c r="Y52" s="18"/>
      <c r="Z52" s="18"/>
      <c r="AA52" s="18"/>
      <c r="AB52" s="18"/>
    </row>
    <row r="53" spans="1:28" ht="15" x14ac:dyDescent="0.25">
      <c r="A53" s="23" t="s">
        <v>26</v>
      </c>
      <c r="B53" s="23" t="s">
        <v>83</v>
      </c>
      <c r="C53" s="23" t="s">
        <v>35</v>
      </c>
      <c r="D53" s="24">
        <v>30.45</v>
      </c>
      <c r="E53" s="24">
        <v>30.45</v>
      </c>
      <c r="F53" s="24">
        <f>2.7+16</f>
        <v>18.7</v>
      </c>
      <c r="G53" s="24"/>
      <c r="H53" s="24">
        <f>10+83.16+25</f>
        <v>118.16</v>
      </c>
      <c r="I53" s="24"/>
      <c r="J53" s="24">
        <f>50+7.9+7.9</f>
        <v>65.8</v>
      </c>
      <c r="K53" s="24"/>
      <c r="L53" s="24">
        <f>22.3</f>
        <v>22.3</v>
      </c>
      <c r="M53" s="24">
        <f>(194.6/3)+(47/2)+25</f>
        <v>113.36666666666666</v>
      </c>
      <c r="N53" s="24">
        <f>(194.6/3)+(47/2)</f>
        <v>88.36666666666666</v>
      </c>
      <c r="O53" s="24">
        <f>(194.6/3)+(124.95/3)+(184.9/10)+14.99+35+(42.92/2)</f>
        <v>196.45666666666668</v>
      </c>
      <c r="P53" s="6"/>
      <c r="Q53" s="25">
        <f t="shared" si="23"/>
        <v>684.05000000000007</v>
      </c>
      <c r="R53" s="36"/>
      <c r="S53" s="27">
        <v>4.237708137E-2</v>
      </c>
      <c r="T53" s="43"/>
      <c r="U53" s="6"/>
      <c r="V53" s="18"/>
      <c r="W53" s="18"/>
      <c r="X53" s="18"/>
      <c r="Y53" s="18"/>
      <c r="Z53" s="18"/>
      <c r="AA53" s="18"/>
      <c r="AB53" s="18"/>
    </row>
    <row r="54" spans="1:28" ht="15" x14ac:dyDescent="0.25">
      <c r="A54" s="23" t="s">
        <v>26</v>
      </c>
      <c r="B54" s="23" t="s">
        <v>83</v>
      </c>
      <c r="C54" s="23" t="s">
        <v>36</v>
      </c>
      <c r="D54" s="24"/>
      <c r="E54" s="24">
        <v>30</v>
      </c>
      <c r="F54" s="24"/>
      <c r="G54" s="24"/>
      <c r="H54" s="24"/>
      <c r="I54" s="24">
        <v>25</v>
      </c>
      <c r="J54" s="24">
        <f>123+30</f>
        <v>153</v>
      </c>
      <c r="K54" s="24"/>
      <c r="L54" s="24">
        <f>50+70+70</f>
        <v>190</v>
      </c>
      <c r="M54" s="24"/>
      <c r="N54" s="24"/>
      <c r="O54" s="24">
        <f>10+20</f>
        <v>30</v>
      </c>
      <c r="P54" s="6"/>
      <c r="Q54" s="25">
        <f t="shared" si="23"/>
        <v>428</v>
      </c>
      <c r="R54" s="36"/>
      <c r="S54" s="27">
        <v>9.9120430080000006E-3</v>
      </c>
      <c r="T54" s="43"/>
      <c r="U54" s="44"/>
      <c r="V54" s="18"/>
      <c r="W54" s="18"/>
      <c r="X54" s="18"/>
      <c r="Y54" s="18"/>
      <c r="Z54" s="18"/>
      <c r="AA54" s="18"/>
      <c r="AB54" s="18"/>
    </row>
    <row r="55" spans="1:28" ht="15" x14ac:dyDescent="0.25">
      <c r="A55" s="23" t="s">
        <v>26</v>
      </c>
      <c r="B55" s="23" t="s">
        <v>84</v>
      </c>
      <c r="C55" s="23" t="s">
        <v>34</v>
      </c>
      <c r="D55" s="24">
        <f>23.53+19.77+19.88+35.41</f>
        <v>98.589999999999989</v>
      </c>
      <c r="E55" s="24">
        <f>160+0.09+35.82+5</f>
        <v>200.91</v>
      </c>
      <c r="F55" s="24">
        <f>36.1</f>
        <v>36.1</v>
      </c>
      <c r="G55" s="24">
        <f>1350+10+20+14+36.31+10</f>
        <v>1440.31</v>
      </c>
      <c r="H55" s="24">
        <f>250+20+10+36.67</f>
        <v>316.67</v>
      </c>
      <c r="I55" s="24">
        <f>(300+600)+20+20+15.99+42.18+133.99+229.27+60.99</f>
        <v>1422.4199999999998</v>
      </c>
      <c r="J55" s="24">
        <f>50+22+(71.28/12)+12.98+20+25</f>
        <v>135.92000000000002</v>
      </c>
      <c r="K55" s="24">
        <f>(71.28/12)+600+66</f>
        <v>671.94</v>
      </c>
      <c r="L55" s="24">
        <f>(71.28/12)+79.99+11.6</f>
        <v>97.529999999999987</v>
      </c>
      <c r="M55" s="24">
        <f>((71.28/12)*10)-2.18+(250/3)+20+25</f>
        <v>185.55333333333334</v>
      </c>
      <c r="N55" s="78" t="s">
        <v>87</v>
      </c>
      <c r="O55" s="24"/>
      <c r="P55" s="6"/>
      <c r="Q55" s="25">
        <f t="shared" si="23"/>
        <v>4605.9433333333336</v>
      </c>
      <c r="R55" s="36"/>
      <c r="S55" s="27">
        <v>1.6772415780000001E-2</v>
      </c>
      <c r="T55" s="43"/>
      <c r="U55" s="44"/>
      <c r="V55" s="18"/>
      <c r="W55" s="18"/>
      <c r="X55" s="18"/>
      <c r="Y55" s="18"/>
      <c r="Z55" s="18"/>
      <c r="AA55" s="18"/>
      <c r="AB55" s="18"/>
    </row>
    <row r="56" spans="1:28" ht="15" x14ac:dyDescent="0.25">
      <c r="A56" s="23" t="s">
        <v>26</v>
      </c>
      <c r="B56" s="23" t="s">
        <v>84</v>
      </c>
      <c r="C56" s="23" t="s">
        <v>37</v>
      </c>
      <c r="D56" s="24"/>
      <c r="E56" s="24">
        <f>35.79</f>
        <v>35.79</v>
      </c>
      <c r="F56" s="24"/>
      <c r="G56" s="24"/>
      <c r="H56" s="24"/>
      <c r="I56" s="24">
        <f>17</f>
        <v>17</v>
      </c>
      <c r="J56" s="24">
        <f>18+23.95+6.48+11.97</f>
        <v>60.400000000000006</v>
      </c>
      <c r="K56" s="24">
        <f>8.98+(157.89/2)</f>
        <v>87.924999999999997</v>
      </c>
      <c r="L56" s="24">
        <f>(157.89/2)</f>
        <v>78.944999999999993</v>
      </c>
      <c r="M56" s="24"/>
      <c r="N56" s="24">
        <f>36+12.9</f>
        <v>48.9</v>
      </c>
      <c r="O56" s="24"/>
      <c r="P56" s="6"/>
      <c r="Q56" s="25">
        <f t="shared" si="23"/>
        <v>328.96</v>
      </c>
      <c r="R56" s="36"/>
      <c r="S56" s="27">
        <v>2.0379160430000001E-2</v>
      </c>
      <c r="T56" s="43"/>
      <c r="U56" s="44"/>
      <c r="V56" s="18"/>
      <c r="W56" s="18"/>
      <c r="X56" s="18"/>
      <c r="Y56" s="18"/>
      <c r="Z56" s="18"/>
      <c r="AA56" s="18"/>
      <c r="AB56" s="18"/>
    </row>
    <row r="57" spans="1:28" ht="15" x14ac:dyDescent="0.25">
      <c r="A57" s="23" t="s">
        <v>26</v>
      </c>
      <c r="B57" s="23" t="s">
        <v>84</v>
      </c>
      <c r="C57" s="23" t="s">
        <v>38</v>
      </c>
      <c r="D57" s="24"/>
      <c r="E57" s="24">
        <f>68+47</f>
        <v>115</v>
      </c>
      <c r="F57" s="24"/>
      <c r="G57" s="24">
        <f>5+8</f>
        <v>13</v>
      </c>
      <c r="H57" s="24">
        <f>30.79</f>
        <v>30.79</v>
      </c>
      <c r="I57" s="24"/>
      <c r="J57" s="24">
        <f>(69.99/2)+15+20+10+4.5</f>
        <v>84.495000000000005</v>
      </c>
      <c r="K57" s="24">
        <f>(69.99/2)+30.89</f>
        <v>65.884999999999991</v>
      </c>
      <c r="L57" s="24">
        <f>9.9+9.9+3.25+3.25</f>
        <v>26.3</v>
      </c>
      <c r="M57" s="24">
        <f>3.3+12</f>
        <v>15.3</v>
      </c>
      <c r="N57" s="24">
        <v>6.99</v>
      </c>
      <c r="O57" s="24">
        <f>67.5+15.9+87.39+2</f>
        <v>172.79000000000002</v>
      </c>
      <c r="P57" s="6"/>
      <c r="Q57" s="25">
        <f t="shared" si="23"/>
        <v>530.54999999999995</v>
      </c>
      <c r="R57" s="36"/>
      <c r="S57" s="27">
        <v>0.2620217594</v>
      </c>
      <c r="T57" s="43"/>
      <c r="U57" s="44"/>
      <c r="V57" s="18"/>
      <c r="W57" s="18"/>
      <c r="X57" s="18"/>
      <c r="Y57" s="18"/>
      <c r="Z57" s="18"/>
      <c r="AA57" s="18"/>
      <c r="AB57" s="18"/>
    </row>
    <row r="58" spans="1:28" ht="15" x14ac:dyDescent="0.25">
      <c r="A58" s="23" t="s">
        <v>26</v>
      </c>
      <c r="B58" s="23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6"/>
      <c r="Q58" s="25">
        <f t="shared" si="23"/>
        <v>0</v>
      </c>
      <c r="R58" s="36"/>
      <c r="S58" s="27">
        <v>2.6514715049999998E-2</v>
      </c>
      <c r="T58" s="43"/>
      <c r="U58" s="44"/>
      <c r="V58" s="18"/>
      <c r="W58" s="18"/>
      <c r="X58" s="18"/>
      <c r="Y58" s="18"/>
      <c r="Z58" s="18"/>
      <c r="AA58" s="18"/>
      <c r="AB58" s="18"/>
    </row>
    <row r="59" spans="1:28" ht="15" x14ac:dyDescent="0.25">
      <c r="A59" s="23" t="s">
        <v>26</v>
      </c>
      <c r="B59" s="23" t="s">
        <v>78</v>
      </c>
      <c r="C59" s="23" t="s">
        <v>69</v>
      </c>
      <c r="D59" s="24">
        <v>420</v>
      </c>
      <c r="E59" s="24">
        <f>82+54</f>
        <v>136</v>
      </c>
      <c r="F59" s="24"/>
      <c r="G59" s="24">
        <f>41.65</f>
        <v>41.65</v>
      </c>
      <c r="H59" s="24">
        <f>6.9+36.9</f>
        <v>43.8</v>
      </c>
      <c r="I59" s="24"/>
      <c r="J59" s="24"/>
      <c r="K59" s="24"/>
      <c r="L59" s="24">
        <v>333.53</v>
      </c>
      <c r="M59" s="24"/>
      <c r="N59" s="24">
        <v>284.05</v>
      </c>
      <c r="O59" s="24">
        <f>6.5+80.36</f>
        <v>86.86</v>
      </c>
      <c r="P59" s="6"/>
      <c r="Q59" s="25">
        <f t="shared" si="23"/>
        <v>1345.8899999999999</v>
      </c>
      <c r="R59" s="36"/>
      <c r="S59" s="27">
        <v>8.3378247279999998E-2</v>
      </c>
      <c r="T59" s="43"/>
      <c r="U59" s="44"/>
      <c r="V59" s="18"/>
      <c r="W59" s="18"/>
      <c r="X59" s="18"/>
      <c r="Y59" s="18"/>
      <c r="Z59" s="18"/>
      <c r="AA59" s="18"/>
      <c r="AB59" s="18"/>
    </row>
    <row r="60" spans="1:28" ht="15" x14ac:dyDescent="0.25">
      <c r="A60" s="23" t="s">
        <v>26</v>
      </c>
      <c r="B60" s="23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6"/>
      <c r="Q60" s="25">
        <f t="shared" si="23"/>
        <v>0</v>
      </c>
      <c r="R60" s="36"/>
      <c r="S60" s="27">
        <v>0.29907173720000002</v>
      </c>
      <c r="T60" s="43"/>
      <c r="U60" s="44"/>
      <c r="V60" s="18"/>
      <c r="W60" s="18"/>
      <c r="X60" s="18"/>
      <c r="Y60" s="18"/>
      <c r="Z60" s="18"/>
      <c r="AA60" s="18"/>
      <c r="AB60" s="18"/>
    </row>
    <row r="61" spans="1:28" ht="15" x14ac:dyDescent="0.25">
      <c r="A61" s="23" t="s">
        <v>26</v>
      </c>
      <c r="B61" s="23"/>
      <c r="C61" s="23"/>
      <c r="D61" s="24"/>
      <c r="E61" s="24"/>
      <c r="F61" s="24"/>
      <c r="G61" s="37"/>
      <c r="H61" s="24"/>
      <c r="I61" s="78" t="s">
        <v>86</v>
      </c>
      <c r="J61" s="24"/>
      <c r="K61" s="37"/>
      <c r="L61" s="24"/>
      <c r="M61" s="24"/>
      <c r="N61" s="37"/>
      <c r="O61" s="24"/>
      <c r="P61" s="6"/>
      <c r="Q61" s="25">
        <f t="shared" si="23"/>
        <v>0</v>
      </c>
      <c r="R61" s="36"/>
      <c r="S61" s="27">
        <v>0</v>
      </c>
      <c r="T61" s="43"/>
      <c r="U61" s="44"/>
      <c r="V61" s="18"/>
      <c r="W61" s="18"/>
      <c r="X61" s="18"/>
      <c r="Y61" s="18"/>
      <c r="Z61" s="18"/>
      <c r="AA61" s="18"/>
      <c r="AB61" s="18"/>
    </row>
    <row r="62" spans="1:28" ht="15" x14ac:dyDescent="0.25">
      <c r="A62" s="23" t="s">
        <v>26</v>
      </c>
      <c r="B62" s="23" t="s">
        <v>84</v>
      </c>
      <c r="C62" s="23" t="s">
        <v>39</v>
      </c>
      <c r="D62" s="24">
        <f>4+48.5</f>
        <v>52.5</v>
      </c>
      <c r="E62" s="24">
        <f>5+3</f>
        <v>8</v>
      </c>
      <c r="F62" s="24">
        <f>(20.45-18)</f>
        <v>2.4499999999999993</v>
      </c>
      <c r="G62" s="24"/>
      <c r="H62" s="24">
        <f>19+25</f>
        <v>44</v>
      </c>
      <c r="I62" s="24"/>
      <c r="J62" s="24">
        <f>23.6+8+5</f>
        <v>36.6</v>
      </c>
      <c r="K62" s="24">
        <v>47.5</v>
      </c>
      <c r="L62" s="24"/>
      <c r="M62" s="24"/>
      <c r="N62" s="24"/>
      <c r="O62" s="24"/>
      <c r="P62" s="6"/>
      <c r="Q62" s="25">
        <f t="shared" si="23"/>
        <v>191.05</v>
      </c>
      <c r="R62" s="36"/>
      <c r="S62" s="27">
        <v>1.183559885E-2</v>
      </c>
      <c r="T62" s="43"/>
      <c r="U62" s="44"/>
      <c r="V62" s="18"/>
      <c r="W62" s="18"/>
      <c r="X62" s="18"/>
      <c r="Y62" s="18"/>
      <c r="Z62" s="18"/>
      <c r="AA62" s="18"/>
      <c r="AB62" s="18"/>
    </row>
    <row r="63" spans="1:28" ht="15" x14ac:dyDescent="0.25">
      <c r="A63" s="23" t="s">
        <v>26</v>
      </c>
      <c r="B63" s="23"/>
      <c r="C63" s="2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6"/>
      <c r="Q63" s="25">
        <f t="shared" si="23"/>
        <v>0</v>
      </c>
      <c r="R63" s="36"/>
      <c r="S63" s="27">
        <v>6.9471031429999996E-2</v>
      </c>
      <c r="T63" s="43"/>
      <c r="U63" s="44"/>
      <c r="V63" s="18"/>
      <c r="W63" s="18"/>
      <c r="X63" s="18"/>
      <c r="Y63" s="18"/>
      <c r="Z63" s="18"/>
      <c r="AA63" s="18"/>
      <c r="AB63" s="18"/>
    </row>
    <row r="64" spans="1:28" ht="15" x14ac:dyDescent="0.25">
      <c r="A64" s="45"/>
      <c r="B64" s="45"/>
      <c r="C64" s="45" t="s">
        <v>40</v>
      </c>
      <c r="D64" s="46">
        <f t="shared" ref="D64:O64" si="24">SUM(D37:D63)</f>
        <v>715.26</v>
      </c>
      <c r="E64" s="46">
        <f t="shared" si="24"/>
        <v>1087.9000000000001</v>
      </c>
      <c r="F64" s="46">
        <f t="shared" si="24"/>
        <v>427.97</v>
      </c>
      <c r="G64" s="46">
        <f t="shared" si="24"/>
        <v>1613.45</v>
      </c>
      <c r="H64" s="46">
        <f t="shared" si="24"/>
        <v>665.12999999999988</v>
      </c>
      <c r="I64" s="46">
        <f t="shared" si="24"/>
        <v>1624.6</v>
      </c>
      <c r="J64" s="46">
        <f t="shared" si="24"/>
        <v>663.59500000000003</v>
      </c>
      <c r="K64" s="46">
        <f t="shared" si="24"/>
        <v>873.25</v>
      </c>
      <c r="L64" s="46">
        <f t="shared" si="24"/>
        <v>1002.5549999999998</v>
      </c>
      <c r="M64" s="46">
        <f t="shared" si="24"/>
        <v>575.63833333333332</v>
      </c>
      <c r="N64" s="46">
        <f t="shared" si="24"/>
        <v>596.91499999999996</v>
      </c>
      <c r="O64" s="46">
        <f t="shared" si="24"/>
        <v>873.56666666666672</v>
      </c>
      <c r="P64" s="6"/>
      <c r="Q64" s="47">
        <f>SUM(Q37:Q63)</f>
        <v>10719.829999999998</v>
      </c>
      <c r="R64" s="41"/>
      <c r="S64" s="47"/>
      <c r="T64" s="43"/>
      <c r="U64" s="44"/>
      <c r="V64" s="18"/>
      <c r="W64" s="18"/>
      <c r="X64" s="18"/>
      <c r="Y64" s="18"/>
      <c r="Z64" s="18"/>
      <c r="AA64" s="18"/>
      <c r="AB64" s="18"/>
    </row>
    <row r="65" spans="1:28" ht="15" x14ac:dyDescent="0.25">
      <c r="A65" s="6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6"/>
      <c r="O65" s="6"/>
      <c r="P65" s="6"/>
      <c r="Q65" s="6"/>
      <c r="R65" s="6"/>
      <c r="S65" s="6"/>
      <c r="T65" s="43"/>
      <c r="U65" s="44"/>
      <c r="V65" s="10"/>
      <c r="W65" s="10"/>
      <c r="X65" s="10"/>
      <c r="Y65" s="10"/>
      <c r="Z65" s="10"/>
      <c r="AA65" s="10"/>
      <c r="AB65" s="10"/>
    </row>
    <row r="66" spans="1:28" ht="15" x14ac:dyDescent="0.25">
      <c r="A66" s="6"/>
      <c r="B66" s="6"/>
      <c r="C66" s="48" t="s">
        <v>41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43"/>
      <c r="U66" s="44"/>
      <c r="V66" s="14"/>
      <c r="W66" s="14"/>
      <c r="X66" s="14"/>
      <c r="Y66" s="14"/>
      <c r="Z66" s="14"/>
      <c r="AA66" s="14"/>
      <c r="AB66" s="14"/>
    </row>
    <row r="67" spans="1:28" ht="15" x14ac:dyDescent="0.25">
      <c r="A67" s="6"/>
      <c r="B67" s="6"/>
      <c r="C67" s="49" t="s">
        <v>42</v>
      </c>
      <c r="D67" s="50">
        <f t="shared" ref="D67:O67" si="25">D17</f>
        <v>1631.42</v>
      </c>
      <c r="E67" s="50">
        <f t="shared" si="25"/>
        <v>2596.0700000000002</v>
      </c>
      <c r="F67" s="50">
        <f t="shared" si="25"/>
        <v>2433</v>
      </c>
      <c r="G67" s="50">
        <f t="shared" si="25"/>
        <v>2602</v>
      </c>
      <c r="H67" s="50">
        <f t="shared" si="25"/>
        <v>2059.77</v>
      </c>
      <c r="I67" s="50">
        <f t="shared" si="25"/>
        <v>2640</v>
      </c>
      <c r="J67" s="50">
        <f t="shared" si="25"/>
        <v>3237.5</v>
      </c>
      <c r="K67" s="50">
        <f t="shared" si="25"/>
        <v>2052.5</v>
      </c>
      <c r="L67" s="50">
        <f t="shared" si="25"/>
        <v>1855.6</v>
      </c>
      <c r="M67" s="50">
        <f t="shared" si="25"/>
        <v>1487.51</v>
      </c>
      <c r="N67" s="50">
        <f t="shared" si="25"/>
        <v>1920.31</v>
      </c>
      <c r="O67" s="50">
        <f t="shared" si="25"/>
        <v>1554.6499999999999</v>
      </c>
      <c r="P67" s="6"/>
      <c r="Q67" s="6"/>
      <c r="R67" s="6"/>
      <c r="S67" s="6"/>
      <c r="T67" s="43"/>
      <c r="U67" s="6"/>
      <c r="V67" s="18"/>
      <c r="W67" s="18"/>
      <c r="X67" s="18"/>
      <c r="Y67" s="18"/>
      <c r="Z67" s="18"/>
      <c r="AA67" s="18"/>
      <c r="AB67" s="18"/>
    </row>
    <row r="68" spans="1:28" ht="15" x14ac:dyDescent="0.25">
      <c r="A68" s="6"/>
      <c r="B68" s="6"/>
      <c r="C68" s="51" t="s">
        <v>43</v>
      </c>
      <c r="D68" s="52">
        <f t="shared" ref="D68:O68" si="26">D34+D64</f>
        <v>1467.9783333333335</v>
      </c>
      <c r="E68" s="52">
        <f t="shared" si="26"/>
        <v>2191.9499999999998</v>
      </c>
      <c r="F68" s="52">
        <f t="shared" si="26"/>
        <v>1766.3999999999999</v>
      </c>
      <c r="G68" s="52">
        <f t="shared" si="26"/>
        <v>2737.99</v>
      </c>
      <c r="H68" s="52">
        <f t="shared" si="26"/>
        <v>1796.09</v>
      </c>
      <c r="I68" s="52">
        <f t="shared" si="26"/>
        <v>2777.51</v>
      </c>
      <c r="J68" s="52">
        <f t="shared" si="26"/>
        <v>2056.165</v>
      </c>
      <c r="K68" s="52">
        <f t="shared" si="26"/>
        <v>2272.77</v>
      </c>
      <c r="L68" s="52">
        <f t="shared" si="26"/>
        <v>2370.8745499999995</v>
      </c>
      <c r="M68" s="52">
        <f t="shared" si="26"/>
        <v>1881.8878833333333</v>
      </c>
      <c r="N68" s="52">
        <f t="shared" si="26"/>
        <v>2128.5545499999998</v>
      </c>
      <c r="O68" s="52">
        <f t="shared" si="26"/>
        <v>2645.4862166666667</v>
      </c>
      <c r="P68" s="6"/>
      <c r="Q68" s="6"/>
      <c r="R68" s="36"/>
      <c r="S68" s="6"/>
      <c r="T68" s="43"/>
      <c r="U68" s="6"/>
      <c r="V68" s="18"/>
      <c r="W68" s="18"/>
      <c r="X68" s="18"/>
      <c r="Y68" s="18"/>
      <c r="Z68" s="18"/>
      <c r="AA68" s="18"/>
      <c r="AB68" s="18"/>
    </row>
    <row r="69" spans="1:28" ht="15" x14ac:dyDescent="0.25">
      <c r="A69" s="6"/>
      <c r="B69" s="6"/>
      <c r="C69" s="53" t="s">
        <v>44</v>
      </c>
      <c r="D69" s="54">
        <f t="shared" ref="D69:O69" si="27">IF(D67&lt;&gt;0,D67-D68,"")</f>
        <v>163.44166666666661</v>
      </c>
      <c r="E69" s="54">
        <f t="shared" si="27"/>
        <v>404.12000000000035</v>
      </c>
      <c r="F69" s="54">
        <f t="shared" si="27"/>
        <v>666.60000000000014</v>
      </c>
      <c r="G69" s="54">
        <f t="shared" si="27"/>
        <v>-135.98999999999978</v>
      </c>
      <c r="H69" s="54">
        <f t="shared" si="27"/>
        <v>263.68000000000006</v>
      </c>
      <c r="I69" s="54">
        <f t="shared" si="27"/>
        <v>-137.51000000000022</v>
      </c>
      <c r="J69" s="54">
        <f t="shared" si="27"/>
        <v>1181.335</v>
      </c>
      <c r="K69" s="54">
        <f t="shared" si="27"/>
        <v>-220.26999999999998</v>
      </c>
      <c r="L69" s="54">
        <f t="shared" si="27"/>
        <v>-515.27454999999964</v>
      </c>
      <c r="M69" s="54">
        <f t="shared" si="27"/>
        <v>-394.37788333333333</v>
      </c>
      <c r="N69" s="54">
        <f t="shared" si="27"/>
        <v>-208.24454999999989</v>
      </c>
      <c r="O69" s="54">
        <f t="shared" si="27"/>
        <v>-1090.8362166666668</v>
      </c>
      <c r="P69" s="55"/>
      <c r="Q69" s="6"/>
      <c r="R69" s="36"/>
      <c r="S69" s="6"/>
      <c r="T69" s="43"/>
      <c r="U69" s="6"/>
      <c r="V69" s="18"/>
      <c r="W69" s="18"/>
      <c r="X69" s="18"/>
      <c r="Y69" s="18"/>
      <c r="Z69" s="18"/>
      <c r="AA69" s="18"/>
      <c r="AB69" s="18"/>
    </row>
    <row r="70" spans="1:28" ht="15" x14ac:dyDescent="0.25">
      <c r="A70" s="6"/>
      <c r="B70" s="6"/>
      <c r="C70" s="56" t="s">
        <v>45</v>
      </c>
      <c r="D70" s="57">
        <f t="shared" ref="D70:O70" si="28">D4+D69</f>
        <v>173.44166666666661</v>
      </c>
      <c r="E70" s="57">
        <f t="shared" si="28"/>
        <v>577.56166666666695</v>
      </c>
      <c r="F70" s="57">
        <f t="shared" si="28"/>
        <v>1244.1616666666671</v>
      </c>
      <c r="G70" s="57">
        <f t="shared" si="28"/>
        <v>1108.1716666666673</v>
      </c>
      <c r="H70" s="57">
        <f t="shared" si="28"/>
        <v>1371.8516666666674</v>
      </c>
      <c r="I70" s="57">
        <f t="shared" si="28"/>
        <v>1234.3416666666672</v>
      </c>
      <c r="J70" s="57">
        <f t="shared" si="28"/>
        <v>2415.6766666666672</v>
      </c>
      <c r="K70" s="57">
        <f t="shared" si="28"/>
        <v>2195.4066666666672</v>
      </c>
      <c r="L70" s="57">
        <f t="shared" si="28"/>
        <v>1680.1321166666676</v>
      </c>
      <c r="M70" s="57">
        <f t="shared" si="28"/>
        <v>1285.7542333333342</v>
      </c>
      <c r="N70" s="57">
        <f t="shared" si="28"/>
        <v>1077.5096833333344</v>
      </c>
      <c r="O70" s="57">
        <f t="shared" si="28"/>
        <v>-13.326533333332463</v>
      </c>
      <c r="P70" s="55"/>
      <c r="Q70" s="6"/>
      <c r="R70" s="36"/>
      <c r="S70" s="6"/>
      <c r="T70" s="43"/>
      <c r="U70" s="6"/>
      <c r="V70" s="18"/>
      <c r="W70" s="18"/>
      <c r="X70" s="18"/>
      <c r="Y70" s="18"/>
      <c r="Z70" s="18"/>
      <c r="AA70" s="18"/>
      <c r="AB70" s="18"/>
    </row>
    <row r="71" spans="1:28" ht="15" x14ac:dyDescent="0.25">
      <c r="A71" s="6"/>
      <c r="B71" s="6"/>
      <c r="C71" s="56" t="s">
        <v>46</v>
      </c>
      <c r="D71" s="57">
        <f t="shared" ref="D71:O71" si="29">D84+D85+D86+D83</f>
        <v>0</v>
      </c>
      <c r="E71" s="57">
        <f t="shared" si="29"/>
        <v>0</v>
      </c>
      <c r="F71" s="57">
        <f t="shared" si="29"/>
        <v>0</v>
      </c>
      <c r="G71" s="57">
        <f t="shared" si="29"/>
        <v>0</v>
      </c>
      <c r="H71" s="57">
        <f t="shared" si="29"/>
        <v>0</v>
      </c>
      <c r="I71" s="57">
        <f t="shared" si="29"/>
        <v>0</v>
      </c>
      <c r="J71" s="57">
        <f t="shared" si="29"/>
        <v>0</v>
      </c>
      <c r="K71" s="57">
        <f t="shared" si="29"/>
        <v>0</v>
      </c>
      <c r="L71" s="57">
        <f t="shared" si="29"/>
        <v>0</v>
      </c>
      <c r="M71" s="57">
        <f t="shared" si="29"/>
        <v>0</v>
      </c>
      <c r="N71" s="57">
        <f t="shared" si="29"/>
        <v>0</v>
      </c>
      <c r="O71" s="57">
        <f t="shared" si="29"/>
        <v>0</v>
      </c>
      <c r="P71" s="55"/>
      <c r="Q71" s="6"/>
      <c r="R71" s="36"/>
      <c r="S71" s="6"/>
      <c r="T71" s="43"/>
      <c r="U71" s="6"/>
      <c r="V71" s="18"/>
      <c r="W71" s="18"/>
      <c r="X71" s="18"/>
      <c r="Y71" s="18"/>
      <c r="Z71" s="18"/>
      <c r="AA71" s="18"/>
      <c r="AB71" s="18"/>
    </row>
    <row r="72" spans="1:28" ht="15" x14ac:dyDescent="0.25">
      <c r="A72" s="6"/>
      <c r="B72" s="6"/>
      <c r="C72" s="72" t="s">
        <v>46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5"/>
      <c r="Q72" s="6"/>
      <c r="R72" s="36"/>
      <c r="S72" s="6"/>
      <c r="T72" s="43"/>
      <c r="U72" s="6"/>
      <c r="V72" s="18"/>
      <c r="W72" s="18"/>
      <c r="X72" s="18"/>
      <c r="Y72" s="18"/>
      <c r="Z72" s="18"/>
      <c r="AA72" s="18"/>
      <c r="AB72" s="18"/>
    </row>
    <row r="73" spans="1:28" ht="15" x14ac:dyDescent="0.25">
      <c r="A73" s="6"/>
      <c r="B73" s="6"/>
      <c r="C73" s="56" t="s">
        <v>47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5"/>
      <c r="Q73" s="6"/>
      <c r="R73" s="36"/>
      <c r="S73" s="6"/>
      <c r="T73" s="43"/>
      <c r="U73" s="6"/>
      <c r="V73" s="18"/>
      <c r="W73" s="18"/>
      <c r="X73" s="18"/>
      <c r="Y73" s="18"/>
      <c r="Z73" s="18"/>
      <c r="AA73" s="18"/>
      <c r="AB73" s="18"/>
    </row>
    <row r="74" spans="1:28" ht="15" x14ac:dyDescent="0.25">
      <c r="A74" s="6"/>
      <c r="B74" s="6"/>
      <c r="C74" s="56" t="s">
        <v>48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5"/>
      <c r="Q74" s="6"/>
      <c r="R74" s="36"/>
      <c r="S74" s="6"/>
      <c r="T74" s="43"/>
      <c r="U74" s="6"/>
      <c r="V74" s="18"/>
      <c r="W74" s="18"/>
      <c r="X74" s="18"/>
      <c r="Y74" s="18"/>
      <c r="Z74" s="18"/>
      <c r="AA74" s="18"/>
      <c r="AB74" s="18"/>
    </row>
    <row r="75" spans="1:28" ht="15" x14ac:dyDescent="0.25">
      <c r="A75" s="6"/>
      <c r="B75" s="6"/>
      <c r="C75" s="73" t="s">
        <v>72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"/>
      <c r="Q75" s="6"/>
      <c r="R75" s="36"/>
      <c r="S75" s="6"/>
      <c r="T75" s="43"/>
      <c r="U75" s="6"/>
      <c r="V75" s="18"/>
      <c r="W75" s="18"/>
      <c r="X75" s="18"/>
      <c r="Y75" s="18"/>
      <c r="Z75" s="18"/>
      <c r="AA75" s="18"/>
      <c r="AB75" s="18"/>
    </row>
    <row r="76" spans="1:28" ht="27" customHeight="1" x14ac:dyDescent="0.25">
      <c r="A76" s="6"/>
      <c r="B76" s="6"/>
      <c r="C76" s="53" t="s">
        <v>49</v>
      </c>
      <c r="D76" s="54">
        <f t="shared" ref="D76:O76" si="30">D70-D71+D75-D74+D73-D72</f>
        <v>173.44166666666661</v>
      </c>
      <c r="E76" s="54">
        <f t="shared" si="30"/>
        <v>577.56166666666695</v>
      </c>
      <c r="F76" s="54">
        <f t="shared" si="30"/>
        <v>1244.1616666666671</v>
      </c>
      <c r="G76" s="54">
        <f t="shared" si="30"/>
        <v>1108.1716666666673</v>
      </c>
      <c r="H76" s="54">
        <f t="shared" si="30"/>
        <v>1371.8516666666674</v>
      </c>
      <c r="I76" s="54">
        <f t="shared" si="30"/>
        <v>1234.3416666666672</v>
      </c>
      <c r="J76" s="54">
        <f t="shared" si="30"/>
        <v>2415.6766666666672</v>
      </c>
      <c r="K76" s="54">
        <f t="shared" si="30"/>
        <v>2195.4066666666672</v>
      </c>
      <c r="L76" s="54">
        <f t="shared" si="30"/>
        <v>1680.1321166666676</v>
      </c>
      <c r="M76" s="54">
        <f t="shared" si="30"/>
        <v>1285.7542333333342</v>
      </c>
      <c r="N76" s="54">
        <f t="shared" si="30"/>
        <v>1077.5096833333344</v>
      </c>
      <c r="O76" s="54">
        <f t="shared" si="30"/>
        <v>-13.326533333332463</v>
      </c>
      <c r="P76" s="55"/>
      <c r="Q76" s="6"/>
      <c r="R76" s="36"/>
      <c r="S76" s="6"/>
      <c r="T76" s="43"/>
      <c r="U76" s="6"/>
      <c r="V76" s="18"/>
      <c r="W76" s="18"/>
      <c r="X76" s="18"/>
      <c r="Y76" s="18"/>
      <c r="Z76" s="18"/>
      <c r="AA76" s="18"/>
      <c r="AB76" s="18"/>
    </row>
    <row r="77" spans="1:28" ht="15" x14ac:dyDescent="0.25">
      <c r="A77" s="6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6"/>
      <c r="O77" s="6"/>
      <c r="P77" s="6"/>
      <c r="Q77" s="6"/>
      <c r="R77" s="6"/>
      <c r="S77" s="6"/>
      <c r="T77" s="8"/>
      <c r="U77" s="6"/>
      <c r="V77" s="60"/>
      <c r="W77" s="60"/>
      <c r="X77" s="60"/>
      <c r="Y77" s="60"/>
      <c r="Z77" s="60"/>
      <c r="AA77" s="60"/>
      <c r="AB77" s="60"/>
    </row>
    <row r="78" spans="1:28" ht="15" x14ac:dyDescent="0.25">
      <c r="A78" s="6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7"/>
      <c r="N78" s="6"/>
      <c r="O78" s="6"/>
      <c r="P78" s="6"/>
      <c r="Q78" s="6"/>
      <c r="R78" s="6"/>
      <c r="S78" s="6"/>
      <c r="T78" s="8"/>
      <c r="U78" s="6"/>
      <c r="V78" s="60"/>
      <c r="W78" s="60"/>
      <c r="X78" s="60"/>
      <c r="Y78" s="60"/>
      <c r="Z78" s="60"/>
      <c r="AA78" s="60"/>
      <c r="AB78" s="60"/>
    </row>
    <row r="79" spans="1:28" ht="15" x14ac:dyDescent="0.25">
      <c r="A79" s="6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7"/>
      <c r="N79" s="6"/>
      <c r="O79" s="6"/>
      <c r="P79" s="6"/>
      <c r="Q79" s="6"/>
      <c r="R79" s="6"/>
      <c r="S79" s="6"/>
      <c r="T79" s="8"/>
      <c r="U79" s="6"/>
      <c r="V79" s="10"/>
      <c r="W79" s="10"/>
      <c r="X79" s="10"/>
      <c r="Y79" s="10"/>
      <c r="Z79" s="10"/>
      <c r="AA79" s="10"/>
      <c r="AB79" s="10"/>
    </row>
    <row r="80" spans="1:28" ht="5.25" customHeight="1" x14ac:dyDescent="0.25">
      <c r="A80" s="6"/>
      <c r="B80" s="6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"/>
      <c r="Q80" s="6"/>
      <c r="R80" s="6"/>
      <c r="S80" s="6"/>
      <c r="T80" s="8"/>
      <c r="U80" s="6"/>
      <c r="V80" s="18"/>
      <c r="W80" s="18"/>
      <c r="X80" s="18"/>
      <c r="Y80" s="18"/>
      <c r="Z80" s="18"/>
      <c r="AA80" s="18"/>
      <c r="AB80" s="18"/>
    </row>
    <row r="81" spans="1:28" ht="15" x14ac:dyDescent="0.25">
      <c r="A81" s="6"/>
      <c r="B81" s="6"/>
      <c r="C81" s="62" t="s">
        <v>50</v>
      </c>
      <c r="D81" s="6"/>
      <c r="E81" s="6"/>
      <c r="F81" s="7"/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8"/>
      <c r="U81" s="6"/>
      <c r="V81" s="10"/>
      <c r="W81" s="10"/>
      <c r="X81" s="10"/>
      <c r="Y81" s="10"/>
      <c r="Z81" s="10"/>
      <c r="AA81" s="10"/>
      <c r="AB81" s="10"/>
    </row>
    <row r="82" spans="1:28" ht="15" x14ac:dyDescent="0.25">
      <c r="A82" s="6"/>
      <c r="B82" s="6"/>
      <c r="C82" s="63"/>
      <c r="D82" s="63"/>
      <c r="E82" s="64"/>
      <c r="F82" s="64"/>
      <c r="G82" s="64"/>
      <c r="H82" s="64"/>
      <c r="I82" s="64"/>
      <c r="J82" s="64"/>
      <c r="K82" s="64"/>
      <c r="L82" s="24"/>
      <c r="M82" s="24"/>
      <c r="N82" s="24"/>
      <c r="O82" s="64"/>
      <c r="P82" s="6"/>
      <c r="Q82" s="6"/>
      <c r="R82" s="6"/>
      <c r="S82" s="6"/>
      <c r="T82" s="8"/>
      <c r="U82" s="6"/>
      <c r="V82" s="18"/>
      <c r="W82" s="18"/>
      <c r="X82" s="18"/>
      <c r="Y82" s="18"/>
      <c r="Z82" s="18"/>
      <c r="AA82" s="18"/>
      <c r="AB82" s="18"/>
    </row>
    <row r="83" spans="1:28" ht="15" x14ac:dyDescent="0.25">
      <c r="A83" s="6"/>
      <c r="B83" s="6"/>
      <c r="C83" s="6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6"/>
      <c r="Q83" s="6"/>
      <c r="R83" s="6"/>
      <c r="S83" s="6"/>
      <c r="T83" s="8"/>
      <c r="U83" s="6"/>
      <c r="V83" s="18"/>
      <c r="W83" s="18"/>
      <c r="X83" s="18"/>
      <c r="Y83" s="18"/>
      <c r="Z83" s="18"/>
      <c r="AA83" s="18"/>
      <c r="AB83" s="18"/>
    </row>
    <row r="84" spans="1:28" ht="15" x14ac:dyDescent="0.25">
      <c r="A84" s="6"/>
      <c r="B84" s="6"/>
      <c r="C84" s="6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6"/>
      <c r="Q84" s="6"/>
      <c r="R84" s="6"/>
      <c r="S84" s="6"/>
      <c r="T84" s="8"/>
      <c r="U84" s="6"/>
      <c r="V84" s="18"/>
      <c r="W84" s="18"/>
      <c r="X84" s="18"/>
      <c r="Y84" s="18"/>
      <c r="Z84" s="18"/>
      <c r="AA84" s="18"/>
      <c r="AB84" s="18"/>
    </row>
    <row r="85" spans="1:28" ht="15" x14ac:dyDescent="0.25">
      <c r="A85" s="6"/>
      <c r="B85" s="6"/>
      <c r="C85" s="63"/>
      <c r="D85" s="24"/>
      <c r="E85" s="24"/>
      <c r="F85" s="24"/>
      <c r="G85" s="24"/>
      <c r="H85" s="24"/>
      <c r="I85" s="24"/>
      <c r="J85" s="37"/>
      <c r="K85" s="37"/>
      <c r="L85" s="24"/>
      <c r="M85" s="24"/>
      <c r="N85" s="24"/>
      <c r="O85" s="24"/>
      <c r="P85" s="6"/>
      <c r="Q85" s="6"/>
      <c r="R85" s="6"/>
      <c r="S85" s="6"/>
      <c r="T85" s="8"/>
      <c r="U85" s="6"/>
      <c r="V85" s="18"/>
      <c r="W85" s="18"/>
      <c r="X85" s="18"/>
      <c r="Y85" s="18"/>
      <c r="Z85" s="18"/>
      <c r="AA85" s="18"/>
      <c r="AB85" s="18"/>
    </row>
    <row r="86" spans="1:28" ht="15" x14ac:dyDescent="0.25">
      <c r="A86" s="6"/>
      <c r="B86" s="6"/>
      <c r="C86" s="6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6"/>
      <c r="Q86" s="6"/>
      <c r="R86" s="6"/>
      <c r="S86" s="6"/>
      <c r="T86" s="8"/>
      <c r="U86" s="6"/>
      <c r="V86" s="18"/>
      <c r="W86" s="18"/>
      <c r="X86" s="18"/>
      <c r="Y86" s="18"/>
      <c r="Z86" s="18"/>
      <c r="AA86" s="18"/>
      <c r="AB86" s="18"/>
    </row>
    <row r="87" spans="1:28" ht="15" x14ac:dyDescent="0.25">
      <c r="A87" s="6"/>
      <c r="B87" s="6"/>
      <c r="C87" s="71" t="s">
        <v>71</v>
      </c>
      <c r="D87" s="66">
        <f t="shared" ref="D87:O87" si="31">SUM(D83:D86)</f>
        <v>0</v>
      </c>
      <c r="E87" s="66">
        <f t="shared" si="31"/>
        <v>0</v>
      </c>
      <c r="F87" s="66">
        <f t="shared" si="31"/>
        <v>0</v>
      </c>
      <c r="G87" s="66">
        <f t="shared" si="31"/>
        <v>0</v>
      </c>
      <c r="H87" s="66">
        <f t="shared" si="31"/>
        <v>0</v>
      </c>
      <c r="I87" s="66">
        <f t="shared" si="31"/>
        <v>0</v>
      </c>
      <c r="J87" s="66">
        <f t="shared" si="31"/>
        <v>0</v>
      </c>
      <c r="K87" s="66">
        <f t="shared" si="31"/>
        <v>0</v>
      </c>
      <c r="L87" s="66">
        <f t="shared" si="31"/>
        <v>0</v>
      </c>
      <c r="M87" s="66">
        <f t="shared" si="31"/>
        <v>0</v>
      </c>
      <c r="N87" s="66">
        <f t="shared" si="31"/>
        <v>0</v>
      </c>
      <c r="O87" s="66">
        <f t="shared" si="31"/>
        <v>0</v>
      </c>
      <c r="P87" s="6"/>
      <c r="Q87" s="6"/>
      <c r="R87" s="6"/>
      <c r="S87" s="6"/>
      <c r="T87" s="8"/>
      <c r="U87" s="6"/>
      <c r="V87" s="18"/>
      <c r="W87" s="18"/>
      <c r="X87" s="18"/>
      <c r="Y87" s="18"/>
      <c r="Z87" s="18"/>
      <c r="AA87" s="18"/>
      <c r="AB87" s="18"/>
    </row>
    <row r="88" spans="1:28" ht="15" x14ac:dyDescent="0.25">
      <c r="A88" s="6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7"/>
      <c r="N88" s="6"/>
      <c r="O88" s="6"/>
      <c r="P88" s="6"/>
      <c r="Q88" s="6"/>
      <c r="R88" s="6"/>
      <c r="S88" s="6"/>
      <c r="T88" s="8"/>
      <c r="U88" s="6"/>
      <c r="V88" s="10"/>
      <c r="W88" s="10"/>
      <c r="X88" s="10"/>
      <c r="Y88" s="10"/>
      <c r="Z88" s="10"/>
      <c r="AA88" s="10"/>
      <c r="AB88" s="10"/>
    </row>
    <row r="89" spans="1:28" ht="15" x14ac:dyDescent="0.25">
      <c r="A89" s="6"/>
      <c r="B89" s="6"/>
      <c r="C89" s="62" t="s">
        <v>51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8"/>
      <c r="U89" s="6"/>
      <c r="V89" s="18"/>
      <c r="W89" s="18"/>
      <c r="X89" s="18"/>
      <c r="Y89" s="18"/>
      <c r="Z89" s="18"/>
      <c r="AA89" s="18"/>
      <c r="AB89" s="18"/>
    </row>
    <row r="90" spans="1:28" ht="15" x14ac:dyDescent="0.25">
      <c r="A90" s="6"/>
      <c r="B90" s="6"/>
      <c r="C90" s="63" t="s">
        <v>52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6"/>
      <c r="Q90" s="6"/>
      <c r="R90" s="6"/>
      <c r="S90" s="6"/>
      <c r="T90" s="8"/>
      <c r="U90" s="6"/>
      <c r="V90" s="18"/>
      <c r="W90" s="18"/>
      <c r="X90" s="18"/>
      <c r="Y90" s="18"/>
      <c r="Z90" s="18"/>
      <c r="AA90" s="18"/>
      <c r="AB90" s="18"/>
    </row>
    <row r="91" spans="1:28" ht="15" x14ac:dyDescent="0.25">
      <c r="A91" s="6"/>
      <c r="B91" s="6"/>
      <c r="C91" s="70" t="s">
        <v>70</v>
      </c>
      <c r="D91" s="25"/>
      <c r="E91" s="25"/>
      <c r="F91" s="25"/>
      <c r="G91" s="25"/>
      <c r="H91" s="25"/>
      <c r="I91" s="24"/>
      <c r="J91" s="24"/>
      <c r="K91" s="25"/>
      <c r="L91" s="24"/>
      <c r="M91" s="25"/>
      <c r="N91" s="25"/>
      <c r="O91" s="25"/>
      <c r="P91" s="6"/>
      <c r="Q91" s="6"/>
      <c r="R91" s="6"/>
      <c r="S91" s="6"/>
      <c r="T91" s="8"/>
      <c r="U91" s="6"/>
      <c r="V91" s="18"/>
      <c r="W91" s="18"/>
      <c r="X91" s="18"/>
      <c r="Y91" s="18"/>
      <c r="Z91" s="18"/>
      <c r="AA91" s="18"/>
      <c r="AB91" s="18"/>
    </row>
    <row r="92" spans="1:28" ht="15" x14ac:dyDescent="0.25">
      <c r="A92" s="6"/>
      <c r="B92" s="6"/>
      <c r="C92" s="67" t="s">
        <v>53</v>
      </c>
      <c r="D92" s="68">
        <v>0.01</v>
      </c>
      <c r="E92" s="68">
        <v>0.01</v>
      </c>
      <c r="F92" s="68">
        <v>0.01</v>
      </c>
      <c r="G92" s="68">
        <f t="shared" ref="G92:H92" si="32">G90-G91</f>
        <v>0</v>
      </c>
      <c r="H92" s="68">
        <f t="shared" si="32"/>
        <v>0</v>
      </c>
      <c r="I92" s="68">
        <v>0.01</v>
      </c>
      <c r="J92" s="68">
        <v>0.01</v>
      </c>
      <c r="K92" s="68">
        <v>0.01</v>
      </c>
      <c r="L92" s="68">
        <v>0.01</v>
      </c>
      <c r="M92" s="68">
        <v>0.01</v>
      </c>
      <c r="N92" s="68">
        <v>0.01</v>
      </c>
      <c r="O92" s="68">
        <v>0.01</v>
      </c>
      <c r="P92" s="6"/>
      <c r="Q92" s="6"/>
      <c r="R92" s="6"/>
      <c r="S92" s="6"/>
      <c r="T92" s="8"/>
      <c r="U92" s="6"/>
      <c r="V92" s="18"/>
      <c r="W92" s="18"/>
      <c r="X92" s="18"/>
      <c r="Y92" s="18"/>
      <c r="Z92" s="18"/>
      <c r="AA92" s="18"/>
      <c r="AB92" s="18"/>
    </row>
    <row r="93" spans="1:28" ht="15" x14ac:dyDescent="0.25">
      <c r="A93" s="6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7"/>
      <c r="N93" s="6"/>
      <c r="O93" s="6"/>
      <c r="P93" s="6"/>
      <c r="Q93" s="6"/>
      <c r="R93" s="6"/>
      <c r="S93" s="6"/>
      <c r="T93" s="8"/>
      <c r="U93" s="6"/>
      <c r="V93" s="10"/>
      <c r="W93" s="10"/>
      <c r="X93" s="10"/>
      <c r="Y93" s="10"/>
      <c r="Z93" s="10"/>
      <c r="AA93" s="10"/>
      <c r="AB93" s="10"/>
    </row>
    <row r="94" spans="1:28" ht="15" x14ac:dyDescent="0.25">
      <c r="A94" s="6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7"/>
      <c r="N94" s="6"/>
      <c r="O94" s="6"/>
      <c r="P94" s="6"/>
      <c r="Q94" s="6"/>
      <c r="R94" s="6"/>
      <c r="S94" s="6"/>
      <c r="T94" s="8"/>
      <c r="U94" s="6"/>
      <c r="V94" s="10"/>
      <c r="W94" s="10"/>
      <c r="X94" s="10"/>
      <c r="Y94" s="10"/>
      <c r="Z94" s="10"/>
      <c r="AA94" s="10"/>
      <c r="AB94" s="10"/>
    </row>
    <row r="95" spans="1:28" ht="15" x14ac:dyDescent="0.25">
      <c r="A95" s="6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7"/>
      <c r="N95" s="6"/>
      <c r="O95" s="6"/>
      <c r="P95" s="6"/>
      <c r="Q95" s="6"/>
      <c r="R95" s="6"/>
      <c r="S95" s="6"/>
      <c r="T95" s="8"/>
      <c r="U95" s="6"/>
      <c r="V95" s="10"/>
      <c r="W95" s="10"/>
      <c r="X95" s="10"/>
      <c r="Y95" s="10"/>
      <c r="Z95" s="10"/>
      <c r="AA95" s="10"/>
      <c r="AB95" s="10"/>
    </row>
    <row r="96" spans="1:28" ht="15" x14ac:dyDescent="0.25">
      <c r="A96" s="6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7"/>
      <c r="N96" s="6"/>
      <c r="O96" s="6"/>
      <c r="P96" s="6"/>
      <c r="Q96" s="6"/>
      <c r="R96" s="6"/>
      <c r="S96" s="6"/>
      <c r="T96" s="8"/>
      <c r="U96" s="6"/>
      <c r="V96" s="10"/>
      <c r="W96" s="10"/>
      <c r="X96" s="10"/>
      <c r="Y96" s="10"/>
      <c r="Z96" s="10"/>
      <c r="AA96" s="10"/>
      <c r="AB96" s="10"/>
    </row>
    <row r="97" spans="1:28" ht="15" x14ac:dyDescent="0.25">
      <c r="A97" s="6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7"/>
      <c r="N97" s="6"/>
      <c r="O97" s="6"/>
      <c r="P97" s="6"/>
      <c r="Q97" s="6"/>
      <c r="R97" s="6"/>
      <c r="S97" s="6"/>
      <c r="T97" s="8"/>
      <c r="U97" s="6"/>
      <c r="V97" s="10"/>
      <c r="W97" s="10"/>
      <c r="X97" s="10"/>
      <c r="Y97" s="10"/>
      <c r="Z97" s="10"/>
      <c r="AA97" s="10"/>
      <c r="AB97" s="10"/>
    </row>
    <row r="98" spans="1:28" ht="15" x14ac:dyDescent="0.25">
      <c r="A98" s="6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7"/>
      <c r="N98" s="6"/>
      <c r="O98" s="6"/>
      <c r="P98" s="6"/>
      <c r="Q98" s="6"/>
      <c r="R98" s="6"/>
      <c r="S98" s="6"/>
      <c r="T98" s="8"/>
      <c r="U98" s="6"/>
      <c r="V98" s="10"/>
      <c r="W98" s="10"/>
      <c r="X98" s="10"/>
      <c r="Y98" s="10"/>
      <c r="Z98" s="10"/>
      <c r="AA98" s="10"/>
      <c r="AB98" s="10"/>
    </row>
    <row r="99" spans="1:28" ht="15" x14ac:dyDescent="0.25">
      <c r="A99" s="6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7"/>
      <c r="N99" s="6"/>
      <c r="O99" s="6"/>
      <c r="P99" s="6"/>
      <c r="Q99" s="6"/>
      <c r="R99" s="6"/>
      <c r="S99" s="6"/>
      <c r="T99" s="8"/>
      <c r="U99" s="6"/>
      <c r="V99" s="10"/>
      <c r="W99" s="10"/>
      <c r="X99" s="10"/>
      <c r="Y99" s="10"/>
      <c r="Z99" s="10"/>
      <c r="AA99" s="10"/>
      <c r="AB99" s="10"/>
    </row>
    <row r="100" spans="1:28" ht="15" x14ac:dyDescent="0.25">
      <c r="A100" s="6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7"/>
      <c r="N100" s="6"/>
      <c r="O100" s="6"/>
      <c r="P100" s="6"/>
      <c r="Q100" s="6"/>
      <c r="R100" s="6"/>
      <c r="S100" s="6"/>
      <c r="T100" s="8"/>
      <c r="U100" s="6"/>
      <c r="V100" s="10"/>
      <c r="W100" s="10"/>
      <c r="X100" s="10"/>
      <c r="Y100" s="10"/>
      <c r="Z100" s="10"/>
      <c r="AA100" s="10"/>
      <c r="AB100" s="10"/>
    </row>
    <row r="101" spans="1:28" ht="15" x14ac:dyDescent="0.25">
      <c r="A101" s="6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8"/>
      <c r="U101" s="6"/>
      <c r="V101" s="10"/>
      <c r="W101" s="10"/>
      <c r="X101" s="10"/>
      <c r="Y101" s="10"/>
      <c r="Z101" s="10"/>
      <c r="AA101" s="10"/>
      <c r="AB101" s="10"/>
    </row>
    <row r="102" spans="1:28" ht="15" x14ac:dyDescent="0.25">
      <c r="A102" s="6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8"/>
      <c r="U102" s="6"/>
      <c r="V102" s="10"/>
      <c r="W102" s="10"/>
      <c r="X102" s="10"/>
      <c r="Y102" s="10"/>
      <c r="Z102" s="10"/>
      <c r="AA102" s="10"/>
      <c r="AB102" s="10"/>
    </row>
    <row r="103" spans="1:28" ht="15" x14ac:dyDescent="0.25">
      <c r="A103" s="6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8"/>
      <c r="U103" s="6"/>
      <c r="V103" s="10"/>
      <c r="W103" s="10"/>
      <c r="X103" s="10"/>
      <c r="Y103" s="10"/>
      <c r="Z103" s="10"/>
      <c r="AA103" s="10"/>
      <c r="AB103" s="10"/>
    </row>
    <row r="104" spans="1:28" ht="15" x14ac:dyDescent="0.25">
      <c r="A104" s="6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8"/>
      <c r="U104" s="6"/>
      <c r="V104" s="10"/>
      <c r="W104" s="10"/>
      <c r="X104" s="10"/>
      <c r="Y104" s="10"/>
      <c r="Z104" s="10"/>
      <c r="AA104" s="10"/>
      <c r="AB104" s="10"/>
    </row>
    <row r="105" spans="1:28" ht="15" x14ac:dyDescent="0.25">
      <c r="A105" s="6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8"/>
      <c r="U105" s="6"/>
      <c r="V105" s="10"/>
      <c r="W105" s="10"/>
      <c r="X105" s="10"/>
      <c r="Y105" s="10"/>
      <c r="Z105" s="10"/>
      <c r="AA105" s="10"/>
      <c r="AB105" s="10"/>
    </row>
    <row r="106" spans="1:28" ht="15" x14ac:dyDescent="0.25">
      <c r="A106" s="6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8"/>
      <c r="U106" s="6"/>
      <c r="V106" s="10"/>
      <c r="W106" s="10"/>
      <c r="X106" s="10"/>
      <c r="Y106" s="10"/>
      <c r="Z106" s="10"/>
      <c r="AA106" s="10"/>
      <c r="AB106" s="10"/>
    </row>
    <row r="107" spans="1:28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69"/>
      <c r="U107" s="18"/>
      <c r="V107" s="18"/>
      <c r="W107" s="18"/>
      <c r="X107" s="18"/>
      <c r="Y107" s="18"/>
      <c r="Z107" s="18"/>
      <c r="AA107" s="18"/>
      <c r="AB107" s="18"/>
    </row>
    <row r="108" spans="1:28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69"/>
      <c r="U108" s="18"/>
      <c r="V108" s="18"/>
      <c r="W108" s="18"/>
      <c r="X108" s="18"/>
      <c r="Y108" s="18"/>
      <c r="Z108" s="18"/>
      <c r="AA108" s="18"/>
      <c r="AB108" s="18"/>
    </row>
    <row r="109" spans="1:28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69"/>
      <c r="U109" s="18"/>
      <c r="V109" s="18"/>
      <c r="W109" s="18"/>
      <c r="X109" s="18"/>
      <c r="Y109" s="18"/>
      <c r="Z109" s="18"/>
      <c r="AA109" s="18"/>
      <c r="AB109" s="18"/>
    </row>
    <row r="110" spans="1:28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69"/>
      <c r="U110" s="18"/>
      <c r="V110" s="18"/>
      <c r="W110" s="18"/>
      <c r="X110" s="18"/>
      <c r="Y110" s="18"/>
      <c r="Z110" s="18"/>
      <c r="AA110" s="18"/>
      <c r="AB110" s="18"/>
    </row>
    <row r="111" spans="1:28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69"/>
      <c r="U111" s="18"/>
      <c r="V111" s="18"/>
      <c r="W111" s="18"/>
      <c r="X111" s="18"/>
      <c r="Y111" s="18"/>
      <c r="Z111" s="18"/>
      <c r="AA111" s="18"/>
      <c r="AB111" s="18"/>
    </row>
    <row r="112" spans="1:28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69"/>
      <c r="U112" s="18"/>
      <c r="V112" s="18"/>
      <c r="W112" s="18"/>
      <c r="X112" s="18"/>
      <c r="Y112" s="18"/>
      <c r="Z112" s="18"/>
      <c r="AA112" s="18"/>
      <c r="AB112" s="18"/>
    </row>
    <row r="113" spans="1:28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69"/>
      <c r="U113" s="18"/>
      <c r="V113" s="18"/>
      <c r="W113" s="18"/>
      <c r="X113" s="18"/>
      <c r="Y113" s="18"/>
      <c r="Z113" s="18"/>
      <c r="AA113" s="18"/>
      <c r="AB113" s="18"/>
    </row>
    <row r="114" spans="1:28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69"/>
      <c r="U114" s="18"/>
      <c r="V114" s="18"/>
      <c r="W114" s="18"/>
      <c r="X114" s="18"/>
      <c r="Y114" s="18"/>
      <c r="Z114" s="18"/>
      <c r="AA114" s="18"/>
      <c r="AB114" s="18"/>
    </row>
    <row r="115" spans="1:28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69"/>
      <c r="U115" s="18"/>
      <c r="V115" s="18"/>
      <c r="W115" s="18"/>
      <c r="X115" s="18"/>
      <c r="Y115" s="18"/>
      <c r="Z115" s="18"/>
      <c r="AA115" s="18"/>
      <c r="AB115" s="18"/>
    </row>
    <row r="116" spans="1:28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69"/>
      <c r="U116" s="18"/>
      <c r="V116" s="18"/>
      <c r="W116" s="18"/>
      <c r="X116" s="18"/>
      <c r="Y116" s="18"/>
      <c r="Z116" s="18"/>
      <c r="AA116" s="18"/>
      <c r="AB116" s="18"/>
    </row>
    <row r="117" spans="1:28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69"/>
      <c r="U117" s="18"/>
      <c r="V117" s="18"/>
      <c r="W117" s="18"/>
      <c r="X117" s="18"/>
      <c r="Y117" s="18"/>
      <c r="Z117" s="18"/>
      <c r="AA117" s="18"/>
      <c r="AB117" s="18"/>
    </row>
    <row r="118" spans="1:28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69"/>
      <c r="U118" s="18"/>
      <c r="V118" s="18"/>
      <c r="W118" s="18"/>
      <c r="X118" s="18"/>
      <c r="Y118" s="18"/>
      <c r="Z118" s="18"/>
      <c r="AA118" s="18"/>
      <c r="AB118" s="18"/>
    </row>
    <row r="119" spans="1:28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69"/>
      <c r="U119" s="18"/>
      <c r="V119" s="18"/>
      <c r="W119" s="18"/>
      <c r="X119" s="18"/>
      <c r="Y119" s="18"/>
      <c r="Z119" s="18"/>
      <c r="AA119" s="18"/>
      <c r="AB119" s="18"/>
    </row>
    <row r="120" spans="1:28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69"/>
      <c r="U120" s="18"/>
      <c r="V120" s="18"/>
      <c r="W120" s="18"/>
      <c r="X120" s="18"/>
      <c r="Y120" s="18"/>
      <c r="Z120" s="18"/>
      <c r="AA120" s="18"/>
      <c r="AB120" s="18"/>
    </row>
    <row r="121" spans="1:28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69"/>
      <c r="U121" s="18"/>
      <c r="V121" s="18"/>
      <c r="W121" s="18"/>
      <c r="X121" s="18"/>
      <c r="Y121" s="18"/>
      <c r="Z121" s="18"/>
      <c r="AA121" s="18"/>
      <c r="AB121" s="18"/>
    </row>
    <row r="122" spans="1:28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69"/>
      <c r="U122" s="18"/>
      <c r="V122" s="18"/>
      <c r="W122" s="18"/>
      <c r="X122" s="18"/>
      <c r="Y122" s="18"/>
      <c r="Z122" s="18"/>
      <c r="AA122" s="18"/>
      <c r="AB122" s="18"/>
    </row>
    <row r="123" spans="1:28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69"/>
      <c r="U123" s="18"/>
      <c r="V123" s="18"/>
      <c r="W123" s="18"/>
      <c r="X123" s="18"/>
      <c r="Y123" s="18"/>
      <c r="Z123" s="18"/>
      <c r="AA123" s="18"/>
      <c r="AB123" s="18"/>
    </row>
    <row r="124" spans="1:28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69"/>
      <c r="U124" s="18"/>
      <c r="V124" s="18"/>
      <c r="W124" s="18"/>
      <c r="X124" s="18"/>
      <c r="Y124" s="18"/>
      <c r="Z124" s="18"/>
      <c r="AA124" s="18"/>
      <c r="AB124" s="18"/>
    </row>
    <row r="125" spans="1:28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69"/>
      <c r="U125" s="18"/>
      <c r="V125" s="18"/>
      <c r="W125" s="18"/>
      <c r="X125" s="18"/>
      <c r="Y125" s="18"/>
      <c r="Z125" s="18"/>
      <c r="AA125" s="18"/>
      <c r="AB125" s="18"/>
    </row>
    <row r="126" spans="1:28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69"/>
      <c r="U126" s="18"/>
      <c r="V126" s="18"/>
      <c r="W126" s="18"/>
      <c r="X126" s="18"/>
      <c r="Y126" s="18"/>
      <c r="Z126" s="18"/>
      <c r="AA126" s="18"/>
      <c r="AB126" s="18"/>
    </row>
    <row r="127" spans="1:28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69"/>
      <c r="U127" s="18"/>
      <c r="V127" s="18"/>
      <c r="W127" s="18"/>
      <c r="X127" s="18"/>
      <c r="Y127" s="18"/>
      <c r="Z127" s="18"/>
      <c r="AA127" s="18"/>
      <c r="AB127" s="18"/>
    </row>
    <row r="128" spans="1:28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69"/>
      <c r="U128" s="18"/>
      <c r="V128" s="18"/>
      <c r="W128" s="18"/>
      <c r="X128" s="18"/>
      <c r="Y128" s="18"/>
      <c r="Z128" s="18"/>
      <c r="AA128" s="18"/>
      <c r="AB128" s="18"/>
    </row>
    <row r="129" spans="1:28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69"/>
      <c r="U129" s="18"/>
      <c r="V129" s="18"/>
      <c r="W129" s="18"/>
      <c r="X129" s="18"/>
      <c r="Y129" s="18"/>
      <c r="Z129" s="18"/>
      <c r="AA129" s="18"/>
      <c r="AB129" s="18"/>
    </row>
    <row r="130" spans="1:28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69"/>
      <c r="U130" s="18"/>
      <c r="V130" s="18"/>
      <c r="W130" s="18"/>
      <c r="X130" s="18"/>
      <c r="Y130" s="18"/>
      <c r="Z130" s="18"/>
      <c r="AA130" s="18"/>
      <c r="AB130" s="18"/>
    </row>
    <row r="131" spans="1:28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69"/>
      <c r="U131" s="18"/>
      <c r="V131" s="18"/>
      <c r="W131" s="18"/>
      <c r="X131" s="18"/>
      <c r="Y131" s="18"/>
      <c r="Z131" s="18"/>
      <c r="AA131" s="18"/>
      <c r="AB131" s="18"/>
    </row>
    <row r="132" spans="1:28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69"/>
      <c r="U132" s="18"/>
      <c r="V132" s="18"/>
      <c r="W132" s="18"/>
      <c r="X132" s="18"/>
      <c r="Y132" s="18"/>
      <c r="Z132" s="18"/>
      <c r="AA132" s="18"/>
      <c r="AB132" s="18"/>
    </row>
    <row r="133" spans="1:28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69"/>
      <c r="U133" s="18"/>
      <c r="V133" s="18"/>
      <c r="W133" s="18"/>
      <c r="X133" s="18"/>
      <c r="Y133" s="18"/>
      <c r="Z133" s="18"/>
      <c r="AA133" s="18"/>
      <c r="AB133" s="18"/>
    </row>
    <row r="134" spans="1:28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69"/>
      <c r="U134" s="18"/>
      <c r="V134" s="18"/>
      <c r="W134" s="18"/>
      <c r="X134" s="18"/>
      <c r="Y134" s="18"/>
      <c r="Z134" s="18"/>
      <c r="AA134" s="18"/>
      <c r="AB134" s="18"/>
    </row>
    <row r="135" spans="1:28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69"/>
      <c r="U135" s="18"/>
      <c r="V135" s="18"/>
      <c r="W135" s="18"/>
      <c r="X135" s="18"/>
      <c r="Y135" s="18"/>
      <c r="Z135" s="18"/>
      <c r="AA135" s="18"/>
      <c r="AB135" s="18"/>
    </row>
    <row r="136" spans="1:28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69"/>
      <c r="U136" s="18"/>
      <c r="V136" s="18"/>
      <c r="W136" s="18"/>
      <c r="X136" s="18"/>
      <c r="Y136" s="18"/>
      <c r="Z136" s="18"/>
      <c r="AA136" s="18"/>
      <c r="AB136" s="18"/>
    </row>
    <row r="137" spans="1:28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69"/>
      <c r="U137" s="18"/>
      <c r="V137" s="18"/>
      <c r="W137" s="18"/>
      <c r="X137" s="18"/>
      <c r="Y137" s="18"/>
      <c r="Z137" s="18"/>
      <c r="AA137" s="18"/>
      <c r="AB137" s="18"/>
    </row>
    <row r="138" spans="1:28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69"/>
      <c r="U138" s="18"/>
      <c r="V138" s="18"/>
      <c r="W138" s="18"/>
      <c r="X138" s="18"/>
      <c r="Y138" s="18"/>
      <c r="Z138" s="18"/>
      <c r="AA138" s="18"/>
      <c r="AB138" s="18"/>
    </row>
    <row r="139" spans="1:28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69"/>
      <c r="U139" s="18"/>
      <c r="V139" s="18"/>
      <c r="W139" s="18"/>
      <c r="X139" s="18"/>
      <c r="Y139" s="18"/>
      <c r="Z139" s="18"/>
      <c r="AA139" s="18"/>
      <c r="AB139" s="18"/>
    </row>
    <row r="140" spans="1:28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69"/>
      <c r="U140" s="18"/>
      <c r="V140" s="18"/>
      <c r="W140" s="18"/>
      <c r="X140" s="18"/>
      <c r="Y140" s="18"/>
      <c r="Z140" s="18"/>
      <c r="AA140" s="18"/>
      <c r="AB140" s="18"/>
    </row>
    <row r="141" spans="1:28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69"/>
      <c r="U141" s="18"/>
      <c r="V141" s="18"/>
      <c r="W141" s="18"/>
      <c r="X141" s="18"/>
      <c r="Y141" s="18"/>
      <c r="Z141" s="18"/>
      <c r="AA141" s="18"/>
      <c r="AB141" s="18"/>
    </row>
    <row r="142" spans="1:28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69"/>
      <c r="U142" s="18"/>
      <c r="V142" s="18"/>
      <c r="W142" s="18"/>
      <c r="X142" s="18"/>
      <c r="Y142" s="18"/>
      <c r="Z142" s="18"/>
      <c r="AA142" s="18"/>
      <c r="AB142" s="18"/>
    </row>
    <row r="143" spans="1:28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69"/>
      <c r="U143" s="18"/>
      <c r="V143" s="18"/>
      <c r="W143" s="18"/>
      <c r="X143" s="18"/>
      <c r="Y143" s="18"/>
      <c r="Z143" s="18"/>
      <c r="AA143" s="18"/>
      <c r="AB143" s="18"/>
    </row>
    <row r="144" spans="1:28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69"/>
      <c r="U144" s="18"/>
      <c r="V144" s="18"/>
      <c r="W144" s="18"/>
      <c r="X144" s="18"/>
      <c r="Y144" s="18"/>
      <c r="Z144" s="18"/>
      <c r="AA144" s="18"/>
      <c r="AB144" s="18"/>
    </row>
    <row r="145" spans="1:28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69"/>
      <c r="U145" s="18"/>
      <c r="V145" s="18"/>
      <c r="W145" s="18"/>
      <c r="X145" s="18"/>
      <c r="Y145" s="18"/>
      <c r="Z145" s="18"/>
      <c r="AA145" s="18"/>
      <c r="AB145" s="18"/>
    </row>
    <row r="146" spans="1:28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69"/>
      <c r="U146" s="18"/>
      <c r="V146" s="18"/>
      <c r="W146" s="18"/>
      <c r="X146" s="18"/>
      <c r="Y146" s="18"/>
      <c r="Z146" s="18"/>
      <c r="AA146" s="18"/>
      <c r="AB146" s="18"/>
    </row>
    <row r="147" spans="1:28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69"/>
      <c r="U147" s="18"/>
      <c r="V147" s="18"/>
      <c r="W147" s="18"/>
      <c r="X147" s="18"/>
      <c r="Y147" s="18"/>
      <c r="Z147" s="18"/>
      <c r="AA147" s="18"/>
      <c r="AB147" s="18"/>
    </row>
    <row r="148" spans="1:28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69"/>
      <c r="U148" s="18"/>
      <c r="V148" s="18"/>
      <c r="W148" s="18"/>
      <c r="X148" s="18"/>
      <c r="Y148" s="18"/>
      <c r="Z148" s="18"/>
      <c r="AA148" s="18"/>
      <c r="AB148" s="18"/>
    </row>
    <row r="149" spans="1:28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69"/>
      <c r="U149" s="18"/>
      <c r="V149" s="18"/>
      <c r="W149" s="18"/>
      <c r="X149" s="18"/>
      <c r="Y149" s="18"/>
      <c r="Z149" s="18"/>
      <c r="AA149" s="18"/>
      <c r="AB149" s="18"/>
    </row>
    <row r="150" spans="1:28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69"/>
      <c r="U150" s="18"/>
      <c r="V150" s="18"/>
      <c r="W150" s="18"/>
      <c r="X150" s="18"/>
      <c r="Y150" s="18"/>
      <c r="Z150" s="18"/>
      <c r="AA150" s="18"/>
      <c r="AB150" s="18"/>
    </row>
    <row r="151" spans="1:28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69"/>
      <c r="U151" s="18"/>
      <c r="V151" s="18"/>
      <c r="W151" s="18"/>
      <c r="X151" s="18"/>
      <c r="Y151" s="18"/>
      <c r="Z151" s="18"/>
      <c r="AA151" s="18"/>
      <c r="AB151" s="18"/>
    </row>
    <row r="152" spans="1:28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69"/>
      <c r="U152" s="18"/>
      <c r="V152" s="18"/>
      <c r="W152" s="18"/>
      <c r="X152" s="18"/>
      <c r="Y152" s="18"/>
      <c r="Z152" s="18"/>
      <c r="AA152" s="18"/>
      <c r="AB152" s="18"/>
    </row>
    <row r="153" spans="1:28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69"/>
      <c r="U153" s="18"/>
      <c r="V153" s="18"/>
      <c r="W153" s="18"/>
      <c r="X153" s="18"/>
      <c r="Y153" s="18"/>
      <c r="Z153" s="18"/>
      <c r="AA153" s="18"/>
      <c r="AB153" s="18"/>
    </row>
    <row r="154" spans="1:28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69"/>
      <c r="U154" s="18"/>
      <c r="V154" s="18"/>
      <c r="W154" s="18"/>
      <c r="X154" s="18"/>
      <c r="Y154" s="18"/>
      <c r="Z154" s="18"/>
      <c r="AA154" s="18"/>
      <c r="AB154" s="18"/>
    </row>
    <row r="155" spans="1:28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69"/>
      <c r="U155" s="18"/>
      <c r="V155" s="18"/>
      <c r="W155" s="18"/>
      <c r="X155" s="18"/>
      <c r="Y155" s="18"/>
      <c r="Z155" s="18"/>
      <c r="AA155" s="18"/>
      <c r="AB155" s="18"/>
    </row>
    <row r="156" spans="1:28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69"/>
      <c r="U156" s="18"/>
      <c r="V156" s="18"/>
      <c r="W156" s="18"/>
      <c r="X156" s="18"/>
      <c r="Y156" s="18"/>
      <c r="Z156" s="18"/>
      <c r="AA156" s="18"/>
      <c r="AB156" s="18"/>
    </row>
    <row r="157" spans="1:28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69"/>
      <c r="U157" s="18"/>
      <c r="V157" s="18"/>
      <c r="W157" s="18"/>
      <c r="X157" s="18"/>
      <c r="Y157" s="18"/>
      <c r="Z157" s="18"/>
      <c r="AA157" s="18"/>
      <c r="AB157" s="18"/>
    </row>
    <row r="158" spans="1:28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69"/>
      <c r="U158" s="18"/>
      <c r="V158" s="18"/>
      <c r="W158" s="18"/>
      <c r="X158" s="18"/>
      <c r="Y158" s="18"/>
      <c r="Z158" s="18"/>
      <c r="AA158" s="18"/>
      <c r="AB158" s="18"/>
    </row>
    <row r="159" spans="1:28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69"/>
      <c r="U159" s="18"/>
      <c r="V159" s="18"/>
      <c r="W159" s="18"/>
      <c r="X159" s="18"/>
      <c r="Y159" s="18"/>
      <c r="Z159" s="18"/>
      <c r="AA159" s="18"/>
      <c r="AB159" s="18"/>
    </row>
    <row r="160" spans="1:28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69"/>
      <c r="U160" s="18"/>
      <c r="V160" s="18"/>
      <c r="W160" s="18"/>
      <c r="X160" s="18"/>
      <c r="Y160" s="18"/>
      <c r="Z160" s="18"/>
      <c r="AA160" s="18"/>
      <c r="AB160" s="18"/>
    </row>
    <row r="161" spans="1:28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69"/>
      <c r="U161" s="18"/>
      <c r="V161" s="18"/>
      <c r="W161" s="18"/>
      <c r="X161" s="18"/>
      <c r="Y161" s="18"/>
      <c r="Z161" s="18"/>
      <c r="AA161" s="18"/>
      <c r="AB161" s="18"/>
    </row>
    <row r="162" spans="1:28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69"/>
      <c r="U162" s="18"/>
      <c r="V162" s="18"/>
      <c r="W162" s="18"/>
      <c r="X162" s="18"/>
      <c r="Y162" s="18"/>
      <c r="Z162" s="18"/>
      <c r="AA162" s="18"/>
      <c r="AB162" s="18"/>
    </row>
    <row r="163" spans="1:28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69"/>
      <c r="U163" s="18"/>
      <c r="V163" s="18"/>
      <c r="W163" s="18"/>
      <c r="X163" s="18"/>
      <c r="Y163" s="18"/>
      <c r="Z163" s="18"/>
      <c r="AA163" s="18"/>
      <c r="AB163" s="18"/>
    </row>
    <row r="164" spans="1:28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69"/>
      <c r="U164" s="18"/>
      <c r="V164" s="18"/>
      <c r="W164" s="18"/>
      <c r="X164" s="18"/>
      <c r="Y164" s="18"/>
      <c r="Z164" s="18"/>
      <c r="AA164" s="18"/>
      <c r="AB164" s="18"/>
    </row>
    <row r="165" spans="1:28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69"/>
      <c r="U165" s="18"/>
      <c r="V165" s="18"/>
      <c r="W165" s="18"/>
      <c r="X165" s="18"/>
      <c r="Y165" s="18"/>
      <c r="Z165" s="18"/>
      <c r="AA165" s="18"/>
      <c r="AB165" s="18"/>
    </row>
    <row r="166" spans="1:28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69"/>
      <c r="U166" s="18"/>
      <c r="V166" s="18"/>
      <c r="W166" s="18"/>
      <c r="X166" s="18"/>
      <c r="Y166" s="18"/>
      <c r="Z166" s="18"/>
      <c r="AA166" s="18"/>
      <c r="AB166" s="18"/>
    </row>
    <row r="167" spans="1:28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69"/>
      <c r="U167" s="18"/>
      <c r="V167" s="18"/>
      <c r="W167" s="18"/>
      <c r="X167" s="18"/>
      <c r="Y167" s="18"/>
      <c r="Z167" s="18"/>
      <c r="AA167" s="18"/>
      <c r="AB167" s="18"/>
    </row>
    <row r="168" spans="1:28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69"/>
      <c r="U168" s="18"/>
      <c r="V168" s="18"/>
      <c r="W168" s="18"/>
      <c r="X168" s="18"/>
      <c r="Y168" s="18"/>
      <c r="Z168" s="18"/>
      <c r="AA168" s="18"/>
      <c r="AB168" s="18"/>
    </row>
    <row r="169" spans="1:28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69"/>
      <c r="U169" s="18"/>
      <c r="V169" s="18"/>
      <c r="W169" s="18"/>
      <c r="X169" s="18"/>
      <c r="Y169" s="18"/>
      <c r="Z169" s="18"/>
      <c r="AA169" s="18"/>
      <c r="AB169" s="18"/>
    </row>
    <row r="170" spans="1:28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69"/>
      <c r="U170" s="18"/>
      <c r="V170" s="18"/>
      <c r="W170" s="18"/>
      <c r="X170" s="18"/>
      <c r="Y170" s="18"/>
      <c r="Z170" s="18"/>
      <c r="AA170" s="18"/>
      <c r="AB170" s="18"/>
    </row>
    <row r="171" spans="1:28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69"/>
      <c r="U171" s="18"/>
      <c r="V171" s="18"/>
      <c r="W171" s="18"/>
      <c r="X171" s="18"/>
      <c r="Y171" s="18"/>
      <c r="Z171" s="18"/>
      <c r="AA171" s="18"/>
      <c r="AB171" s="18"/>
    </row>
    <row r="172" spans="1:28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69"/>
      <c r="U172" s="18"/>
      <c r="V172" s="18"/>
      <c r="W172" s="18"/>
      <c r="X172" s="18"/>
      <c r="Y172" s="18"/>
      <c r="Z172" s="18"/>
      <c r="AA172" s="18"/>
      <c r="AB172" s="18"/>
    </row>
    <row r="173" spans="1:28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69"/>
      <c r="U173" s="18"/>
      <c r="V173" s="18"/>
      <c r="W173" s="18"/>
      <c r="X173" s="18"/>
      <c r="Y173" s="18"/>
      <c r="Z173" s="18"/>
      <c r="AA173" s="18"/>
      <c r="AB173" s="18"/>
    </row>
    <row r="174" spans="1:28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69"/>
      <c r="U174" s="18"/>
      <c r="V174" s="18"/>
      <c r="W174" s="18"/>
      <c r="X174" s="18"/>
      <c r="Y174" s="18"/>
      <c r="Z174" s="18"/>
      <c r="AA174" s="18"/>
      <c r="AB174" s="18"/>
    </row>
    <row r="175" spans="1:28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69"/>
      <c r="U175" s="18"/>
      <c r="V175" s="18"/>
      <c r="W175" s="18"/>
      <c r="X175" s="18"/>
      <c r="Y175" s="18"/>
      <c r="Z175" s="18"/>
      <c r="AA175" s="18"/>
      <c r="AB175" s="18"/>
    </row>
    <row r="176" spans="1:28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69"/>
      <c r="U176" s="18"/>
      <c r="V176" s="18"/>
      <c r="W176" s="18"/>
      <c r="X176" s="18"/>
      <c r="Y176" s="18"/>
      <c r="Z176" s="18"/>
      <c r="AA176" s="18"/>
      <c r="AB176" s="18"/>
    </row>
    <row r="177" spans="1:28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69"/>
      <c r="U177" s="18"/>
      <c r="V177" s="18"/>
      <c r="W177" s="18"/>
      <c r="X177" s="18"/>
      <c r="Y177" s="18"/>
      <c r="Z177" s="18"/>
      <c r="AA177" s="18"/>
      <c r="AB177" s="18"/>
    </row>
    <row r="178" spans="1:28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69"/>
      <c r="U178" s="18"/>
      <c r="V178" s="18"/>
      <c r="W178" s="18"/>
      <c r="X178" s="18"/>
      <c r="Y178" s="18"/>
      <c r="Z178" s="18"/>
      <c r="AA178" s="18"/>
      <c r="AB178" s="18"/>
    </row>
    <row r="179" spans="1:28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69"/>
      <c r="U179" s="18"/>
      <c r="V179" s="18"/>
      <c r="W179" s="18"/>
      <c r="X179" s="18"/>
      <c r="Y179" s="18"/>
      <c r="Z179" s="18"/>
      <c r="AA179" s="18"/>
      <c r="AB179" s="18"/>
    </row>
    <row r="180" spans="1:28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69"/>
      <c r="U180" s="18"/>
      <c r="V180" s="18"/>
      <c r="W180" s="18"/>
      <c r="X180" s="18"/>
      <c r="Y180" s="18"/>
      <c r="Z180" s="18"/>
      <c r="AA180" s="18"/>
      <c r="AB180" s="18"/>
    </row>
    <row r="181" spans="1:28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69"/>
      <c r="U181" s="18"/>
      <c r="V181" s="18"/>
      <c r="W181" s="18"/>
      <c r="X181" s="18"/>
      <c r="Y181" s="18"/>
      <c r="Z181" s="18"/>
      <c r="AA181" s="18"/>
      <c r="AB181" s="18"/>
    </row>
    <row r="182" spans="1:28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69"/>
      <c r="U182" s="18"/>
      <c r="V182" s="18"/>
      <c r="W182" s="18"/>
      <c r="X182" s="18"/>
      <c r="Y182" s="18"/>
      <c r="Z182" s="18"/>
      <c r="AA182" s="18"/>
      <c r="AB182" s="18"/>
    </row>
    <row r="183" spans="1:28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69"/>
      <c r="U183" s="18"/>
      <c r="V183" s="18"/>
      <c r="W183" s="18"/>
      <c r="X183" s="18"/>
      <c r="Y183" s="18"/>
      <c r="Z183" s="18"/>
      <c r="AA183" s="18"/>
      <c r="AB183" s="18"/>
    </row>
    <row r="184" spans="1:28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69"/>
      <c r="U184" s="18"/>
      <c r="V184" s="18"/>
      <c r="W184" s="18"/>
      <c r="X184" s="18"/>
      <c r="Y184" s="18"/>
      <c r="Z184" s="18"/>
      <c r="AA184" s="18"/>
      <c r="AB184" s="18"/>
    </row>
    <row r="185" spans="1:28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69"/>
      <c r="U185" s="18"/>
      <c r="V185" s="18"/>
      <c r="W185" s="18"/>
      <c r="X185" s="18"/>
      <c r="Y185" s="18"/>
      <c r="Z185" s="18"/>
      <c r="AA185" s="18"/>
      <c r="AB185" s="18"/>
    </row>
    <row r="186" spans="1:28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69"/>
      <c r="U186" s="18"/>
      <c r="V186" s="18"/>
      <c r="W186" s="18"/>
      <c r="X186" s="18"/>
      <c r="Y186" s="18"/>
      <c r="Z186" s="18"/>
      <c r="AA186" s="18"/>
      <c r="AB186" s="18"/>
    </row>
    <row r="187" spans="1:28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69"/>
      <c r="U187" s="18"/>
      <c r="V187" s="18"/>
      <c r="W187" s="18"/>
      <c r="X187" s="18"/>
      <c r="Y187" s="18"/>
      <c r="Z187" s="18"/>
      <c r="AA187" s="18"/>
      <c r="AB187" s="18"/>
    </row>
    <row r="188" spans="1:28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69"/>
      <c r="U188" s="18"/>
      <c r="V188" s="18"/>
      <c r="W188" s="18"/>
      <c r="X188" s="18"/>
      <c r="Y188" s="18"/>
      <c r="Z188" s="18"/>
      <c r="AA188" s="18"/>
      <c r="AB188" s="18"/>
    </row>
    <row r="189" spans="1:28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69"/>
      <c r="U189" s="18"/>
      <c r="V189" s="18"/>
      <c r="W189" s="18"/>
      <c r="X189" s="18"/>
      <c r="Y189" s="18"/>
      <c r="Z189" s="18"/>
      <c r="AA189" s="18"/>
      <c r="AB189" s="18"/>
    </row>
    <row r="190" spans="1:28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69"/>
      <c r="U190" s="18"/>
      <c r="V190" s="18"/>
      <c r="W190" s="18"/>
      <c r="X190" s="18"/>
      <c r="Y190" s="18"/>
      <c r="Z190" s="18"/>
      <c r="AA190" s="18"/>
      <c r="AB190" s="18"/>
    </row>
    <row r="191" spans="1:28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69"/>
      <c r="U191" s="18"/>
      <c r="V191" s="18"/>
      <c r="W191" s="18"/>
      <c r="X191" s="18"/>
      <c r="Y191" s="18"/>
      <c r="Z191" s="18"/>
      <c r="AA191" s="18"/>
      <c r="AB191" s="18"/>
    </row>
    <row r="192" spans="1:28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69"/>
      <c r="U192" s="18"/>
      <c r="V192" s="18"/>
      <c r="W192" s="18"/>
      <c r="X192" s="18"/>
      <c r="Y192" s="18"/>
      <c r="Z192" s="18"/>
      <c r="AA192" s="18"/>
      <c r="AB192" s="18"/>
    </row>
    <row r="193" spans="1:28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69"/>
      <c r="U193" s="18"/>
      <c r="V193" s="18"/>
      <c r="W193" s="18"/>
      <c r="X193" s="18"/>
      <c r="Y193" s="18"/>
      <c r="Z193" s="18"/>
      <c r="AA193" s="18"/>
      <c r="AB193" s="18"/>
    </row>
    <row r="194" spans="1:28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69"/>
      <c r="U194" s="18"/>
      <c r="V194" s="18"/>
      <c r="W194" s="18"/>
      <c r="X194" s="18"/>
      <c r="Y194" s="18"/>
      <c r="Z194" s="18"/>
      <c r="AA194" s="18"/>
      <c r="AB194" s="18"/>
    </row>
    <row r="195" spans="1:28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69"/>
      <c r="U195" s="18"/>
      <c r="V195" s="18"/>
      <c r="W195" s="18"/>
      <c r="X195" s="18"/>
      <c r="Y195" s="18"/>
      <c r="Z195" s="18"/>
      <c r="AA195" s="18"/>
      <c r="AB195" s="18"/>
    </row>
    <row r="196" spans="1:28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69"/>
      <c r="U196" s="18"/>
      <c r="V196" s="18"/>
      <c r="W196" s="18"/>
      <c r="X196" s="18"/>
      <c r="Y196" s="18"/>
      <c r="Z196" s="18"/>
      <c r="AA196" s="18"/>
      <c r="AB196" s="18"/>
    </row>
    <row r="197" spans="1:28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69"/>
      <c r="U197" s="18"/>
      <c r="V197" s="18"/>
      <c r="W197" s="18"/>
      <c r="X197" s="18"/>
      <c r="Y197" s="18"/>
      <c r="Z197" s="18"/>
      <c r="AA197" s="18"/>
      <c r="AB197" s="18"/>
    </row>
    <row r="198" spans="1:28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69"/>
      <c r="U198" s="18"/>
      <c r="V198" s="18"/>
      <c r="W198" s="18"/>
      <c r="X198" s="18"/>
      <c r="Y198" s="18"/>
      <c r="Z198" s="18"/>
      <c r="AA198" s="18"/>
      <c r="AB198" s="18"/>
    </row>
    <row r="199" spans="1:28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69"/>
      <c r="U199" s="18"/>
      <c r="V199" s="18"/>
      <c r="W199" s="18"/>
      <c r="X199" s="18"/>
      <c r="Y199" s="18"/>
      <c r="Z199" s="18"/>
      <c r="AA199" s="18"/>
      <c r="AB199" s="18"/>
    </row>
    <row r="200" spans="1:28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69"/>
      <c r="U200" s="18"/>
      <c r="V200" s="18"/>
      <c r="W200" s="18"/>
      <c r="X200" s="18"/>
      <c r="Y200" s="18"/>
      <c r="Z200" s="18"/>
      <c r="AA200" s="18"/>
      <c r="AB200" s="18"/>
    </row>
    <row r="201" spans="1:28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69"/>
      <c r="U201" s="18"/>
      <c r="V201" s="18"/>
      <c r="W201" s="18"/>
      <c r="X201" s="18"/>
      <c r="Y201" s="18"/>
      <c r="Z201" s="18"/>
      <c r="AA201" s="18"/>
      <c r="AB201" s="18"/>
    </row>
    <row r="202" spans="1:28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69"/>
      <c r="U202" s="18"/>
      <c r="V202" s="18"/>
      <c r="W202" s="18"/>
      <c r="X202" s="18"/>
      <c r="Y202" s="18"/>
      <c r="Z202" s="18"/>
      <c r="AA202" s="18"/>
      <c r="AB202" s="18"/>
    </row>
    <row r="203" spans="1:28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69"/>
      <c r="U203" s="18"/>
      <c r="V203" s="18"/>
      <c r="W203" s="18"/>
      <c r="X203" s="18"/>
      <c r="Y203" s="18"/>
      <c r="Z203" s="18"/>
      <c r="AA203" s="18"/>
      <c r="AB203" s="18"/>
    </row>
    <row r="204" spans="1:28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69"/>
      <c r="U204" s="18"/>
      <c r="V204" s="18"/>
      <c r="W204" s="18"/>
      <c r="X204" s="18"/>
      <c r="Y204" s="18"/>
      <c r="Z204" s="18"/>
      <c r="AA204" s="18"/>
      <c r="AB204" s="18"/>
    </row>
    <row r="205" spans="1:28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69"/>
      <c r="U205" s="18"/>
      <c r="V205" s="18"/>
      <c r="W205" s="18"/>
      <c r="X205" s="18"/>
      <c r="Y205" s="18"/>
      <c r="Z205" s="18"/>
      <c r="AA205" s="18"/>
      <c r="AB205" s="18"/>
    </row>
    <row r="206" spans="1:28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69"/>
      <c r="U206" s="18"/>
      <c r="V206" s="18"/>
      <c r="W206" s="18"/>
      <c r="X206" s="18"/>
      <c r="Y206" s="18"/>
      <c r="Z206" s="18"/>
      <c r="AA206" s="18"/>
      <c r="AB206" s="18"/>
    </row>
    <row r="207" spans="1:28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69"/>
      <c r="U207" s="18"/>
      <c r="V207" s="18"/>
      <c r="W207" s="18"/>
      <c r="X207" s="18"/>
      <c r="Y207" s="18"/>
      <c r="Z207" s="18"/>
      <c r="AA207" s="18"/>
      <c r="AB207" s="18"/>
    </row>
    <row r="208" spans="1:28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69"/>
      <c r="U208" s="18"/>
      <c r="V208" s="18"/>
      <c r="W208" s="18"/>
      <c r="X208" s="18"/>
      <c r="Y208" s="18"/>
      <c r="Z208" s="18"/>
      <c r="AA208" s="18"/>
      <c r="AB208" s="18"/>
    </row>
    <row r="209" spans="1:28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69"/>
      <c r="U209" s="18"/>
      <c r="V209" s="18"/>
      <c r="W209" s="18"/>
      <c r="X209" s="18"/>
      <c r="Y209" s="18"/>
      <c r="Z209" s="18"/>
      <c r="AA209" s="18"/>
      <c r="AB209" s="18"/>
    </row>
    <row r="210" spans="1:28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69"/>
      <c r="U210" s="18"/>
      <c r="V210" s="18"/>
      <c r="W210" s="18"/>
      <c r="X210" s="18"/>
      <c r="Y210" s="18"/>
      <c r="Z210" s="18"/>
      <c r="AA210" s="18"/>
      <c r="AB210" s="18"/>
    </row>
    <row r="211" spans="1:28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69"/>
      <c r="U211" s="18"/>
      <c r="V211" s="18"/>
      <c r="W211" s="18"/>
      <c r="X211" s="18"/>
      <c r="Y211" s="18"/>
      <c r="Z211" s="18"/>
      <c r="AA211" s="18"/>
      <c r="AB211" s="18"/>
    </row>
    <row r="212" spans="1:28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69"/>
      <c r="U212" s="18"/>
      <c r="V212" s="18"/>
      <c r="W212" s="18"/>
      <c r="X212" s="18"/>
      <c r="Y212" s="18"/>
      <c r="Z212" s="18"/>
      <c r="AA212" s="18"/>
      <c r="AB212" s="18"/>
    </row>
    <row r="213" spans="1:28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69"/>
      <c r="U213" s="18"/>
      <c r="V213" s="18"/>
      <c r="W213" s="18"/>
      <c r="X213" s="18"/>
      <c r="Y213" s="18"/>
      <c r="Z213" s="18"/>
      <c r="AA213" s="18"/>
      <c r="AB213" s="18"/>
    </row>
    <row r="214" spans="1:28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69"/>
      <c r="U214" s="18"/>
      <c r="V214" s="18"/>
      <c r="W214" s="18"/>
      <c r="X214" s="18"/>
      <c r="Y214" s="18"/>
      <c r="Z214" s="18"/>
      <c r="AA214" s="18"/>
      <c r="AB214" s="18"/>
    </row>
    <row r="215" spans="1:28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69"/>
      <c r="U215" s="18"/>
      <c r="V215" s="18"/>
      <c r="W215" s="18"/>
      <c r="X215" s="18"/>
      <c r="Y215" s="18"/>
      <c r="Z215" s="18"/>
      <c r="AA215" s="18"/>
      <c r="AB215" s="18"/>
    </row>
    <row r="216" spans="1:28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69"/>
      <c r="U216" s="18"/>
      <c r="V216" s="18"/>
      <c r="W216" s="18"/>
      <c r="X216" s="18"/>
      <c r="Y216" s="18"/>
      <c r="Z216" s="18"/>
      <c r="AA216" s="18"/>
      <c r="AB216" s="18"/>
    </row>
    <row r="217" spans="1:28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69"/>
      <c r="U217" s="18"/>
      <c r="V217" s="18"/>
      <c r="W217" s="18"/>
      <c r="X217" s="18"/>
      <c r="Y217" s="18"/>
      <c r="Z217" s="18"/>
      <c r="AA217" s="18"/>
      <c r="AB217" s="18"/>
    </row>
    <row r="218" spans="1:28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69"/>
      <c r="U218" s="18"/>
      <c r="V218" s="18"/>
      <c r="W218" s="18"/>
      <c r="X218" s="18"/>
      <c r="Y218" s="18"/>
      <c r="Z218" s="18"/>
      <c r="AA218" s="18"/>
      <c r="AB218" s="18"/>
    </row>
    <row r="219" spans="1:28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69"/>
      <c r="U219" s="18"/>
      <c r="V219" s="18"/>
      <c r="W219" s="18"/>
      <c r="X219" s="18"/>
      <c r="Y219" s="18"/>
      <c r="Z219" s="18"/>
      <c r="AA219" s="18"/>
      <c r="AB219" s="18"/>
    </row>
    <row r="220" spans="1:28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69"/>
      <c r="U220" s="18"/>
      <c r="V220" s="18"/>
      <c r="W220" s="18"/>
      <c r="X220" s="18"/>
      <c r="Y220" s="18"/>
      <c r="Z220" s="18"/>
      <c r="AA220" s="18"/>
      <c r="AB220" s="18"/>
    </row>
    <row r="221" spans="1:28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69"/>
      <c r="U221" s="18"/>
      <c r="V221" s="18"/>
      <c r="W221" s="18"/>
      <c r="X221" s="18"/>
      <c r="Y221" s="18"/>
      <c r="Z221" s="18"/>
      <c r="AA221" s="18"/>
      <c r="AB221" s="18"/>
    </row>
    <row r="222" spans="1:28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69"/>
      <c r="U222" s="18"/>
      <c r="V222" s="18"/>
      <c r="W222" s="18"/>
      <c r="X222" s="18"/>
      <c r="Y222" s="18"/>
      <c r="Z222" s="18"/>
      <c r="AA222" s="18"/>
      <c r="AB222" s="18"/>
    </row>
    <row r="223" spans="1:28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69"/>
      <c r="U223" s="18"/>
      <c r="V223" s="18"/>
      <c r="W223" s="18"/>
      <c r="X223" s="18"/>
      <c r="Y223" s="18"/>
      <c r="Z223" s="18"/>
      <c r="AA223" s="18"/>
      <c r="AB223" s="18"/>
    </row>
    <row r="224" spans="1:28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69"/>
      <c r="U224" s="18"/>
      <c r="V224" s="18"/>
      <c r="W224" s="18"/>
      <c r="X224" s="18"/>
      <c r="Y224" s="18"/>
      <c r="Z224" s="18"/>
      <c r="AA224" s="18"/>
      <c r="AB224" s="18"/>
    </row>
    <row r="225" spans="1:28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69"/>
      <c r="U225" s="18"/>
      <c r="V225" s="18"/>
      <c r="W225" s="18"/>
      <c r="X225" s="18"/>
      <c r="Y225" s="18"/>
      <c r="Z225" s="18"/>
      <c r="AA225" s="18"/>
      <c r="AB225" s="18"/>
    </row>
    <row r="226" spans="1:28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69"/>
      <c r="U226" s="18"/>
      <c r="V226" s="18"/>
      <c r="W226" s="18"/>
      <c r="X226" s="18"/>
      <c r="Y226" s="18"/>
      <c r="Z226" s="18"/>
      <c r="AA226" s="18"/>
      <c r="AB226" s="18"/>
    </row>
    <row r="227" spans="1:28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69"/>
      <c r="U227" s="18"/>
      <c r="V227" s="18"/>
      <c r="W227" s="18"/>
      <c r="X227" s="18"/>
      <c r="Y227" s="18"/>
      <c r="Z227" s="18"/>
      <c r="AA227" s="18"/>
      <c r="AB227" s="18"/>
    </row>
    <row r="228" spans="1:28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69"/>
      <c r="U228" s="18"/>
      <c r="V228" s="18"/>
      <c r="W228" s="18"/>
      <c r="X228" s="18"/>
      <c r="Y228" s="18"/>
      <c r="Z228" s="18"/>
      <c r="AA228" s="18"/>
      <c r="AB228" s="18"/>
    </row>
    <row r="229" spans="1:28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69"/>
      <c r="U229" s="18"/>
      <c r="V229" s="18"/>
      <c r="W229" s="18"/>
      <c r="X229" s="18"/>
      <c r="Y229" s="18"/>
      <c r="Z229" s="18"/>
      <c r="AA229" s="18"/>
      <c r="AB229" s="18"/>
    </row>
    <row r="230" spans="1:28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69"/>
      <c r="U230" s="18"/>
      <c r="V230" s="18"/>
      <c r="W230" s="18"/>
      <c r="X230" s="18"/>
      <c r="Y230" s="18"/>
      <c r="Z230" s="18"/>
      <c r="AA230" s="18"/>
      <c r="AB230" s="18"/>
    </row>
    <row r="231" spans="1:28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69"/>
      <c r="U231" s="18"/>
      <c r="V231" s="18"/>
      <c r="W231" s="18"/>
      <c r="X231" s="18"/>
      <c r="Y231" s="18"/>
      <c r="Z231" s="18"/>
      <c r="AA231" s="18"/>
      <c r="AB231" s="18"/>
    </row>
    <row r="232" spans="1:28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69"/>
      <c r="U232" s="18"/>
      <c r="V232" s="18"/>
      <c r="W232" s="18"/>
      <c r="X232" s="18"/>
      <c r="Y232" s="18"/>
      <c r="Z232" s="18"/>
      <c r="AA232" s="18"/>
      <c r="AB232" s="18"/>
    </row>
    <row r="233" spans="1:28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69"/>
      <c r="U233" s="18"/>
      <c r="V233" s="18"/>
      <c r="W233" s="18"/>
      <c r="X233" s="18"/>
      <c r="Y233" s="18"/>
      <c r="Z233" s="18"/>
      <c r="AA233" s="18"/>
      <c r="AB233" s="18"/>
    </row>
    <row r="234" spans="1:28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69"/>
      <c r="U234" s="18"/>
      <c r="V234" s="18"/>
      <c r="W234" s="18"/>
      <c r="X234" s="18"/>
      <c r="Y234" s="18"/>
      <c r="Z234" s="18"/>
      <c r="AA234" s="18"/>
      <c r="AB234" s="18"/>
    </row>
    <row r="235" spans="1:28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69"/>
      <c r="U235" s="18"/>
      <c r="V235" s="18"/>
      <c r="W235" s="18"/>
      <c r="X235" s="18"/>
      <c r="Y235" s="18"/>
      <c r="Z235" s="18"/>
      <c r="AA235" s="18"/>
      <c r="AB235" s="18"/>
    </row>
    <row r="236" spans="1:28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69"/>
      <c r="U236" s="18"/>
      <c r="V236" s="18"/>
      <c r="W236" s="18"/>
      <c r="X236" s="18"/>
      <c r="Y236" s="18"/>
      <c r="Z236" s="18"/>
      <c r="AA236" s="18"/>
      <c r="AB236" s="18"/>
    </row>
    <row r="237" spans="1:28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69"/>
      <c r="U237" s="18"/>
      <c r="V237" s="18"/>
      <c r="W237" s="18"/>
      <c r="X237" s="18"/>
      <c r="Y237" s="18"/>
      <c r="Z237" s="18"/>
      <c r="AA237" s="18"/>
      <c r="AB237" s="18"/>
    </row>
    <row r="238" spans="1:28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69"/>
      <c r="U238" s="18"/>
      <c r="V238" s="18"/>
      <c r="W238" s="18"/>
      <c r="X238" s="18"/>
      <c r="Y238" s="18"/>
      <c r="Z238" s="18"/>
      <c r="AA238" s="18"/>
      <c r="AB238" s="18"/>
    </row>
    <row r="239" spans="1:28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69"/>
      <c r="U239" s="18"/>
      <c r="V239" s="18"/>
      <c r="W239" s="18"/>
      <c r="X239" s="18"/>
      <c r="Y239" s="18"/>
      <c r="Z239" s="18"/>
      <c r="AA239" s="18"/>
      <c r="AB239" s="18"/>
    </row>
    <row r="240" spans="1:28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69"/>
      <c r="U240" s="18"/>
      <c r="V240" s="18"/>
      <c r="W240" s="18"/>
      <c r="X240" s="18"/>
      <c r="Y240" s="18"/>
      <c r="Z240" s="18"/>
      <c r="AA240" s="18"/>
      <c r="AB240" s="18"/>
    </row>
    <row r="241" spans="1:28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69"/>
      <c r="U241" s="18"/>
      <c r="V241" s="18"/>
      <c r="W241" s="18"/>
      <c r="X241" s="18"/>
      <c r="Y241" s="18"/>
      <c r="Z241" s="18"/>
      <c r="AA241" s="18"/>
      <c r="AB241" s="18"/>
    </row>
    <row r="242" spans="1:28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69"/>
      <c r="U242" s="18"/>
      <c r="V242" s="18"/>
      <c r="W242" s="18"/>
      <c r="X242" s="18"/>
      <c r="Y242" s="18"/>
      <c r="Z242" s="18"/>
      <c r="AA242" s="18"/>
      <c r="AB242" s="18"/>
    </row>
    <row r="243" spans="1:28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69"/>
      <c r="U243" s="18"/>
      <c r="V243" s="18"/>
      <c r="W243" s="18"/>
      <c r="X243" s="18"/>
      <c r="Y243" s="18"/>
      <c r="Z243" s="18"/>
      <c r="AA243" s="18"/>
      <c r="AB243" s="18"/>
    </row>
    <row r="244" spans="1:28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69"/>
      <c r="U244" s="18"/>
      <c r="V244" s="18"/>
      <c r="W244" s="18"/>
      <c r="X244" s="18"/>
      <c r="Y244" s="18"/>
      <c r="Z244" s="18"/>
      <c r="AA244" s="18"/>
      <c r="AB244" s="18"/>
    </row>
    <row r="245" spans="1:28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69"/>
      <c r="U245" s="18"/>
      <c r="V245" s="18"/>
      <c r="W245" s="18"/>
      <c r="X245" s="18"/>
      <c r="Y245" s="18"/>
      <c r="Z245" s="18"/>
      <c r="AA245" s="18"/>
      <c r="AB245" s="18"/>
    </row>
    <row r="246" spans="1:28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69"/>
      <c r="U246" s="18"/>
      <c r="V246" s="18"/>
      <c r="W246" s="18"/>
      <c r="X246" s="18"/>
      <c r="Y246" s="18"/>
      <c r="Z246" s="18"/>
      <c r="AA246" s="18"/>
      <c r="AB246" s="18"/>
    </row>
    <row r="247" spans="1:28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69"/>
      <c r="U247" s="18"/>
      <c r="V247" s="18"/>
      <c r="W247" s="18"/>
      <c r="X247" s="18"/>
      <c r="Y247" s="18"/>
      <c r="Z247" s="18"/>
      <c r="AA247" s="18"/>
      <c r="AB247" s="18"/>
    </row>
    <row r="248" spans="1:28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69"/>
      <c r="U248" s="18"/>
      <c r="V248" s="18"/>
      <c r="W248" s="18"/>
      <c r="X248" s="18"/>
      <c r="Y248" s="18"/>
      <c r="Z248" s="18"/>
      <c r="AA248" s="18"/>
      <c r="AB248" s="18"/>
    </row>
    <row r="249" spans="1:28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69"/>
      <c r="U249" s="18"/>
      <c r="V249" s="18"/>
      <c r="W249" s="18"/>
      <c r="X249" s="18"/>
      <c r="Y249" s="18"/>
      <c r="Z249" s="18"/>
      <c r="AA249" s="18"/>
      <c r="AB249" s="18"/>
    </row>
    <row r="250" spans="1:28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69"/>
      <c r="U250" s="18"/>
      <c r="V250" s="18"/>
      <c r="W250" s="18"/>
      <c r="X250" s="18"/>
      <c r="Y250" s="18"/>
      <c r="Z250" s="18"/>
      <c r="AA250" s="18"/>
      <c r="AB250" s="18"/>
    </row>
    <row r="251" spans="1:28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69"/>
      <c r="U251" s="18"/>
      <c r="V251" s="18"/>
      <c r="W251" s="18"/>
      <c r="X251" s="18"/>
      <c r="Y251" s="18"/>
      <c r="Z251" s="18"/>
      <c r="AA251" s="18"/>
      <c r="AB251" s="18"/>
    </row>
    <row r="252" spans="1:28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69"/>
      <c r="U252" s="18"/>
      <c r="V252" s="18"/>
      <c r="W252" s="18"/>
      <c r="X252" s="18"/>
      <c r="Y252" s="18"/>
      <c r="Z252" s="18"/>
      <c r="AA252" s="18"/>
      <c r="AB252" s="18"/>
    </row>
    <row r="253" spans="1:28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69"/>
      <c r="U253" s="18"/>
      <c r="V253" s="18"/>
      <c r="W253" s="18"/>
      <c r="X253" s="18"/>
      <c r="Y253" s="18"/>
      <c r="Z253" s="18"/>
      <c r="AA253" s="18"/>
      <c r="AB253" s="18"/>
    </row>
    <row r="254" spans="1:28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69"/>
      <c r="U254" s="18"/>
      <c r="V254" s="18"/>
      <c r="W254" s="18"/>
      <c r="X254" s="18"/>
      <c r="Y254" s="18"/>
      <c r="Z254" s="18"/>
      <c r="AA254" s="18"/>
      <c r="AB254" s="18"/>
    </row>
    <row r="255" spans="1:28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69"/>
      <c r="U255" s="18"/>
      <c r="V255" s="18"/>
      <c r="W255" s="18"/>
      <c r="X255" s="18"/>
      <c r="Y255" s="18"/>
      <c r="Z255" s="18"/>
      <c r="AA255" s="18"/>
      <c r="AB255" s="18"/>
    </row>
    <row r="256" spans="1:28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69"/>
      <c r="U256" s="18"/>
      <c r="V256" s="18"/>
      <c r="W256" s="18"/>
      <c r="X256" s="18"/>
      <c r="Y256" s="18"/>
      <c r="Z256" s="18"/>
      <c r="AA256" s="18"/>
      <c r="AB256" s="18"/>
    </row>
    <row r="257" spans="1:28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69"/>
      <c r="U257" s="18"/>
      <c r="V257" s="18"/>
      <c r="W257" s="18"/>
      <c r="X257" s="18"/>
      <c r="Y257" s="18"/>
      <c r="Z257" s="18"/>
      <c r="AA257" s="18"/>
      <c r="AB257" s="18"/>
    </row>
    <row r="258" spans="1:28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69"/>
      <c r="U258" s="18"/>
      <c r="V258" s="18"/>
      <c r="W258" s="18"/>
      <c r="X258" s="18"/>
      <c r="Y258" s="18"/>
      <c r="Z258" s="18"/>
      <c r="AA258" s="18"/>
      <c r="AB258" s="18"/>
    </row>
    <row r="259" spans="1:28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69"/>
      <c r="U259" s="18"/>
      <c r="V259" s="18"/>
      <c r="W259" s="18"/>
      <c r="X259" s="18"/>
      <c r="Y259" s="18"/>
      <c r="Z259" s="18"/>
      <c r="AA259" s="18"/>
      <c r="AB259" s="18"/>
    </row>
    <row r="260" spans="1:28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69"/>
      <c r="U260" s="18"/>
      <c r="V260" s="18"/>
      <c r="W260" s="18"/>
      <c r="X260" s="18"/>
      <c r="Y260" s="18"/>
      <c r="Z260" s="18"/>
      <c r="AA260" s="18"/>
      <c r="AB260" s="18"/>
    </row>
    <row r="261" spans="1:28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69"/>
      <c r="U261" s="18"/>
      <c r="V261" s="18"/>
      <c r="W261" s="18"/>
      <c r="X261" s="18"/>
      <c r="Y261" s="18"/>
      <c r="Z261" s="18"/>
      <c r="AA261" s="18"/>
      <c r="AB261" s="18"/>
    </row>
    <row r="262" spans="1:28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69"/>
      <c r="U262" s="18"/>
      <c r="V262" s="18"/>
      <c r="W262" s="18"/>
      <c r="X262" s="18"/>
      <c r="Y262" s="18"/>
      <c r="Z262" s="18"/>
      <c r="AA262" s="18"/>
      <c r="AB262" s="18"/>
    </row>
    <row r="263" spans="1:28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69"/>
      <c r="U263" s="18"/>
      <c r="V263" s="18"/>
      <c r="W263" s="18"/>
      <c r="X263" s="18"/>
      <c r="Y263" s="18"/>
      <c r="Z263" s="18"/>
      <c r="AA263" s="18"/>
      <c r="AB263" s="18"/>
    </row>
    <row r="264" spans="1:28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69"/>
      <c r="U264" s="18"/>
      <c r="V264" s="18"/>
      <c r="W264" s="18"/>
      <c r="X264" s="18"/>
      <c r="Y264" s="18"/>
      <c r="Z264" s="18"/>
      <c r="AA264" s="18"/>
      <c r="AB264" s="18"/>
    </row>
    <row r="265" spans="1:28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69"/>
      <c r="U265" s="18"/>
      <c r="V265" s="18"/>
      <c r="W265" s="18"/>
      <c r="X265" s="18"/>
      <c r="Y265" s="18"/>
      <c r="Z265" s="18"/>
      <c r="AA265" s="18"/>
      <c r="AB265" s="18"/>
    </row>
    <row r="266" spans="1:28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69"/>
      <c r="U266" s="18"/>
      <c r="V266" s="18"/>
      <c r="W266" s="18"/>
      <c r="X266" s="18"/>
      <c r="Y266" s="18"/>
      <c r="Z266" s="18"/>
      <c r="AA266" s="18"/>
      <c r="AB266" s="18"/>
    </row>
    <row r="267" spans="1:28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69"/>
      <c r="U267" s="18"/>
      <c r="V267" s="18"/>
      <c r="W267" s="18"/>
      <c r="X267" s="18"/>
      <c r="Y267" s="18"/>
      <c r="Z267" s="18"/>
      <c r="AA267" s="18"/>
      <c r="AB267" s="18"/>
    </row>
    <row r="268" spans="1:28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69"/>
      <c r="U268" s="18"/>
      <c r="V268" s="18"/>
      <c r="W268" s="18"/>
      <c r="X268" s="18"/>
      <c r="Y268" s="18"/>
      <c r="Z268" s="18"/>
      <c r="AA268" s="18"/>
      <c r="AB268" s="18"/>
    </row>
    <row r="269" spans="1:28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69"/>
      <c r="U269" s="18"/>
      <c r="V269" s="18"/>
      <c r="W269" s="18"/>
      <c r="X269" s="18"/>
      <c r="Y269" s="18"/>
      <c r="Z269" s="18"/>
      <c r="AA269" s="18"/>
      <c r="AB269" s="18"/>
    </row>
    <row r="270" spans="1:28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69"/>
      <c r="U270" s="18"/>
      <c r="V270" s="18"/>
      <c r="W270" s="18"/>
      <c r="X270" s="18"/>
      <c r="Y270" s="18"/>
      <c r="Z270" s="18"/>
      <c r="AA270" s="18"/>
      <c r="AB270" s="18"/>
    </row>
    <row r="271" spans="1:28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69"/>
      <c r="U271" s="18"/>
      <c r="V271" s="18"/>
      <c r="W271" s="18"/>
      <c r="X271" s="18"/>
      <c r="Y271" s="18"/>
      <c r="Z271" s="18"/>
      <c r="AA271" s="18"/>
      <c r="AB271" s="18"/>
    </row>
    <row r="272" spans="1:28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69"/>
      <c r="U272" s="18"/>
      <c r="V272" s="18"/>
      <c r="W272" s="18"/>
      <c r="X272" s="18"/>
      <c r="Y272" s="18"/>
      <c r="Z272" s="18"/>
      <c r="AA272" s="18"/>
      <c r="AB272" s="18"/>
    </row>
    <row r="273" spans="1:28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69"/>
      <c r="U273" s="18"/>
      <c r="V273" s="18"/>
      <c r="W273" s="18"/>
      <c r="X273" s="18"/>
      <c r="Y273" s="18"/>
      <c r="Z273" s="18"/>
      <c r="AA273" s="18"/>
      <c r="AB273" s="18"/>
    </row>
    <row r="274" spans="1:28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69"/>
      <c r="U274" s="18"/>
      <c r="V274" s="18"/>
      <c r="W274" s="18"/>
      <c r="X274" s="18"/>
      <c r="Y274" s="18"/>
      <c r="Z274" s="18"/>
      <c r="AA274" s="18"/>
      <c r="AB274" s="18"/>
    </row>
    <row r="275" spans="1:28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69"/>
      <c r="U275" s="18"/>
      <c r="V275" s="18"/>
      <c r="W275" s="18"/>
      <c r="X275" s="18"/>
      <c r="Y275" s="18"/>
      <c r="Z275" s="18"/>
      <c r="AA275" s="18"/>
      <c r="AB275" s="18"/>
    </row>
    <row r="276" spans="1:28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69"/>
      <c r="U276" s="18"/>
      <c r="V276" s="18"/>
      <c r="W276" s="18"/>
      <c r="X276" s="18"/>
      <c r="Y276" s="18"/>
      <c r="Z276" s="18"/>
      <c r="AA276" s="18"/>
      <c r="AB276" s="18"/>
    </row>
    <row r="277" spans="1:28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69"/>
      <c r="U277" s="18"/>
      <c r="V277" s="18"/>
      <c r="W277" s="18"/>
      <c r="X277" s="18"/>
      <c r="Y277" s="18"/>
      <c r="Z277" s="18"/>
      <c r="AA277" s="18"/>
      <c r="AB277" s="18"/>
    </row>
    <row r="278" spans="1:28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69"/>
      <c r="U278" s="18"/>
      <c r="V278" s="18"/>
      <c r="W278" s="18"/>
      <c r="X278" s="18"/>
      <c r="Y278" s="18"/>
      <c r="Z278" s="18"/>
      <c r="AA278" s="18"/>
      <c r="AB278" s="18"/>
    </row>
    <row r="279" spans="1:28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69"/>
      <c r="U279" s="18"/>
      <c r="V279" s="18"/>
      <c r="W279" s="18"/>
      <c r="X279" s="18"/>
      <c r="Y279" s="18"/>
      <c r="Z279" s="18"/>
      <c r="AA279" s="18"/>
      <c r="AB279" s="18"/>
    </row>
    <row r="280" spans="1:28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69"/>
      <c r="U280" s="18"/>
      <c r="V280" s="18"/>
      <c r="W280" s="18"/>
      <c r="X280" s="18"/>
      <c r="Y280" s="18"/>
      <c r="Z280" s="18"/>
      <c r="AA280" s="18"/>
      <c r="AB280" s="18"/>
    </row>
    <row r="281" spans="1:28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69"/>
      <c r="U281" s="18"/>
      <c r="V281" s="18"/>
      <c r="W281" s="18"/>
      <c r="X281" s="18"/>
      <c r="Y281" s="18"/>
      <c r="Z281" s="18"/>
      <c r="AA281" s="18"/>
      <c r="AB281" s="18"/>
    </row>
    <row r="282" spans="1:28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69"/>
      <c r="U282" s="18"/>
      <c r="V282" s="18"/>
      <c r="W282" s="18"/>
      <c r="X282" s="18"/>
      <c r="Y282" s="18"/>
      <c r="Z282" s="18"/>
      <c r="AA282" s="18"/>
      <c r="AB282" s="18"/>
    </row>
    <row r="283" spans="1:28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69"/>
      <c r="U283" s="18"/>
      <c r="V283" s="18"/>
      <c r="W283" s="18"/>
      <c r="X283" s="18"/>
      <c r="Y283" s="18"/>
      <c r="Z283" s="18"/>
      <c r="AA283" s="18"/>
      <c r="AB283" s="18"/>
    </row>
    <row r="284" spans="1:28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69"/>
      <c r="U284" s="18"/>
      <c r="V284" s="18"/>
      <c r="W284" s="18"/>
      <c r="X284" s="18"/>
      <c r="Y284" s="18"/>
      <c r="Z284" s="18"/>
      <c r="AA284" s="18"/>
      <c r="AB284" s="18"/>
    </row>
    <row r="285" spans="1:28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69"/>
      <c r="U285" s="18"/>
      <c r="V285" s="18"/>
      <c r="W285" s="18"/>
      <c r="X285" s="18"/>
      <c r="Y285" s="18"/>
      <c r="Z285" s="18"/>
      <c r="AA285" s="18"/>
      <c r="AB285" s="18"/>
    </row>
    <row r="286" spans="1:28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69"/>
      <c r="U286" s="18"/>
      <c r="V286" s="18"/>
      <c r="W286" s="18"/>
      <c r="X286" s="18"/>
      <c r="Y286" s="18"/>
      <c r="Z286" s="18"/>
      <c r="AA286" s="18"/>
      <c r="AB286" s="18"/>
    </row>
    <row r="287" spans="1:28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69"/>
      <c r="U287" s="18"/>
      <c r="V287" s="18"/>
      <c r="W287" s="18"/>
      <c r="X287" s="18"/>
      <c r="Y287" s="18"/>
      <c r="Z287" s="18"/>
      <c r="AA287" s="18"/>
      <c r="AB287" s="18"/>
    </row>
    <row r="288" spans="1:28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69"/>
      <c r="U288" s="18"/>
      <c r="V288" s="18"/>
      <c r="W288" s="18"/>
      <c r="X288" s="18"/>
      <c r="Y288" s="18"/>
      <c r="Z288" s="18"/>
      <c r="AA288" s="18"/>
      <c r="AB288" s="18"/>
    </row>
    <row r="289" spans="1:28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69"/>
      <c r="U289" s="18"/>
      <c r="V289" s="18"/>
      <c r="W289" s="18"/>
      <c r="X289" s="18"/>
      <c r="Y289" s="18"/>
      <c r="Z289" s="18"/>
      <c r="AA289" s="18"/>
      <c r="AB289" s="18"/>
    </row>
    <row r="290" spans="1:28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69"/>
      <c r="U290" s="18"/>
      <c r="V290" s="18"/>
      <c r="W290" s="18"/>
      <c r="X290" s="18"/>
      <c r="Y290" s="18"/>
      <c r="Z290" s="18"/>
      <c r="AA290" s="18"/>
      <c r="AB290" s="18"/>
    </row>
    <row r="291" spans="1:28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69"/>
      <c r="U291" s="18"/>
      <c r="V291" s="18"/>
      <c r="W291" s="18"/>
      <c r="X291" s="18"/>
      <c r="Y291" s="18"/>
      <c r="Z291" s="18"/>
      <c r="AA291" s="18"/>
      <c r="AB291" s="18"/>
    </row>
    <row r="292" spans="1:28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69"/>
      <c r="U292" s="18"/>
      <c r="V292" s="18"/>
      <c r="W292" s="18"/>
      <c r="X292" s="18"/>
      <c r="Y292" s="18"/>
      <c r="Z292" s="18"/>
      <c r="AA292" s="18"/>
      <c r="AB292" s="18"/>
    </row>
    <row r="293" spans="1:28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69"/>
      <c r="U293" s="18"/>
      <c r="V293" s="18"/>
      <c r="W293" s="18"/>
      <c r="X293" s="18"/>
      <c r="Y293" s="18"/>
      <c r="Z293" s="18"/>
      <c r="AA293" s="18"/>
      <c r="AB293" s="18"/>
    </row>
    <row r="294" spans="1:28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69"/>
      <c r="U294" s="18"/>
      <c r="V294" s="18"/>
      <c r="W294" s="18"/>
      <c r="X294" s="18"/>
      <c r="Y294" s="18"/>
      <c r="Z294" s="18"/>
      <c r="AA294" s="18"/>
      <c r="AB294" s="18"/>
    </row>
    <row r="295" spans="1:28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69"/>
      <c r="U295" s="18"/>
      <c r="V295" s="18"/>
      <c r="W295" s="18"/>
      <c r="X295" s="18"/>
      <c r="Y295" s="18"/>
      <c r="Z295" s="18"/>
      <c r="AA295" s="18"/>
      <c r="AB295" s="18"/>
    </row>
    <row r="296" spans="1:28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69"/>
      <c r="U296" s="18"/>
      <c r="V296" s="18"/>
      <c r="W296" s="18"/>
      <c r="X296" s="18"/>
      <c r="Y296" s="18"/>
      <c r="Z296" s="18"/>
      <c r="AA296" s="18"/>
      <c r="AB296" s="18"/>
    </row>
    <row r="297" spans="1:28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69"/>
      <c r="U297" s="18"/>
      <c r="V297" s="18"/>
      <c r="W297" s="18"/>
      <c r="X297" s="18"/>
      <c r="Y297" s="18"/>
      <c r="Z297" s="18"/>
      <c r="AA297" s="18"/>
      <c r="AB297" s="18"/>
    </row>
    <row r="298" spans="1:28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69"/>
      <c r="U298" s="18"/>
      <c r="V298" s="18"/>
      <c r="W298" s="18"/>
      <c r="X298" s="18"/>
      <c r="Y298" s="18"/>
      <c r="Z298" s="18"/>
      <c r="AA298" s="18"/>
      <c r="AB298" s="18"/>
    </row>
    <row r="299" spans="1:28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69"/>
      <c r="U299" s="18"/>
      <c r="V299" s="18"/>
      <c r="W299" s="18"/>
      <c r="X299" s="18"/>
      <c r="Y299" s="18"/>
      <c r="Z299" s="18"/>
      <c r="AA299" s="18"/>
      <c r="AB299" s="18"/>
    </row>
    <row r="300" spans="1:28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69"/>
      <c r="U300" s="18"/>
      <c r="V300" s="18"/>
      <c r="W300" s="18"/>
      <c r="X300" s="18"/>
      <c r="Y300" s="18"/>
      <c r="Z300" s="18"/>
      <c r="AA300" s="18"/>
      <c r="AB300" s="18"/>
    </row>
    <row r="301" spans="1:28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69"/>
      <c r="U301" s="18"/>
      <c r="V301" s="18"/>
      <c r="W301" s="18"/>
      <c r="X301" s="18"/>
      <c r="Y301" s="18"/>
      <c r="Z301" s="18"/>
      <c r="AA301" s="18"/>
      <c r="AB301" s="18"/>
    </row>
    <row r="302" spans="1:28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69"/>
      <c r="U302" s="18"/>
      <c r="V302" s="18"/>
      <c r="W302" s="18"/>
      <c r="X302" s="18"/>
      <c r="Y302" s="18"/>
      <c r="Z302" s="18"/>
      <c r="AA302" s="18"/>
      <c r="AB302" s="18"/>
    </row>
    <row r="303" spans="1:28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69"/>
      <c r="U303" s="18"/>
      <c r="V303" s="18"/>
      <c r="W303" s="18"/>
      <c r="X303" s="18"/>
      <c r="Y303" s="18"/>
      <c r="Z303" s="18"/>
      <c r="AA303" s="18"/>
      <c r="AB303" s="18"/>
    </row>
    <row r="304" spans="1:28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69"/>
      <c r="U304" s="18"/>
      <c r="V304" s="18"/>
      <c r="W304" s="18"/>
      <c r="X304" s="18"/>
      <c r="Y304" s="18"/>
      <c r="Z304" s="18"/>
      <c r="AA304" s="18"/>
      <c r="AB304" s="18"/>
    </row>
    <row r="305" spans="1:28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69"/>
      <c r="U305" s="18"/>
      <c r="V305" s="18"/>
      <c r="W305" s="18"/>
      <c r="X305" s="18"/>
      <c r="Y305" s="18"/>
      <c r="Z305" s="18"/>
      <c r="AA305" s="18"/>
      <c r="AB305" s="18"/>
    </row>
    <row r="306" spans="1:28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69"/>
      <c r="U306" s="18"/>
      <c r="V306" s="18"/>
      <c r="W306" s="18"/>
      <c r="X306" s="18"/>
      <c r="Y306" s="18"/>
      <c r="Z306" s="18"/>
      <c r="AA306" s="18"/>
      <c r="AB306" s="18"/>
    </row>
    <row r="307" spans="1:28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69"/>
      <c r="U307" s="18"/>
      <c r="V307" s="18"/>
      <c r="W307" s="18"/>
      <c r="X307" s="18"/>
      <c r="Y307" s="18"/>
      <c r="Z307" s="18"/>
      <c r="AA307" s="18"/>
      <c r="AB307" s="18"/>
    </row>
    <row r="308" spans="1:28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69"/>
      <c r="U308" s="18"/>
      <c r="V308" s="18"/>
      <c r="W308" s="18"/>
      <c r="X308" s="18"/>
      <c r="Y308" s="18"/>
      <c r="Z308" s="18"/>
      <c r="AA308" s="18"/>
      <c r="AB308" s="18"/>
    </row>
    <row r="309" spans="1:28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69"/>
      <c r="U309" s="18"/>
      <c r="V309" s="18"/>
      <c r="W309" s="18"/>
      <c r="X309" s="18"/>
      <c r="Y309" s="18"/>
      <c r="Z309" s="18"/>
      <c r="AA309" s="18"/>
      <c r="AB309" s="18"/>
    </row>
    <row r="310" spans="1:28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69"/>
      <c r="U310" s="18"/>
      <c r="V310" s="18"/>
      <c r="W310" s="18"/>
      <c r="X310" s="18"/>
      <c r="Y310" s="18"/>
      <c r="Z310" s="18"/>
      <c r="AA310" s="18"/>
      <c r="AB310" s="18"/>
    </row>
    <row r="311" spans="1:28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69"/>
      <c r="U311" s="18"/>
      <c r="V311" s="18"/>
      <c r="W311" s="18"/>
      <c r="X311" s="18"/>
      <c r="Y311" s="18"/>
      <c r="Z311" s="18"/>
      <c r="AA311" s="18"/>
      <c r="AB311" s="18"/>
    </row>
    <row r="312" spans="1:28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69"/>
      <c r="U312" s="18"/>
      <c r="V312" s="18"/>
      <c r="W312" s="18"/>
      <c r="X312" s="18"/>
      <c r="Y312" s="18"/>
      <c r="Z312" s="18"/>
      <c r="AA312" s="18"/>
      <c r="AB312" s="18"/>
    </row>
    <row r="313" spans="1:28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69"/>
      <c r="U313" s="18"/>
      <c r="V313" s="18"/>
      <c r="W313" s="18"/>
      <c r="X313" s="18"/>
      <c r="Y313" s="18"/>
      <c r="Z313" s="18"/>
      <c r="AA313" s="18"/>
      <c r="AB313" s="18"/>
    </row>
    <row r="314" spans="1:28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69"/>
      <c r="U314" s="18"/>
      <c r="V314" s="18"/>
      <c r="W314" s="18"/>
      <c r="X314" s="18"/>
      <c r="Y314" s="18"/>
      <c r="Z314" s="18"/>
      <c r="AA314" s="18"/>
      <c r="AB314" s="18"/>
    </row>
    <row r="315" spans="1:28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69"/>
      <c r="U315" s="18"/>
      <c r="V315" s="18"/>
      <c r="W315" s="18"/>
      <c r="X315" s="18"/>
      <c r="Y315" s="18"/>
      <c r="Z315" s="18"/>
      <c r="AA315" s="18"/>
      <c r="AB315" s="18"/>
    </row>
    <row r="316" spans="1:28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69"/>
      <c r="U316" s="18"/>
      <c r="V316" s="18"/>
      <c r="W316" s="18"/>
      <c r="X316" s="18"/>
      <c r="Y316" s="18"/>
      <c r="Z316" s="18"/>
      <c r="AA316" s="18"/>
      <c r="AB316" s="18"/>
    </row>
    <row r="317" spans="1:28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69"/>
      <c r="U317" s="18"/>
      <c r="V317" s="18"/>
      <c r="W317" s="18"/>
      <c r="X317" s="18"/>
      <c r="Y317" s="18"/>
      <c r="Z317" s="18"/>
      <c r="AA317" s="18"/>
      <c r="AB317" s="18"/>
    </row>
    <row r="318" spans="1:28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69"/>
      <c r="U318" s="18"/>
      <c r="V318" s="18"/>
      <c r="W318" s="18"/>
      <c r="X318" s="18"/>
      <c r="Y318" s="18"/>
      <c r="Z318" s="18"/>
      <c r="AA318" s="18"/>
      <c r="AB318" s="18"/>
    </row>
    <row r="319" spans="1:28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69"/>
      <c r="U319" s="18"/>
      <c r="V319" s="18"/>
      <c r="W319" s="18"/>
      <c r="X319" s="18"/>
      <c r="Y319" s="18"/>
      <c r="Z319" s="18"/>
      <c r="AA319" s="18"/>
      <c r="AB319" s="18"/>
    </row>
    <row r="320" spans="1:28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69"/>
      <c r="U320" s="18"/>
      <c r="V320" s="18"/>
      <c r="W320" s="18"/>
      <c r="X320" s="18"/>
      <c r="Y320" s="18"/>
      <c r="Z320" s="18"/>
      <c r="AA320" s="18"/>
      <c r="AB320" s="18"/>
    </row>
    <row r="321" spans="1:28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69"/>
      <c r="U321" s="18"/>
      <c r="V321" s="18"/>
      <c r="W321" s="18"/>
      <c r="X321" s="18"/>
      <c r="Y321" s="18"/>
      <c r="Z321" s="18"/>
      <c r="AA321" s="18"/>
      <c r="AB321" s="18"/>
    </row>
    <row r="322" spans="1:28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69"/>
      <c r="U322" s="18"/>
      <c r="V322" s="18"/>
      <c r="W322" s="18"/>
      <c r="X322" s="18"/>
      <c r="Y322" s="18"/>
      <c r="Z322" s="18"/>
      <c r="AA322" s="18"/>
      <c r="AB322" s="18"/>
    </row>
    <row r="323" spans="1:28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69"/>
      <c r="U323" s="18"/>
      <c r="V323" s="18"/>
      <c r="W323" s="18"/>
      <c r="X323" s="18"/>
      <c r="Y323" s="18"/>
      <c r="Z323" s="18"/>
      <c r="AA323" s="18"/>
      <c r="AB323" s="18"/>
    </row>
    <row r="324" spans="1:28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69"/>
      <c r="U324" s="18"/>
      <c r="V324" s="18"/>
      <c r="W324" s="18"/>
      <c r="X324" s="18"/>
      <c r="Y324" s="18"/>
      <c r="Z324" s="18"/>
      <c r="AA324" s="18"/>
      <c r="AB324" s="18"/>
    </row>
    <row r="325" spans="1:28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69"/>
      <c r="U325" s="18"/>
      <c r="V325" s="18"/>
      <c r="W325" s="18"/>
      <c r="X325" s="18"/>
      <c r="Y325" s="18"/>
      <c r="Z325" s="18"/>
      <c r="AA325" s="18"/>
      <c r="AB325" s="18"/>
    </row>
    <row r="326" spans="1:28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69"/>
      <c r="U326" s="18"/>
      <c r="V326" s="18"/>
      <c r="W326" s="18"/>
      <c r="X326" s="18"/>
      <c r="Y326" s="18"/>
      <c r="Z326" s="18"/>
      <c r="AA326" s="18"/>
      <c r="AB326" s="18"/>
    </row>
    <row r="327" spans="1:28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69"/>
      <c r="U327" s="18"/>
      <c r="V327" s="18"/>
      <c r="W327" s="18"/>
      <c r="X327" s="18"/>
      <c r="Y327" s="18"/>
      <c r="Z327" s="18"/>
      <c r="AA327" s="18"/>
      <c r="AB327" s="18"/>
    </row>
    <row r="328" spans="1:28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69"/>
      <c r="U328" s="18"/>
      <c r="V328" s="18"/>
      <c r="W328" s="18"/>
      <c r="X328" s="18"/>
      <c r="Y328" s="18"/>
      <c r="Z328" s="18"/>
      <c r="AA328" s="18"/>
      <c r="AB328" s="18"/>
    </row>
    <row r="329" spans="1:28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69"/>
      <c r="U329" s="18"/>
      <c r="V329" s="18"/>
      <c r="W329" s="18"/>
      <c r="X329" s="18"/>
      <c r="Y329" s="18"/>
      <c r="Z329" s="18"/>
      <c r="AA329" s="18"/>
      <c r="AB329" s="18"/>
    </row>
    <row r="330" spans="1:28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69"/>
      <c r="U330" s="18"/>
      <c r="V330" s="18"/>
      <c r="W330" s="18"/>
      <c r="X330" s="18"/>
      <c r="Y330" s="18"/>
      <c r="Z330" s="18"/>
      <c r="AA330" s="18"/>
      <c r="AB330" s="18"/>
    </row>
    <row r="331" spans="1:28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69"/>
      <c r="U331" s="18"/>
      <c r="V331" s="18"/>
      <c r="W331" s="18"/>
      <c r="X331" s="18"/>
      <c r="Y331" s="18"/>
      <c r="Z331" s="18"/>
      <c r="AA331" s="18"/>
      <c r="AB331" s="18"/>
    </row>
    <row r="332" spans="1:28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69"/>
      <c r="U332" s="18"/>
      <c r="V332" s="18"/>
      <c r="W332" s="18"/>
      <c r="X332" s="18"/>
      <c r="Y332" s="18"/>
      <c r="Z332" s="18"/>
      <c r="AA332" s="18"/>
      <c r="AB332" s="18"/>
    </row>
    <row r="333" spans="1:28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69"/>
      <c r="U333" s="18"/>
      <c r="V333" s="18"/>
      <c r="W333" s="18"/>
      <c r="X333" s="18"/>
      <c r="Y333" s="18"/>
      <c r="Z333" s="18"/>
      <c r="AA333" s="18"/>
      <c r="AB333" s="18"/>
    </row>
    <row r="334" spans="1:28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69"/>
      <c r="U334" s="18"/>
      <c r="V334" s="18"/>
      <c r="W334" s="18"/>
      <c r="X334" s="18"/>
      <c r="Y334" s="18"/>
      <c r="Z334" s="18"/>
      <c r="AA334" s="18"/>
      <c r="AB334" s="18"/>
    </row>
    <row r="335" spans="1:28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69"/>
      <c r="U335" s="18"/>
      <c r="V335" s="18"/>
      <c r="W335" s="18"/>
      <c r="X335" s="18"/>
      <c r="Y335" s="18"/>
      <c r="Z335" s="18"/>
      <c r="AA335" s="18"/>
      <c r="AB335" s="18"/>
    </row>
    <row r="336" spans="1:28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69"/>
      <c r="U336" s="18"/>
      <c r="V336" s="18"/>
      <c r="W336" s="18"/>
      <c r="X336" s="18"/>
      <c r="Y336" s="18"/>
      <c r="Z336" s="18"/>
      <c r="AA336" s="18"/>
      <c r="AB336" s="18"/>
    </row>
    <row r="337" spans="1:28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69"/>
      <c r="U337" s="18"/>
      <c r="V337" s="18"/>
      <c r="W337" s="18"/>
      <c r="X337" s="18"/>
      <c r="Y337" s="18"/>
      <c r="Z337" s="18"/>
      <c r="AA337" s="18"/>
      <c r="AB337" s="18"/>
    </row>
    <row r="338" spans="1:28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69"/>
      <c r="U338" s="18"/>
      <c r="V338" s="18"/>
      <c r="W338" s="18"/>
      <c r="X338" s="18"/>
      <c r="Y338" s="18"/>
      <c r="Z338" s="18"/>
      <c r="AA338" s="18"/>
      <c r="AB338" s="18"/>
    </row>
    <row r="339" spans="1:28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69"/>
      <c r="U339" s="18"/>
      <c r="V339" s="18"/>
      <c r="W339" s="18"/>
      <c r="X339" s="18"/>
      <c r="Y339" s="18"/>
      <c r="Z339" s="18"/>
      <c r="AA339" s="18"/>
      <c r="AB339" s="18"/>
    </row>
    <row r="340" spans="1:28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69"/>
      <c r="U340" s="18"/>
      <c r="V340" s="18"/>
      <c r="W340" s="18"/>
      <c r="X340" s="18"/>
      <c r="Y340" s="18"/>
      <c r="Z340" s="18"/>
      <c r="AA340" s="18"/>
      <c r="AB340" s="18"/>
    </row>
    <row r="341" spans="1:28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69"/>
      <c r="U341" s="18"/>
      <c r="V341" s="18"/>
      <c r="W341" s="18"/>
      <c r="X341" s="18"/>
      <c r="Y341" s="18"/>
      <c r="Z341" s="18"/>
      <c r="AA341" s="18"/>
      <c r="AB341" s="18"/>
    </row>
    <row r="342" spans="1:28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69"/>
      <c r="U342" s="18"/>
      <c r="V342" s="18"/>
      <c r="W342" s="18"/>
      <c r="X342" s="18"/>
      <c r="Y342" s="18"/>
      <c r="Z342" s="18"/>
      <c r="AA342" s="18"/>
      <c r="AB342" s="18"/>
    </row>
    <row r="343" spans="1:28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69"/>
      <c r="U343" s="18"/>
      <c r="V343" s="18"/>
      <c r="W343" s="18"/>
      <c r="X343" s="18"/>
      <c r="Y343" s="18"/>
      <c r="Z343" s="18"/>
      <c r="AA343" s="18"/>
      <c r="AB343" s="18"/>
    </row>
    <row r="344" spans="1:28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69"/>
      <c r="U344" s="18"/>
      <c r="V344" s="18"/>
      <c r="W344" s="18"/>
      <c r="X344" s="18"/>
      <c r="Y344" s="18"/>
      <c r="Z344" s="18"/>
      <c r="AA344" s="18"/>
      <c r="AB344" s="18"/>
    </row>
    <row r="345" spans="1:28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69"/>
      <c r="U345" s="18"/>
      <c r="V345" s="18"/>
      <c r="W345" s="18"/>
      <c r="X345" s="18"/>
      <c r="Y345" s="18"/>
      <c r="Z345" s="18"/>
      <c r="AA345" s="18"/>
      <c r="AB345" s="18"/>
    </row>
    <row r="346" spans="1:28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69"/>
      <c r="U346" s="18"/>
      <c r="V346" s="18"/>
      <c r="W346" s="18"/>
      <c r="X346" s="18"/>
      <c r="Y346" s="18"/>
      <c r="Z346" s="18"/>
      <c r="AA346" s="18"/>
      <c r="AB346" s="18"/>
    </row>
    <row r="347" spans="1:28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69"/>
      <c r="U347" s="18"/>
      <c r="V347" s="18"/>
      <c r="W347" s="18"/>
      <c r="X347" s="18"/>
      <c r="Y347" s="18"/>
      <c r="Z347" s="18"/>
      <c r="AA347" s="18"/>
      <c r="AB347" s="18"/>
    </row>
    <row r="348" spans="1:28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69"/>
      <c r="U348" s="18"/>
      <c r="V348" s="18"/>
      <c r="W348" s="18"/>
      <c r="X348" s="18"/>
      <c r="Y348" s="18"/>
      <c r="Z348" s="18"/>
      <c r="AA348" s="18"/>
      <c r="AB348" s="18"/>
    </row>
    <row r="349" spans="1:28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69"/>
      <c r="U349" s="18"/>
      <c r="V349" s="18"/>
      <c r="W349" s="18"/>
      <c r="X349" s="18"/>
      <c r="Y349" s="18"/>
      <c r="Z349" s="18"/>
      <c r="AA349" s="18"/>
      <c r="AB349" s="18"/>
    </row>
    <row r="350" spans="1:28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69"/>
      <c r="U350" s="18"/>
      <c r="V350" s="18"/>
      <c r="W350" s="18"/>
      <c r="X350" s="18"/>
      <c r="Y350" s="18"/>
      <c r="Z350" s="18"/>
      <c r="AA350" s="18"/>
      <c r="AB350" s="18"/>
    </row>
    <row r="351" spans="1:28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69"/>
      <c r="U351" s="18"/>
      <c r="V351" s="18"/>
      <c r="W351" s="18"/>
      <c r="X351" s="18"/>
      <c r="Y351" s="18"/>
      <c r="Z351" s="18"/>
      <c r="AA351" s="18"/>
      <c r="AB351" s="18"/>
    </row>
    <row r="352" spans="1:28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69"/>
      <c r="U352" s="18"/>
      <c r="V352" s="18"/>
      <c r="W352" s="18"/>
      <c r="X352" s="18"/>
      <c r="Y352" s="18"/>
      <c r="Z352" s="18"/>
      <c r="AA352" s="18"/>
      <c r="AB352" s="18"/>
    </row>
    <row r="353" spans="1:28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69"/>
      <c r="U353" s="18"/>
      <c r="V353" s="18"/>
      <c r="W353" s="18"/>
      <c r="X353" s="18"/>
      <c r="Y353" s="18"/>
      <c r="Z353" s="18"/>
      <c r="AA353" s="18"/>
      <c r="AB353" s="18"/>
    </row>
    <row r="354" spans="1:28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69"/>
      <c r="U354" s="18"/>
      <c r="V354" s="18"/>
      <c r="W354" s="18"/>
      <c r="X354" s="18"/>
      <c r="Y354" s="18"/>
      <c r="Z354" s="18"/>
      <c r="AA354" s="18"/>
      <c r="AB354" s="18"/>
    </row>
    <row r="355" spans="1:28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69"/>
      <c r="U355" s="18"/>
      <c r="V355" s="18"/>
      <c r="W355" s="18"/>
      <c r="X355" s="18"/>
      <c r="Y355" s="18"/>
      <c r="Z355" s="18"/>
      <c r="AA355" s="18"/>
      <c r="AB355" s="18"/>
    </row>
    <row r="356" spans="1:28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69"/>
      <c r="U356" s="18"/>
      <c r="V356" s="18"/>
      <c r="W356" s="18"/>
      <c r="X356" s="18"/>
      <c r="Y356" s="18"/>
      <c r="Z356" s="18"/>
      <c r="AA356" s="18"/>
      <c r="AB356" s="18"/>
    </row>
    <row r="357" spans="1:28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69"/>
      <c r="U357" s="18"/>
      <c r="V357" s="18"/>
      <c r="W357" s="18"/>
      <c r="X357" s="18"/>
      <c r="Y357" s="18"/>
      <c r="Z357" s="18"/>
      <c r="AA357" s="18"/>
      <c r="AB357" s="18"/>
    </row>
    <row r="358" spans="1:28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69"/>
      <c r="U358" s="18"/>
      <c r="V358" s="18"/>
      <c r="W358" s="18"/>
      <c r="X358" s="18"/>
      <c r="Y358" s="18"/>
      <c r="Z358" s="18"/>
      <c r="AA358" s="18"/>
      <c r="AB358" s="18"/>
    </row>
    <row r="359" spans="1:28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69"/>
      <c r="U359" s="18"/>
      <c r="V359" s="18"/>
      <c r="W359" s="18"/>
      <c r="X359" s="18"/>
      <c r="Y359" s="18"/>
      <c r="Z359" s="18"/>
      <c r="AA359" s="18"/>
      <c r="AB359" s="18"/>
    </row>
    <row r="360" spans="1:28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69"/>
      <c r="U360" s="18"/>
      <c r="V360" s="18"/>
      <c r="W360" s="18"/>
      <c r="X360" s="18"/>
      <c r="Y360" s="18"/>
      <c r="Z360" s="18"/>
      <c r="AA360" s="18"/>
      <c r="AB360" s="18"/>
    </row>
    <row r="361" spans="1:28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69"/>
      <c r="U361" s="18"/>
      <c r="V361" s="18"/>
      <c r="W361" s="18"/>
      <c r="X361" s="18"/>
      <c r="Y361" s="18"/>
      <c r="Z361" s="18"/>
      <c r="AA361" s="18"/>
      <c r="AB361" s="18"/>
    </row>
    <row r="362" spans="1:28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69"/>
      <c r="U362" s="18"/>
      <c r="V362" s="18"/>
      <c r="W362" s="18"/>
      <c r="X362" s="18"/>
      <c r="Y362" s="18"/>
      <c r="Z362" s="18"/>
      <c r="AA362" s="18"/>
      <c r="AB362" s="18"/>
    </row>
    <row r="363" spans="1:28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69"/>
      <c r="U363" s="18"/>
      <c r="V363" s="18"/>
      <c r="W363" s="18"/>
      <c r="X363" s="18"/>
      <c r="Y363" s="18"/>
      <c r="Z363" s="18"/>
      <c r="AA363" s="18"/>
      <c r="AB363" s="18"/>
    </row>
    <row r="364" spans="1:28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69"/>
      <c r="U364" s="18"/>
      <c r="V364" s="18"/>
      <c r="W364" s="18"/>
      <c r="X364" s="18"/>
      <c r="Y364" s="18"/>
      <c r="Z364" s="18"/>
      <c r="AA364" s="18"/>
      <c r="AB364" s="18"/>
    </row>
    <row r="365" spans="1:28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69"/>
      <c r="U365" s="18"/>
      <c r="V365" s="18"/>
      <c r="W365" s="18"/>
      <c r="X365" s="18"/>
      <c r="Y365" s="18"/>
      <c r="Z365" s="18"/>
      <c r="AA365" s="18"/>
      <c r="AB365" s="18"/>
    </row>
    <row r="366" spans="1:28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69"/>
      <c r="U366" s="18"/>
      <c r="V366" s="18"/>
      <c r="W366" s="18"/>
      <c r="X366" s="18"/>
      <c r="Y366" s="18"/>
      <c r="Z366" s="18"/>
      <c r="AA366" s="18"/>
      <c r="AB366" s="18"/>
    </row>
    <row r="367" spans="1:28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69"/>
      <c r="U367" s="18"/>
      <c r="V367" s="18"/>
      <c r="W367" s="18"/>
      <c r="X367" s="18"/>
      <c r="Y367" s="18"/>
      <c r="Z367" s="18"/>
      <c r="AA367" s="18"/>
      <c r="AB367" s="18"/>
    </row>
    <row r="368" spans="1:28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69"/>
      <c r="U368" s="18"/>
      <c r="V368" s="18"/>
      <c r="W368" s="18"/>
      <c r="X368" s="18"/>
      <c r="Y368" s="18"/>
      <c r="Z368" s="18"/>
      <c r="AA368" s="18"/>
      <c r="AB368" s="18"/>
    </row>
    <row r="369" spans="1:28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69"/>
      <c r="U369" s="18"/>
      <c r="V369" s="18"/>
      <c r="W369" s="18"/>
      <c r="X369" s="18"/>
      <c r="Y369" s="18"/>
      <c r="Z369" s="18"/>
      <c r="AA369" s="18"/>
      <c r="AB369" s="18"/>
    </row>
    <row r="370" spans="1:28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69"/>
      <c r="U370" s="18"/>
      <c r="V370" s="18"/>
      <c r="W370" s="18"/>
      <c r="X370" s="18"/>
      <c r="Y370" s="18"/>
      <c r="Z370" s="18"/>
      <c r="AA370" s="18"/>
      <c r="AB370" s="18"/>
    </row>
    <row r="371" spans="1:28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69"/>
      <c r="U371" s="18"/>
      <c r="V371" s="18"/>
      <c r="W371" s="18"/>
      <c r="X371" s="18"/>
      <c r="Y371" s="18"/>
      <c r="Z371" s="18"/>
      <c r="AA371" s="18"/>
      <c r="AB371" s="18"/>
    </row>
    <row r="372" spans="1:28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69"/>
      <c r="U372" s="18"/>
      <c r="V372" s="18"/>
      <c r="W372" s="18"/>
      <c r="X372" s="18"/>
      <c r="Y372" s="18"/>
      <c r="Z372" s="18"/>
      <c r="AA372" s="18"/>
      <c r="AB372" s="18"/>
    </row>
    <row r="373" spans="1:28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69"/>
      <c r="U373" s="18"/>
      <c r="V373" s="18"/>
      <c r="W373" s="18"/>
      <c r="X373" s="18"/>
      <c r="Y373" s="18"/>
      <c r="Z373" s="18"/>
      <c r="AA373" s="18"/>
      <c r="AB373" s="18"/>
    </row>
    <row r="374" spans="1:28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69"/>
      <c r="U374" s="18"/>
      <c r="V374" s="18"/>
      <c r="W374" s="18"/>
      <c r="X374" s="18"/>
      <c r="Y374" s="18"/>
      <c r="Z374" s="18"/>
      <c r="AA374" s="18"/>
      <c r="AB374" s="18"/>
    </row>
    <row r="375" spans="1:28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69"/>
      <c r="U375" s="18"/>
      <c r="V375" s="18"/>
      <c r="W375" s="18"/>
      <c r="X375" s="18"/>
      <c r="Y375" s="18"/>
      <c r="Z375" s="18"/>
      <c r="AA375" s="18"/>
      <c r="AB375" s="18"/>
    </row>
    <row r="376" spans="1:28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69"/>
      <c r="U376" s="18"/>
      <c r="V376" s="18"/>
      <c r="W376" s="18"/>
      <c r="X376" s="18"/>
      <c r="Y376" s="18"/>
      <c r="Z376" s="18"/>
      <c r="AA376" s="18"/>
      <c r="AB376" s="18"/>
    </row>
    <row r="377" spans="1:28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69"/>
      <c r="U377" s="18"/>
      <c r="V377" s="18"/>
      <c r="W377" s="18"/>
      <c r="X377" s="18"/>
      <c r="Y377" s="18"/>
      <c r="Z377" s="18"/>
      <c r="AA377" s="18"/>
      <c r="AB377" s="18"/>
    </row>
    <row r="378" spans="1:28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69"/>
      <c r="U378" s="18"/>
      <c r="V378" s="18"/>
      <c r="W378" s="18"/>
      <c r="X378" s="18"/>
      <c r="Y378" s="18"/>
      <c r="Z378" s="18"/>
      <c r="AA378" s="18"/>
      <c r="AB378" s="18"/>
    </row>
    <row r="379" spans="1:28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69"/>
      <c r="U379" s="18"/>
      <c r="V379" s="18"/>
      <c r="W379" s="18"/>
      <c r="X379" s="18"/>
      <c r="Y379" s="18"/>
      <c r="Z379" s="18"/>
      <c r="AA379" s="18"/>
      <c r="AB379" s="18"/>
    </row>
    <row r="380" spans="1:28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69"/>
      <c r="U380" s="18"/>
      <c r="V380" s="18"/>
      <c r="W380" s="18"/>
      <c r="X380" s="18"/>
      <c r="Y380" s="18"/>
      <c r="Z380" s="18"/>
      <c r="AA380" s="18"/>
      <c r="AB380" s="18"/>
    </row>
    <row r="381" spans="1:28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69"/>
      <c r="U381" s="18"/>
      <c r="V381" s="18"/>
      <c r="W381" s="18"/>
      <c r="X381" s="18"/>
      <c r="Y381" s="18"/>
      <c r="Z381" s="18"/>
      <c r="AA381" s="18"/>
      <c r="AB381" s="18"/>
    </row>
    <row r="382" spans="1:28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69"/>
      <c r="U382" s="18"/>
      <c r="V382" s="18"/>
      <c r="W382" s="18"/>
      <c r="X382" s="18"/>
      <c r="Y382" s="18"/>
      <c r="Z382" s="18"/>
      <c r="AA382" s="18"/>
      <c r="AB382" s="18"/>
    </row>
    <row r="383" spans="1:28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69"/>
      <c r="U383" s="18"/>
      <c r="V383" s="18"/>
      <c r="W383" s="18"/>
      <c r="X383" s="18"/>
      <c r="Y383" s="18"/>
      <c r="Z383" s="18"/>
      <c r="AA383" s="18"/>
      <c r="AB383" s="18"/>
    </row>
    <row r="384" spans="1:28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69"/>
      <c r="U384" s="18"/>
      <c r="V384" s="18"/>
      <c r="W384" s="18"/>
      <c r="X384" s="18"/>
      <c r="Y384" s="18"/>
      <c r="Z384" s="18"/>
      <c r="AA384" s="18"/>
      <c r="AB384" s="18"/>
    </row>
    <row r="385" spans="1:28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69"/>
      <c r="U385" s="18"/>
      <c r="V385" s="18"/>
      <c r="W385" s="18"/>
      <c r="X385" s="18"/>
      <c r="Y385" s="18"/>
      <c r="Z385" s="18"/>
      <c r="AA385" s="18"/>
      <c r="AB385" s="18"/>
    </row>
    <row r="386" spans="1:28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69"/>
      <c r="U386" s="18"/>
      <c r="V386" s="18"/>
      <c r="W386" s="18"/>
      <c r="X386" s="18"/>
      <c r="Y386" s="18"/>
      <c r="Z386" s="18"/>
      <c r="AA386" s="18"/>
      <c r="AB386" s="18"/>
    </row>
    <row r="387" spans="1:28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69"/>
      <c r="U387" s="18"/>
      <c r="V387" s="18"/>
      <c r="W387" s="18"/>
      <c r="X387" s="18"/>
      <c r="Y387" s="18"/>
      <c r="Z387" s="18"/>
      <c r="AA387" s="18"/>
      <c r="AB387" s="18"/>
    </row>
    <row r="388" spans="1:28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69"/>
      <c r="U388" s="18"/>
      <c r="V388" s="18"/>
      <c r="W388" s="18"/>
      <c r="X388" s="18"/>
      <c r="Y388" s="18"/>
      <c r="Z388" s="18"/>
      <c r="AA388" s="18"/>
      <c r="AB388" s="18"/>
    </row>
    <row r="389" spans="1:28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69"/>
      <c r="U389" s="18"/>
      <c r="V389" s="18"/>
      <c r="W389" s="18"/>
      <c r="X389" s="18"/>
      <c r="Y389" s="18"/>
      <c r="Z389" s="18"/>
      <c r="AA389" s="18"/>
      <c r="AB389" s="18"/>
    </row>
    <row r="390" spans="1:28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69"/>
      <c r="U390" s="18"/>
      <c r="V390" s="18"/>
      <c r="W390" s="18"/>
      <c r="X390" s="18"/>
      <c r="Y390" s="18"/>
      <c r="Z390" s="18"/>
      <c r="AA390" s="18"/>
      <c r="AB390" s="18"/>
    </row>
    <row r="391" spans="1:28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69"/>
      <c r="U391" s="18"/>
      <c r="V391" s="18"/>
      <c r="W391" s="18"/>
      <c r="X391" s="18"/>
      <c r="Y391" s="18"/>
      <c r="Z391" s="18"/>
      <c r="AA391" s="18"/>
      <c r="AB391" s="18"/>
    </row>
    <row r="392" spans="1:28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69"/>
      <c r="U392" s="18"/>
      <c r="V392" s="18"/>
      <c r="W392" s="18"/>
      <c r="X392" s="18"/>
      <c r="Y392" s="18"/>
      <c r="Z392" s="18"/>
      <c r="AA392" s="18"/>
      <c r="AB392" s="18"/>
    </row>
    <row r="393" spans="1:28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69"/>
      <c r="U393" s="18"/>
      <c r="V393" s="18"/>
      <c r="W393" s="18"/>
      <c r="X393" s="18"/>
      <c r="Y393" s="18"/>
      <c r="Z393" s="18"/>
      <c r="AA393" s="18"/>
      <c r="AB393" s="18"/>
    </row>
    <row r="394" spans="1:28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69"/>
      <c r="U394" s="18"/>
      <c r="V394" s="18"/>
      <c r="W394" s="18"/>
      <c r="X394" s="18"/>
      <c r="Y394" s="18"/>
      <c r="Z394" s="18"/>
      <c r="AA394" s="18"/>
      <c r="AB394" s="18"/>
    </row>
    <row r="395" spans="1:28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69"/>
      <c r="U395" s="18"/>
      <c r="V395" s="18"/>
      <c r="W395" s="18"/>
      <c r="X395" s="18"/>
      <c r="Y395" s="18"/>
      <c r="Z395" s="18"/>
      <c r="AA395" s="18"/>
      <c r="AB395" s="18"/>
    </row>
    <row r="396" spans="1:28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69"/>
      <c r="U396" s="18"/>
      <c r="V396" s="18"/>
      <c r="W396" s="18"/>
      <c r="X396" s="18"/>
      <c r="Y396" s="18"/>
      <c r="Z396" s="18"/>
      <c r="AA396" s="18"/>
      <c r="AB396" s="18"/>
    </row>
    <row r="397" spans="1:28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69"/>
      <c r="U397" s="18"/>
      <c r="V397" s="18"/>
      <c r="W397" s="18"/>
      <c r="X397" s="18"/>
      <c r="Y397" s="18"/>
      <c r="Z397" s="18"/>
      <c r="AA397" s="18"/>
      <c r="AB397" s="18"/>
    </row>
    <row r="398" spans="1:28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69"/>
      <c r="U398" s="18"/>
      <c r="V398" s="18"/>
      <c r="W398" s="18"/>
      <c r="X398" s="18"/>
      <c r="Y398" s="18"/>
      <c r="Z398" s="18"/>
      <c r="AA398" s="18"/>
      <c r="AB398" s="18"/>
    </row>
    <row r="399" spans="1:28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69"/>
      <c r="U399" s="18"/>
      <c r="V399" s="18"/>
      <c r="W399" s="18"/>
      <c r="X399" s="18"/>
      <c r="Y399" s="18"/>
      <c r="Z399" s="18"/>
      <c r="AA399" s="18"/>
      <c r="AB399" s="18"/>
    </row>
    <row r="400" spans="1:28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69"/>
      <c r="U400" s="18"/>
      <c r="V400" s="18"/>
      <c r="W400" s="18"/>
      <c r="X400" s="18"/>
      <c r="Y400" s="18"/>
      <c r="Z400" s="18"/>
      <c r="AA400" s="18"/>
      <c r="AB400" s="18"/>
    </row>
    <row r="401" spans="1:28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69"/>
      <c r="U401" s="18"/>
      <c r="V401" s="18"/>
      <c r="W401" s="18"/>
      <c r="X401" s="18"/>
      <c r="Y401" s="18"/>
      <c r="Z401" s="18"/>
      <c r="AA401" s="18"/>
      <c r="AB401" s="18"/>
    </row>
    <row r="402" spans="1:28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69"/>
      <c r="U402" s="18"/>
      <c r="V402" s="18"/>
      <c r="W402" s="18"/>
      <c r="X402" s="18"/>
      <c r="Y402" s="18"/>
      <c r="Z402" s="18"/>
      <c r="AA402" s="18"/>
      <c r="AB402" s="18"/>
    </row>
    <row r="403" spans="1:28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69"/>
      <c r="U403" s="18"/>
      <c r="V403" s="18"/>
      <c r="W403" s="18"/>
      <c r="X403" s="18"/>
      <c r="Y403" s="18"/>
      <c r="Z403" s="18"/>
      <c r="AA403" s="18"/>
      <c r="AB403" s="18"/>
    </row>
    <row r="404" spans="1:28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69"/>
      <c r="U404" s="18"/>
      <c r="V404" s="18"/>
      <c r="W404" s="18"/>
      <c r="X404" s="18"/>
      <c r="Y404" s="18"/>
      <c r="Z404" s="18"/>
      <c r="AA404" s="18"/>
      <c r="AB404" s="18"/>
    </row>
    <row r="405" spans="1:28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69"/>
      <c r="U405" s="18"/>
      <c r="V405" s="18"/>
      <c r="W405" s="18"/>
      <c r="X405" s="18"/>
      <c r="Y405" s="18"/>
      <c r="Z405" s="18"/>
      <c r="AA405" s="18"/>
      <c r="AB405" s="18"/>
    </row>
    <row r="406" spans="1:28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69"/>
      <c r="U406" s="18"/>
      <c r="V406" s="18"/>
      <c r="W406" s="18"/>
      <c r="X406" s="18"/>
      <c r="Y406" s="18"/>
      <c r="Z406" s="18"/>
      <c r="AA406" s="18"/>
      <c r="AB406" s="18"/>
    </row>
    <row r="407" spans="1:28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69"/>
      <c r="U407" s="18"/>
      <c r="V407" s="18"/>
      <c r="W407" s="18"/>
      <c r="X407" s="18"/>
      <c r="Y407" s="18"/>
      <c r="Z407" s="18"/>
      <c r="AA407" s="18"/>
      <c r="AB407" s="18"/>
    </row>
    <row r="408" spans="1:28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69"/>
      <c r="U408" s="18"/>
      <c r="V408" s="18"/>
      <c r="W408" s="18"/>
      <c r="X408" s="18"/>
      <c r="Y408" s="18"/>
      <c r="Z408" s="18"/>
      <c r="AA408" s="18"/>
      <c r="AB408" s="18"/>
    </row>
    <row r="409" spans="1:28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69"/>
      <c r="U409" s="18"/>
      <c r="V409" s="18"/>
      <c r="W409" s="18"/>
      <c r="X409" s="18"/>
      <c r="Y409" s="18"/>
      <c r="Z409" s="18"/>
      <c r="AA409" s="18"/>
      <c r="AB409" s="18"/>
    </row>
    <row r="410" spans="1:28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69"/>
      <c r="U410" s="18"/>
      <c r="V410" s="18"/>
      <c r="W410" s="18"/>
      <c r="X410" s="18"/>
      <c r="Y410" s="18"/>
      <c r="Z410" s="18"/>
      <c r="AA410" s="18"/>
      <c r="AB410" s="18"/>
    </row>
    <row r="411" spans="1:28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69"/>
      <c r="U411" s="18"/>
      <c r="V411" s="18"/>
      <c r="W411" s="18"/>
      <c r="X411" s="18"/>
      <c r="Y411" s="18"/>
      <c r="Z411" s="18"/>
      <c r="AA411" s="18"/>
      <c r="AB411" s="18"/>
    </row>
    <row r="412" spans="1:28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69"/>
      <c r="U412" s="18"/>
      <c r="V412" s="18"/>
      <c r="W412" s="18"/>
      <c r="X412" s="18"/>
      <c r="Y412" s="18"/>
      <c r="Z412" s="18"/>
      <c r="AA412" s="18"/>
      <c r="AB412" s="18"/>
    </row>
    <row r="413" spans="1:28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69"/>
      <c r="U413" s="18"/>
      <c r="V413" s="18"/>
      <c r="W413" s="18"/>
      <c r="X413" s="18"/>
      <c r="Y413" s="18"/>
      <c r="Z413" s="18"/>
      <c r="AA413" s="18"/>
      <c r="AB413" s="18"/>
    </row>
    <row r="414" spans="1:28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69"/>
      <c r="U414" s="18"/>
      <c r="V414" s="18"/>
      <c r="W414" s="18"/>
      <c r="X414" s="18"/>
      <c r="Y414" s="18"/>
      <c r="Z414" s="18"/>
      <c r="AA414" s="18"/>
      <c r="AB414" s="18"/>
    </row>
    <row r="415" spans="1:28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69"/>
      <c r="U415" s="18"/>
      <c r="V415" s="18"/>
      <c r="W415" s="18"/>
      <c r="X415" s="18"/>
      <c r="Y415" s="18"/>
      <c r="Z415" s="18"/>
      <c r="AA415" s="18"/>
      <c r="AB415" s="18"/>
    </row>
    <row r="416" spans="1:28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69"/>
      <c r="U416" s="18"/>
      <c r="V416" s="18"/>
      <c r="W416" s="18"/>
      <c r="X416" s="18"/>
      <c r="Y416" s="18"/>
      <c r="Z416" s="18"/>
      <c r="AA416" s="18"/>
      <c r="AB416" s="18"/>
    </row>
    <row r="417" spans="1:28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69"/>
      <c r="U417" s="18"/>
      <c r="V417" s="18"/>
      <c r="W417" s="18"/>
      <c r="X417" s="18"/>
      <c r="Y417" s="18"/>
      <c r="Z417" s="18"/>
      <c r="AA417" s="18"/>
      <c r="AB417" s="18"/>
    </row>
    <row r="418" spans="1:28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69"/>
      <c r="U418" s="18"/>
      <c r="V418" s="18"/>
      <c r="W418" s="18"/>
      <c r="X418" s="18"/>
      <c r="Y418" s="18"/>
      <c r="Z418" s="18"/>
      <c r="AA418" s="18"/>
      <c r="AB418" s="18"/>
    </row>
    <row r="419" spans="1:28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69"/>
      <c r="U419" s="18"/>
      <c r="V419" s="18"/>
      <c r="W419" s="18"/>
      <c r="X419" s="18"/>
      <c r="Y419" s="18"/>
      <c r="Z419" s="18"/>
      <c r="AA419" s="18"/>
      <c r="AB419" s="18"/>
    </row>
    <row r="420" spans="1:28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69"/>
      <c r="U420" s="18"/>
      <c r="V420" s="18"/>
      <c r="W420" s="18"/>
      <c r="X420" s="18"/>
      <c r="Y420" s="18"/>
      <c r="Z420" s="18"/>
      <c r="AA420" s="18"/>
      <c r="AB420" s="18"/>
    </row>
    <row r="421" spans="1:28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69"/>
      <c r="U421" s="18"/>
      <c r="V421" s="18"/>
      <c r="W421" s="18"/>
      <c r="X421" s="18"/>
      <c r="Y421" s="18"/>
      <c r="Z421" s="18"/>
      <c r="AA421" s="18"/>
      <c r="AB421" s="18"/>
    </row>
    <row r="422" spans="1:28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69"/>
      <c r="U422" s="18"/>
      <c r="V422" s="18"/>
      <c r="W422" s="18"/>
      <c r="X422" s="18"/>
      <c r="Y422" s="18"/>
      <c r="Z422" s="18"/>
      <c r="AA422" s="18"/>
      <c r="AB422" s="18"/>
    </row>
    <row r="423" spans="1:28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69"/>
      <c r="U423" s="18"/>
      <c r="V423" s="18"/>
      <c r="W423" s="18"/>
      <c r="X423" s="18"/>
      <c r="Y423" s="18"/>
      <c r="Z423" s="18"/>
      <c r="AA423" s="18"/>
      <c r="AB423" s="18"/>
    </row>
    <row r="424" spans="1:28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69"/>
      <c r="U424" s="18"/>
      <c r="V424" s="18"/>
      <c r="W424" s="18"/>
      <c r="X424" s="18"/>
      <c r="Y424" s="18"/>
      <c r="Z424" s="18"/>
      <c r="AA424" s="18"/>
      <c r="AB424" s="18"/>
    </row>
    <row r="425" spans="1:28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69"/>
      <c r="U425" s="18"/>
      <c r="V425" s="18"/>
      <c r="W425" s="18"/>
      <c r="X425" s="18"/>
      <c r="Y425" s="18"/>
      <c r="Z425" s="18"/>
      <c r="AA425" s="18"/>
      <c r="AB425" s="18"/>
    </row>
    <row r="426" spans="1:28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69"/>
      <c r="U426" s="18"/>
      <c r="V426" s="18"/>
      <c r="W426" s="18"/>
      <c r="X426" s="18"/>
      <c r="Y426" s="18"/>
      <c r="Z426" s="18"/>
      <c r="AA426" s="18"/>
      <c r="AB426" s="18"/>
    </row>
    <row r="427" spans="1:28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69"/>
      <c r="U427" s="18"/>
      <c r="V427" s="18"/>
      <c r="W427" s="18"/>
      <c r="X427" s="18"/>
      <c r="Y427" s="18"/>
      <c r="Z427" s="18"/>
      <c r="AA427" s="18"/>
      <c r="AB427" s="18"/>
    </row>
    <row r="428" spans="1:28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69"/>
      <c r="U428" s="18"/>
      <c r="V428" s="18"/>
      <c r="W428" s="18"/>
      <c r="X428" s="18"/>
      <c r="Y428" s="18"/>
      <c r="Z428" s="18"/>
      <c r="AA428" s="18"/>
      <c r="AB428" s="18"/>
    </row>
    <row r="429" spans="1:28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69"/>
      <c r="U429" s="18"/>
      <c r="V429" s="18"/>
      <c r="W429" s="18"/>
      <c r="X429" s="18"/>
      <c r="Y429" s="18"/>
      <c r="Z429" s="18"/>
      <c r="AA429" s="18"/>
      <c r="AB429" s="18"/>
    </row>
    <row r="430" spans="1:28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69"/>
      <c r="U430" s="18"/>
      <c r="V430" s="18"/>
      <c r="W430" s="18"/>
      <c r="X430" s="18"/>
      <c r="Y430" s="18"/>
      <c r="Z430" s="18"/>
      <c r="AA430" s="18"/>
      <c r="AB430" s="18"/>
    </row>
    <row r="431" spans="1:28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69"/>
      <c r="U431" s="18"/>
      <c r="V431" s="18"/>
      <c r="W431" s="18"/>
      <c r="X431" s="18"/>
      <c r="Y431" s="18"/>
      <c r="Z431" s="18"/>
      <c r="AA431" s="18"/>
      <c r="AB431" s="18"/>
    </row>
    <row r="432" spans="1:28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69"/>
      <c r="U432" s="18"/>
      <c r="V432" s="18"/>
      <c r="W432" s="18"/>
      <c r="X432" s="18"/>
      <c r="Y432" s="18"/>
      <c r="Z432" s="18"/>
      <c r="AA432" s="18"/>
      <c r="AB432" s="18"/>
    </row>
    <row r="433" spans="1:28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69"/>
      <c r="U433" s="18"/>
      <c r="V433" s="18"/>
      <c r="W433" s="18"/>
      <c r="X433" s="18"/>
      <c r="Y433" s="18"/>
      <c r="Z433" s="18"/>
      <c r="AA433" s="18"/>
      <c r="AB433" s="18"/>
    </row>
    <row r="434" spans="1:28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69"/>
      <c r="U434" s="18"/>
      <c r="V434" s="18"/>
      <c r="W434" s="18"/>
      <c r="X434" s="18"/>
      <c r="Y434" s="18"/>
      <c r="Z434" s="18"/>
      <c r="AA434" s="18"/>
      <c r="AB434" s="18"/>
    </row>
    <row r="435" spans="1:28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69"/>
      <c r="U435" s="18"/>
      <c r="V435" s="18"/>
      <c r="W435" s="18"/>
      <c r="X435" s="18"/>
      <c r="Y435" s="18"/>
      <c r="Z435" s="18"/>
      <c r="AA435" s="18"/>
      <c r="AB435" s="18"/>
    </row>
    <row r="436" spans="1:28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69"/>
      <c r="U436" s="18"/>
      <c r="V436" s="18"/>
      <c r="W436" s="18"/>
      <c r="X436" s="18"/>
      <c r="Y436" s="18"/>
      <c r="Z436" s="18"/>
      <c r="AA436" s="18"/>
      <c r="AB436" s="18"/>
    </row>
    <row r="437" spans="1:28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69"/>
      <c r="U437" s="18"/>
      <c r="V437" s="18"/>
      <c r="W437" s="18"/>
      <c r="X437" s="18"/>
      <c r="Y437" s="18"/>
      <c r="Z437" s="18"/>
      <c r="AA437" s="18"/>
      <c r="AB437" s="18"/>
    </row>
    <row r="438" spans="1:28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69"/>
      <c r="U438" s="18"/>
      <c r="V438" s="18"/>
      <c r="W438" s="18"/>
      <c r="X438" s="18"/>
      <c r="Y438" s="18"/>
      <c r="Z438" s="18"/>
      <c r="AA438" s="18"/>
      <c r="AB438" s="18"/>
    </row>
    <row r="439" spans="1:28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69"/>
      <c r="U439" s="18"/>
      <c r="V439" s="18"/>
      <c r="W439" s="18"/>
      <c r="X439" s="18"/>
      <c r="Y439" s="18"/>
      <c r="Z439" s="18"/>
      <c r="AA439" s="18"/>
      <c r="AB439" s="18"/>
    </row>
    <row r="440" spans="1:28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69"/>
      <c r="U440" s="18"/>
      <c r="V440" s="18"/>
      <c r="W440" s="18"/>
      <c r="X440" s="18"/>
      <c r="Y440" s="18"/>
      <c r="Z440" s="18"/>
      <c r="AA440" s="18"/>
      <c r="AB440" s="18"/>
    </row>
    <row r="441" spans="1:28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69"/>
      <c r="U441" s="18"/>
      <c r="V441" s="18"/>
      <c r="W441" s="18"/>
      <c r="X441" s="18"/>
      <c r="Y441" s="18"/>
      <c r="Z441" s="18"/>
      <c r="AA441" s="18"/>
      <c r="AB441" s="18"/>
    </row>
    <row r="442" spans="1:28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69"/>
      <c r="U442" s="18"/>
      <c r="V442" s="18"/>
      <c r="W442" s="18"/>
      <c r="X442" s="18"/>
      <c r="Y442" s="18"/>
      <c r="Z442" s="18"/>
      <c r="AA442" s="18"/>
      <c r="AB442" s="18"/>
    </row>
    <row r="443" spans="1:28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69"/>
      <c r="U443" s="18"/>
      <c r="V443" s="18"/>
      <c r="W443" s="18"/>
      <c r="X443" s="18"/>
      <c r="Y443" s="18"/>
      <c r="Z443" s="18"/>
      <c r="AA443" s="18"/>
      <c r="AB443" s="18"/>
    </row>
    <row r="444" spans="1:28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69"/>
      <c r="U444" s="18"/>
      <c r="V444" s="18"/>
      <c r="W444" s="18"/>
      <c r="X444" s="18"/>
      <c r="Y444" s="18"/>
      <c r="Z444" s="18"/>
      <c r="AA444" s="18"/>
      <c r="AB444" s="18"/>
    </row>
    <row r="445" spans="1:28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69"/>
      <c r="U445" s="18"/>
      <c r="V445" s="18"/>
      <c r="W445" s="18"/>
      <c r="X445" s="18"/>
      <c r="Y445" s="18"/>
      <c r="Z445" s="18"/>
      <c r="AA445" s="18"/>
      <c r="AB445" s="18"/>
    </row>
    <row r="446" spans="1:28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69"/>
      <c r="U446" s="18"/>
      <c r="V446" s="18"/>
      <c r="W446" s="18"/>
      <c r="X446" s="18"/>
      <c r="Y446" s="18"/>
      <c r="Z446" s="18"/>
      <c r="AA446" s="18"/>
      <c r="AB446" s="18"/>
    </row>
    <row r="447" spans="1:28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69"/>
      <c r="U447" s="18"/>
      <c r="V447" s="18"/>
      <c r="W447" s="18"/>
      <c r="X447" s="18"/>
      <c r="Y447" s="18"/>
      <c r="Z447" s="18"/>
      <c r="AA447" s="18"/>
      <c r="AB447" s="18"/>
    </row>
    <row r="448" spans="1:28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69"/>
      <c r="U448" s="18"/>
      <c r="V448" s="18"/>
      <c r="W448" s="18"/>
      <c r="X448" s="18"/>
      <c r="Y448" s="18"/>
      <c r="Z448" s="18"/>
      <c r="AA448" s="18"/>
      <c r="AB448" s="18"/>
    </row>
    <row r="449" spans="1:28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69"/>
      <c r="U449" s="18"/>
      <c r="V449" s="18"/>
      <c r="W449" s="18"/>
      <c r="X449" s="18"/>
      <c r="Y449" s="18"/>
      <c r="Z449" s="18"/>
      <c r="AA449" s="18"/>
      <c r="AB449" s="18"/>
    </row>
    <row r="450" spans="1:28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69"/>
      <c r="U450" s="18"/>
      <c r="V450" s="18"/>
      <c r="W450" s="18"/>
      <c r="X450" s="18"/>
      <c r="Y450" s="18"/>
      <c r="Z450" s="18"/>
      <c r="AA450" s="18"/>
      <c r="AB450" s="18"/>
    </row>
    <row r="451" spans="1:28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69"/>
      <c r="U451" s="18"/>
      <c r="V451" s="18"/>
      <c r="W451" s="18"/>
      <c r="X451" s="18"/>
      <c r="Y451" s="18"/>
      <c r="Z451" s="18"/>
      <c r="AA451" s="18"/>
      <c r="AB451" s="18"/>
    </row>
    <row r="452" spans="1:28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69"/>
      <c r="U452" s="18"/>
      <c r="V452" s="18"/>
      <c r="W452" s="18"/>
      <c r="X452" s="18"/>
      <c r="Y452" s="18"/>
      <c r="Z452" s="18"/>
      <c r="AA452" s="18"/>
      <c r="AB452" s="18"/>
    </row>
    <row r="453" spans="1:28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69"/>
      <c r="U453" s="18"/>
      <c r="V453" s="18"/>
      <c r="W453" s="18"/>
      <c r="X453" s="18"/>
      <c r="Y453" s="18"/>
      <c r="Z453" s="18"/>
      <c r="AA453" s="18"/>
      <c r="AB453" s="18"/>
    </row>
    <row r="454" spans="1:28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69"/>
      <c r="U454" s="18"/>
      <c r="V454" s="18"/>
      <c r="W454" s="18"/>
      <c r="X454" s="18"/>
      <c r="Y454" s="18"/>
      <c r="Z454" s="18"/>
      <c r="AA454" s="18"/>
      <c r="AB454" s="18"/>
    </row>
    <row r="455" spans="1:28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69"/>
      <c r="U455" s="18"/>
      <c r="V455" s="18"/>
      <c r="W455" s="18"/>
      <c r="X455" s="18"/>
      <c r="Y455" s="18"/>
      <c r="Z455" s="18"/>
      <c r="AA455" s="18"/>
      <c r="AB455" s="18"/>
    </row>
    <row r="456" spans="1:28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69"/>
      <c r="U456" s="18"/>
      <c r="V456" s="18"/>
      <c r="W456" s="18"/>
      <c r="X456" s="18"/>
      <c r="Y456" s="18"/>
      <c r="Z456" s="18"/>
      <c r="AA456" s="18"/>
      <c r="AB456" s="18"/>
    </row>
    <row r="457" spans="1:28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69"/>
      <c r="U457" s="18"/>
      <c r="V457" s="18"/>
      <c r="W457" s="18"/>
      <c r="X457" s="18"/>
      <c r="Y457" s="18"/>
      <c r="Z457" s="18"/>
      <c r="AA457" s="18"/>
      <c r="AB457" s="18"/>
    </row>
    <row r="458" spans="1:28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69"/>
      <c r="U458" s="18"/>
      <c r="V458" s="18"/>
      <c r="W458" s="18"/>
      <c r="X458" s="18"/>
      <c r="Y458" s="18"/>
      <c r="Z458" s="18"/>
      <c r="AA458" s="18"/>
      <c r="AB458" s="18"/>
    </row>
    <row r="459" spans="1:28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69"/>
      <c r="U459" s="18"/>
      <c r="V459" s="18"/>
      <c r="W459" s="18"/>
      <c r="X459" s="18"/>
      <c r="Y459" s="18"/>
      <c r="Z459" s="18"/>
      <c r="AA459" s="18"/>
      <c r="AB459" s="18"/>
    </row>
    <row r="460" spans="1:28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69"/>
      <c r="U460" s="18"/>
      <c r="V460" s="18"/>
      <c r="W460" s="18"/>
      <c r="X460" s="18"/>
      <c r="Y460" s="18"/>
      <c r="Z460" s="18"/>
      <c r="AA460" s="18"/>
      <c r="AB460" s="18"/>
    </row>
    <row r="461" spans="1:28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69"/>
      <c r="U461" s="18"/>
      <c r="V461" s="18"/>
      <c r="W461" s="18"/>
      <c r="X461" s="18"/>
      <c r="Y461" s="18"/>
      <c r="Z461" s="18"/>
      <c r="AA461" s="18"/>
      <c r="AB461" s="18"/>
    </row>
    <row r="462" spans="1:28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69"/>
      <c r="U462" s="18"/>
      <c r="V462" s="18"/>
      <c r="W462" s="18"/>
      <c r="X462" s="18"/>
      <c r="Y462" s="18"/>
      <c r="Z462" s="18"/>
      <c r="AA462" s="18"/>
      <c r="AB462" s="18"/>
    </row>
    <row r="463" spans="1:28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69"/>
      <c r="U463" s="18"/>
      <c r="V463" s="18"/>
      <c r="W463" s="18"/>
      <c r="X463" s="18"/>
      <c r="Y463" s="18"/>
      <c r="Z463" s="18"/>
      <c r="AA463" s="18"/>
      <c r="AB463" s="18"/>
    </row>
    <row r="464" spans="1:28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69"/>
      <c r="U464" s="18"/>
      <c r="V464" s="18"/>
      <c r="W464" s="18"/>
      <c r="X464" s="18"/>
      <c r="Y464" s="18"/>
      <c r="Z464" s="18"/>
      <c r="AA464" s="18"/>
      <c r="AB464" s="18"/>
    </row>
    <row r="465" spans="1:28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69"/>
      <c r="U465" s="18"/>
      <c r="V465" s="18"/>
      <c r="W465" s="18"/>
      <c r="X465" s="18"/>
      <c r="Y465" s="18"/>
      <c r="Z465" s="18"/>
      <c r="AA465" s="18"/>
      <c r="AB465" s="18"/>
    </row>
    <row r="466" spans="1:28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69"/>
      <c r="U466" s="18"/>
      <c r="V466" s="18"/>
      <c r="W466" s="18"/>
      <c r="X466" s="18"/>
      <c r="Y466" s="18"/>
      <c r="Z466" s="18"/>
      <c r="AA466" s="18"/>
      <c r="AB466" s="18"/>
    </row>
    <row r="467" spans="1:28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69"/>
      <c r="U467" s="18"/>
      <c r="V467" s="18"/>
      <c r="W467" s="18"/>
      <c r="X467" s="18"/>
      <c r="Y467" s="18"/>
      <c r="Z467" s="18"/>
      <c r="AA467" s="18"/>
      <c r="AB467" s="18"/>
    </row>
    <row r="468" spans="1:28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69"/>
      <c r="U468" s="18"/>
      <c r="V468" s="18"/>
      <c r="W468" s="18"/>
      <c r="X468" s="18"/>
      <c r="Y468" s="18"/>
      <c r="Z468" s="18"/>
      <c r="AA468" s="18"/>
      <c r="AB468" s="18"/>
    </row>
    <row r="469" spans="1:28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69"/>
      <c r="U469" s="18"/>
      <c r="V469" s="18"/>
      <c r="W469" s="18"/>
      <c r="X469" s="18"/>
      <c r="Y469" s="18"/>
      <c r="Z469" s="18"/>
      <c r="AA469" s="18"/>
      <c r="AB469" s="18"/>
    </row>
    <row r="470" spans="1:28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69"/>
      <c r="U470" s="18"/>
      <c r="V470" s="18"/>
      <c r="W470" s="18"/>
      <c r="X470" s="18"/>
      <c r="Y470" s="18"/>
      <c r="Z470" s="18"/>
      <c r="AA470" s="18"/>
      <c r="AB470" s="18"/>
    </row>
    <row r="471" spans="1:28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69"/>
      <c r="U471" s="18"/>
      <c r="V471" s="18"/>
      <c r="W471" s="18"/>
      <c r="X471" s="18"/>
      <c r="Y471" s="18"/>
      <c r="Z471" s="18"/>
      <c r="AA471" s="18"/>
      <c r="AB471" s="18"/>
    </row>
    <row r="472" spans="1:28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69"/>
      <c r="U472" s="18"/>
      <c r="V472" s="18"/>
      <c r="W472" s="18"/>
      <c r="X472" s="18"/>
      <c r="Y472" s="18"/>
      <c r="Z472" s="18"/>
      <c r="AA472" s="18"/>
      <c r="AB472" s="18"/>
    </row>
    <row r="473" spans="1:28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69"/>
      <c r="U473" s="18"/>
      <c r="V473" s="18"/>
      <c r="W473" s="18"/>
      <c r="X473" s="18"/>
      <c r="Y473" s="18"/>
      <c r="Z473" s="18"/>
      <c r="AA473" s="18"/>
      <c r="AB473" s="18"/>
    </row>
    <row r="474" spans="1:28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69"/>
      <c r="U474" s="18"/>
      <c r="V474" s="18"/>
      <c r="W474" s="18"/>
      <c r="X474" s="18"/>
      <c r="Y474" s="18"/>
      <c r="Z474" s="18"/>
      <c r="AA474" s="18"/>
      <c r="AB474" s="18"/>
    </row>
    <row r="475" spans="1:28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69"/>
      <c r="U475" s="18"/>
      <c r="V475" s="18"/>
      <c r="W475" s="18"/>
      <c r="X475" s="18"/>
      <c r="Y475" s="18"/>
      <c r="Z475" s="18"/>
      <c r="AA475" s="18"/>
      <c r="AB475" s="18"/>
    </row>
    <row r="476" spans="1:28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69"/>
      <c r="U476" s="18"/>
      <c r="V476" s="18"/>
      <c r="W476" s="18"/>
      <c r="X476" s="18"/>
      <c r="Y476" s="18"/>
      <c r="Z476" s="18"/>
      <c r="AA476" s="18"/>
      <c r="AB476" s="18"/>
    </row>
    <row r="477" spans="1:28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69"/>
      <c r="U477" s="18"/>
      <c r="V477" s="18"/>
      <c r="W477" s="18"/>
      <c r="X477" s="18"/>
      <c r="Y477" s="18"/>
      <c r="Z477" s="18"/>
      <c r="AA477" s="18"/>
      <c r="AB477" s="18"/>
    </row>
    <row r="478" spans="1:28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69"/>
      <c r="U478" s="18"/>
      <c r="V478" s="18"/>
      <c r="W478" s="18"/>
      <c r="X478" s="18"/>
      <c r="Y478" s="18"/>
      <c r="Z478" s="18"/>
      <c r="AA478" s="18"/>
      <c r="AB478" s="18"/>
    </row>
    <row r="479" spans="1:28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69"/>
      <c r="U479" s="18"/>
      <c r="V479" s="18"/>
      <c r="W479" s="18"/>
      <c r="X479" s="18"/>
      <c r="Y479" s="18"/>
      <c r="Z479" s="18"/>
      <c r="AA479" s="18"/>
      <c r="AB479" s="18"/>
    </row>
    <row r="480" spans="1:28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69"/>
      <c r="U480" s="18"/>
      <c r="V480" s="18"/>
      <c r="W480" s="18"/>
      <c r="X480" s="18"/>
      <c r="Y480" s="18"/>
      <c r="Z480" s="18"/>
      <c r="AA480" s="18"/>
      <c r="AB480" s="18"/>
    </row>
    <row r="481" spans="1:28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69"/>
      <c r="U481" s="18"/>
      <c r="V481" s="18"/>
      <c r="W481" s="18"/>
      <c r="X481" s="18"/>
      <c r="Y481" s="18"/>
      <c r="Z481" s="18"/>
      <c r="AA481" s="18"/>
      <c r="AB481" s="18"/>
    </row>
    <row r="482" spans="1:28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69"/>
      <c r="U482" s="18"/>
      <c r="V482" s="18"/>
      <c r="W482" s="18"/>
      <c r="X482" s="18"/>
      <c r="Y482" s="18"/>
      <c r="Z482" s="18"/>
      <c r="AA482" s="18"/>
      <c r="AB482" s="18"/>
    </row>
    <row r="483" spans="1:28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69"/>
      <c r="U483" s="18"/>
      <c r="V483" s="18"/>
      <c r="W483" s="18"/>
      <c r="X483" s="18"/>
      <c r="Y483" s="18"/>
      <c r="Z483" s="18"/>
      <c r="AA483" s="18"/>
      <c r="AB483" s="18"/>
    </row>
    <row r="484" spans="1:28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69"/>
      <c r="U484" s="18"/>
      <c r="V484" s="18"/>
      <c r="W484" s="18"/>
      <c r="X484" s="18"/>
      <c r="Y484" s="18"/>
      <c r="Z484" s="18"/>
      <c r="AA484" s="18"/>
      <c r="AB484" s="18"/>
    </row>
    <row r="485" spans="1:28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69"/>
      <c r="U485" s="18"/>
      <c r="V485" s="18"/>
      <c r="W485" s="18"/>
      <c r="X485" s="18"/>
      <c r="Y485" s="18"/>
      <c r="Z485" s="18"/>
      <c r="AA485" s="18"/>
      <c r="AB485" s="18"/>
    </row>
    <row r="486" spans="1:28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69"/>
      <c r="U486" s="18"/>
      <c r="V486" s="18"/>
      <c r="W486" s="18"/>
      <c r="X486" s="18"/>
      <c r="Y486" s="18"/>
      <c r="Z486" s="18"/>
      <c r="AA486" s="18"/>
      <c r="AB486" s="18"/>
    </row>
    <row r="487" spans="1:28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69"/>
      <c r="U487" s="18"/>
      <c r="V487" s="18"/>
      <c r="W487" s="18"/>
      <c r="X487" s="18"/>
      <c r="Y487" s="18"/>
      <c r="Z487" s="18"/>
      <c r="AA487" s="18"/>
      <c r="AB487" s="18"/>
    </row>
    <row r="488" spans="1:28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69"/>
      <c r="U488" s="18"/>
      <c r="V488" s="18"/>
      <c r="W488" s="18"/>
      <c r="X488" s="18"/>
      <c r="Y488" s="18"/>
      <c r="Z488" s="18"/>
      <c r="AA488" s="18"/>
      <c r="AB488" s="18"/>
    </row>
    <row r="489" spans="1:28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69"/>
      <c r="U489" s="18"/>
      <c r="V489" s="18"/>
      <c r="W489" s="18"/>
      <c r="X489" s="18"/>
      <c r="Y489" s="18"/>
      <c r="Z489" s="18"/>
      <c r="AA489" s="18"/>
      <c r="AB489" s="18"/>
    </row>
    <row r="490" spans="1:28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69"/>
      <c r="U490" s="18"/>
      <c r="V490" s="18"/>
      <c r="W490" s="18"/>
      <c r="X490" s="18"/>
      <c r="Y490" s="18"/>
      <c r="Z490" s="18"/>
      <c r="AA490" s="18"/>
      <c r="AB490" s="18"/>
    </row>
    <row r="491" spans="1:28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69"/>
      <c r="U491" s="18"/>
      <c r="V491" s="18"/>
      <c r="W491" s="18"/>
      <c r="X491" s="18"/>
      <c r="Y491" s="18"/>
      <c r="Z491" s="18"/>
      <c r="AA491" s="18"/>
      <c r="AB491" s="18"/>
    </row>
    <row r="492" spans="1:28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69"/>
      <c r="U492" s="18"/>
      <c r="V492" s="18"/>
      <c r="W492" s="18"/>
      <c r="X492" s="18"/>
      <c r="Y492" s="18"/>
      <c r="Z492" s="18"/>
      <c r="AA492" s="18"/>
      <c r="AB492" s="18"/>
    </row>
    <row r="493" spans="1:28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69"/>
      <c r="U493" s="18"/>
      <c r="V493" s="18"/>
      <c r="W493" s="18"/>
      <c r="X493" s="18"/>
      <c r="Y493" s="18"/>
      <c r="Z493" s="18"/>
      <c r="AA493" s="18"/>
      <c r="AB493" s="18"/>
    </row>
    <row r="494" spans="1:28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69"/>
      <c r="U494" s="18"/>
      <c r="V494" s="18"/>
      <c r="W494" s="18"/>
      <c r="X494" s="18"/>
      <c r="Y494" s="18"/>
      <c r="Z494" s="18"/>
      <c r="AA494" s="18"/>
      <c r="AB494" s="18"/>
    </row>
    <row r="495" spans="1:28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69"/>
      <c r="U495" s="18"/>
      <c r="V495" s="18"/>
      <c r="W495" s="18"/>
      <c r="X495" s="18"/>
      <c r="Y495" s="18"/>
      <c r="Z495" s="18"/>
      <c r="AA495" s="18"/>
      <c r="AB495" s="18"/>
    </row>
    <row r="496" spans="1:28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69"/>
      <c r="U496" s="18"/>
      <c r="V496" s="18"/>
      <c r="W496" s="18"/>
      <c r="X496" s="18"/>
      <c r="Y496" s="18"/>
      <c r="Z496" s="18"/>
      <c r="AA496" s="18"/>
      <c r="AB496" s="18"/>
    </row>
    <row r="497" spans="1:28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69"/>
      <c r="U497" s="18"/>
      <c r="V497" s="18"/>
      <c r="W497" s="18"/>
      <c r="X497" s="18"/>
      <c r="Y497" s="18"/>
      <c r="Z497" s="18"/>
      <c r="AA497" s="18"/>
      <c r="AB497" s="18"/>
    </row>
    <row r="498" spans="1:28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69"/>
      <c r="U498" s="18"/>
      <c r="V498" s="18"/>
      <c r="W498" s="18"/>
      <c r="X498" s="18"/>
      <c r="Y498" s="18"/>
      <c r="Z498" s="18"/>
      <c r="AA498" s="18"/>
      <c r="AB498" s="18"/>
    </row>
    <row r="499" spans="1:28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69"/>
      <c r="U499" s="18"/>
      <c r="V499" s="18"/>
      <c r="W499" s="18"/>
      <c r="X499" s="18"/>
      <c r="Y499" s="18"/>
      <c r="Z499" s="18"/>
      <c r="AA499" s="18"/>
      <c r="AB499" s="18"/>
    </row>
    <row r="500" spans="1:28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69"/>
      <c r="U500" s="18"/>
      <c r="V500" s="18"/>
      <c r="W500" s="18"/>
      <c r="X500" s="18"/>
      <c r="Y500" s="18"/>
      <c r="Z500" s="18"/>
      <c r="AA500" s="18"/>
      <c r="AB500" s="18"/>
    </row>
    <row r="501" spans="1:28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69"/>
      <c r="U501" s="18"/>
      <c r="V501" s="18"/>
      <c r="W501" s="18"/>
      <c r="X501" s="18"/>
      <c r="Y501" s="18"/>
      <c r="Z501" s="18"/>
      <c r="AA501" s="18"/>
      <c r="AB501" s="18"/>
    </row>
    <row r="502" spans="1:28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69"/>
      <c r="U502" s="18"/>
      <c r="V502" s="18"/>
      <c r="W502" s="18"/>
      <c r="X502" s="18"/>
      <c r="Y502" s="18"/>
      <c r="Z502" s="18"/>
      <c r="AA502" s="18"/>
      <c r="AB502" s="18"/>
    </row>
    <row r="503" spans="1:28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69"/>
      <c r="U503" s="18"/>
      <c r="V503" s="18"/>
      <c r="W503" s="18"/>
      <c r="X503" s="18"/>
      <c r="Y503" s="18"/>
      <c r="Z503" s="18"/>
      <c r="AA503" s="18"/>
      <c r="AB503" s="18"/>
    </row>
    <row r="504" spans="1:28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69"/>
      <c r="U504" s="18"/>
      <c r="V504" s="18"/>
      <c r="W504" s="18"/>
      <c r="X504" s="18"/>
      <c r="Y504" s="18"/>
      <c r="Z504" s="18"/>
      <c r="AA504" s="18"/>
      <c r="AB504" s="18"/>
    </row>
    <row r="505" spans="1:28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69"/>
      <c r="U505" s="18"/>
      <c r="V505" s="18"/>
      <c r="W505" s="18"/>
      <c r="X505" s="18"/>
      <c r="Y505" s="18"/>
      <c r="Z505" s="18"/>
      <c r="AA505" s="18"/>
      <c r="AB505" s="18"/>
    </row>
    <row r="506" spans="1:28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69"/>
      <c r="U506" s="18"/>
      <c r="V506" s="18"/>
      <c r="W506" s="18"/>
      <c r="X506" s="18"/>
      <c r="Y506" s="18"/>
      <c r="Z506" s="18"/>
      <c r="AA506" s="18"/>
      <c r="AB506" s="18"/>
    </row>
    <row r="507" spans="1:28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69"/>
      <c r="U507" s="18"/>
      <c r="V507" s="18"/>
      <c r="W507" s="18"/>
      <c r="X507" s="18"/>
      <c r="Y507" s="18"/>
      <c r="Z507" s="18"/>
      <c r="AA507" s="18"/>
      <c r="AB507" s="18"/>
    </row>
    <row r="508" spans="1:28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69"/>
      <c r="U508" s="18"/>
      <c r="V508" s="18"/>
      <c r="W508" s="18"/>
      <c r="X508" s="18"/>
      <c r="Y508" s="18"/>
      <c r="Z508" s="18"/>
      <c r="AA508" s="18"/>
      <c r="AB508" s="18"/>
    </row>
    <row r="509" spans="1:28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69"/>
      <c r="U509" s="18"/>
      <c r="V509" s="18"/>
      <c r="W509" s="18"/>
      <c r="X509" s="18"/>
      <c r="Y509" s="18"/>
      <c r="Z509" s="18"/>
      <c r="AA509" s="18"/>
      <c r="AB509" s="18"/>
    </row>
    <row r="510" spans="1:28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69"/>
      <c r="U510" s="18"/>
      <c r="V510" s="18"/>
      <c r="W510" s="18"/>
      <c r="X510" s="18"/>
      <c r="Y510" s="18"/>
      <c r="Z510" s="18"/>
      <c r="AA510" s="18"/>
      <c r="AB510" s="18"/>
    </row>
    <row r="511" spans="1:28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69"/>
      <c r="U511" s="18"/>
      <c r="V511" s="18"/>
      <c r="W511" s="18"/>
      <c r="X511" s="18"/>
      <c r="Y511" s="18"/>
      <c r="Z511" s="18"/>
      <c r="AA511" s="18"/>
      <c r="AB511" s="18"/>
    </row>
    <row r="512" spans="1:28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69"/>
      <c r="U512" s="18"/>
      <c r="V512" s="18"/>
      <c r="W512" s="18"/>
      <c r="X512" s="18"/>
      <c r="Y512" s="18"/>
      <c r="Z512" s="18"/>
      <c r="AA512" s="18"/>
      <c r="AB512" s="18"/>
    </row>
    <row r="513" spans="1:28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69"/>
      <c r="U513" s="18"/>
      <c r="V513" s="18"/>
      <c r="W513" s="18"/>
      <c r="X513" s="18"/>
      <c r="Y513" s="18"/>
      <c r="Z513" s="18"/>
      <c r="AA513" s="18"/>
      <c r="AB513" s="18"/>
    </row>
    <row r="514" spans="1:28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69"/>
      <c r="U514" s="18"/>
      <c r="V514" s="18"/>
      <c r="W514" s="18"/>
      <c r="X514" s="18"/>
      <c r="Y514" s="18"/>
      <c r="Z514" s="18"/>
      <c r="AA514" s="18"/>
      <c r="AB514" s="18"/>
    </row>
    <row r="515" spans="1:28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69"/>
      <c r="U515" s="18"/>
      <c r="V515" s="18"/>
      <c r="W515" s="18"/>
      <c r="X515" s="18"/>
      <c r="Y515" s="18"/>
      <c r="Z515" s="18"/>
      <c r="AA515" s="18"/>
      <c r="AB515" s="18"/>
    </row>
    <row r="516" spans="1:28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69"/>
      <c r="U516" s="18"/>
      <c r="V516" s="18"/>
      <c r="W516" s="18"/>
      <c r="X516" s="18"/>
      <c r="Y516" s="18"/>
      <c r="Z516" s="18"/>
      <c r="AA516" s="18"/>
      <c r="AB516" s="18"/>
    </row>
    <row r="517" spans="1:28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69"/>
      <c r="U517" s="18"/>
      <c r="V517" s="18"/>
      <c r="W517" s="18"/>
      <c r="X517" s="18"/>
      <c r="Y517" s="18"/>
      <c r="Z517" s="18"/>
      <c r="AA517" s="18"/>
      <c r="AB517" s="18"/>
    </row>
    <row r="518" spans="1:28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69"/>
      <c r="U518" s="18"/>
      <c r="V518" s="18"/>
      <c r="W518" s="18"/>
      <c r="X518" s="18"/>
      <c r="Y518" s="18"/>
      <c r="Z518" s="18"/>
      <c r="AA518" s="18"/>
      <c r="AB518" s="18"/>
    </row>
    <row r="519" spans="1:28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69"/>
      <c r="U519" s="18"/>
      <c r="V519" s="18"/>
      <c r="W519" s="18"/>
      <c r="X519" s="18"/>
      <c r="Y519" s="18"/>
      <c r="Z519" s="18"/>
      <c r="AA519" s="18"/>
      <c r="AB519" s="18"/>
    </row>
    <row r="520" spans="1:28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69"/>
      <c r="U520" s="18"/>
      <c r="V520" s="18"/>
      <c r="W520" s="18"/>
      <c r="X520" s="18"/>
      <c r="Y520" s="18"/>
      <c r="Z520" s="18"/>
      <c r="AA520" s="18"/>
      <c r="AB520" s="18"/>
    </row>
    <row r="521" spans="1:28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69"/>
      <c r="U521" s="18"/>
      <c r="V521" s="18"/>
      <c r="W521" s="18"/>
      <c r="X521" s="18"/>
      <c r="Y521" s="18"/>
      <c r="Z521" s="18"/>
      <c r="AA521" s="18"/>
      <c r="AB521" s="18"/>
    </row>
    <row r="522" spans="1:28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69"/>
      <c r="U522" s="18"/>
      <c r="V522" s="18"/>
      <c r="W522" s="18"/>
      <c r="X522" s="18"/>
      <c r="Y522" s="18"/>
      <c r="Z522" s="18"/>
      <c r="AA522" s="18"/>
      <c r="AB522" s="18"/>
    </row>
    <row r="523" spans="1:28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69"/>
      <c r="U523" s="18"/>
      <c r="V523" s="18"/>
      <c r="W523" s="18"/>
      <c r="X523" s="18"/>
      <c r="Y523" s="18"/>
      <c r="Z523" s="18"/>
      <c r="AA523" s="18"/>
      <c r="AB523" s="18"/>
    </row>
    <row r="524" spans="1:28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69"/>
      <c r="U524" s="18"/>
      <c r="V524" s="18"/>
      <c r="W524" s="18"/>
      <c r="X524" s="18"/>
      <c r="Y524" s="18"/>
      <c r="Z524" s="18"/>
      <c r="AA524" s="18"/>
      <c r="AB524" s="18"/>
    </row>
    <row r="525" spans="1:28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69"/>
      <c r="U525" s="18"/>
      <c r="V525" s="18"/>
      <c r="W525" s="18"/>
      <c r="X525" s="18"/>
      <c r="Y525" s="18"/>
      <c r="Z525" s="18"/>
      <c r="AA525" s="18"/>
      <c r="AB525" s="18"/>
    </row>
    <row r="526" spans="1:28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69"/>
      <c r="U526" s="18"/>
      <c r="V526" s="18"/>
      <c r="W526" s="18"/>
      <c r="X526" s="18"/>
      <c r="Y526" s="18"/>
      <c r="Z526" s="18"/>
      <c r="AA526" s="18"/>
      <c r="AB526" s="18"/>
    </row>
    <row r="527" spans="1:28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69"/>
      <c r="U527" s="18"/>
      <c r="V527" s="18"/>
      <c r="W527" s="18"/>
      <c r="X527" s="18"/>
      <c r="Y527" s="18"/>
      <c r="Z527" s="18"/>
      <c r="AA527" s="18"/>
      <c r="AB527" s="18"/>
    </row>
    <row r="528" spans="1:28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69"/>
      <c r="U528" s="18"/>
      <c r="V528" s="18"/>
      <c r="W528" s="18"/>
      <c r="X528" s="18"/>
      <c r="Y528" s="18"/>
      <c r="Z528" s="18"/>
      <c r="AA528" s="18"/>
      <c r="AB528" s="18"/>
    </row>
    <row r="529" spans="1:28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69"/>
      <c r="U529" s="18"/>
      <c r="V529" s="18"/>
      <c r="W529" s="18"/>
      <c r="X529" s="18"/>
      <c r="Y529" s="18"/>
      <c r="Z529" s="18"/>
      <c r="AA529" s="18"/>
      <c r="AB529" s="18"/>
    </row>
    <row r="530" spans="1:28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69"/>
      <c r="U530" s="18"/>
      <c r="V530" s="18"/>
      <c r="W530" s="18"/>
      <c r="X530" s="18"/>
      <c r="Y530" s="18"/>
      <c r="Z530" s="18"/>
      <c r="AA530" s="18"/>
      <c r="AB530" s="18"/>
    </row>
    <row r="531" spans="1:28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69"/>
      <c r="U531" s="18"/>
      <c r="V531" s="18"/>
      <c r="W531" s="18"/>
      <c r="X531" s="18"/>
      <c r="Y531" s="18"/>
      <c r="Z531" s="18"/>
      <c r="AA531" s="18"/>
      <c r="AB531" s="18"/>
    </row>
    <row r="532" spans="1:28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69"/>
      <c r="U532" s="18"/>
      <c r="V532" s="18"/>
      <c r="W532" s="18"/>
      <c r="X532" s="18"/>
      <c r="Y532" s="18"/>
      <c r="Z532" s="18"/>
      <c r="AA532" s="18"/>
      <c r="AB532" s="18"/>
    </row>
    <row r="533" spans="1:28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69"/>
      <c r="U533" s="18"/>
      <c r="V533" s="18"/>
      <c r="W533" s="18"/>
      <c r="X533" s="18"/>
      <c r="Y533" s="18"/>
      <c r="Z533" s="18"/>
      <c r="AA533" s="18"/>
      <c r="AB533" s="18"/>
    </row>
    <row r="534" spans="1:28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69"/>
      <c r="U534" s="18"/>
      <c r="V534" s="18"/>
      <c r="W534" s="18"/>
      <c r="X534" s="18"/>
      <c r="Y534" s="18"/>
      <c r="Z534" s="18"/>
      <c r="AA534" s="18"/>
      <c r="AB534" s="18"/>
    </row>
    <row r="535" spans="1:28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69"/>
      <c r="U535" s="18"/>
      <c r="V535" s="18"/>
      <c r="W535" s="18"/>
      <c r="X535" s="18"/>
      <c r="Y535" s="18"/>
      <c r="Z535" s="18"/>
      <c r="AA535" s="18"/>
      <c r="AB535" s="18"/>
    </row>
    <row r="536" spans="1:28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69"/>
      <c r="U536" s="18"/>
      <c r="V536" s="18"/>
      <c r="W536" s="18"/>
      <c r="X536" s="18"/>
      <c r="Y536" s="18"/>
      <c r="Z536" s="18"/>
      <c r="AA536" s="18"/>
      <c r="AB536" s="18"/>
    </row>
    <row r="537" spans="1:28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69"/>
      <c r="U537" s="18"/>
      <c r="V537" s="18"/>
      <c r="W537" s="18"/>
      <c r="X537" s="18"/>
      <c r="Y537" s="18"/>
      <c r="Z537" s="18"/>
      <c r="AA537" s="18"/>
      <c r="AB537" s="18"/>
    </row>
    <row r="538" spans="1:28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69"/>
      <c r="U538" s="18"/>
      <c r="V538" s="18"/>
      <c r="W538" s="18"/>
      <c r="X538" s="18"/>
      <c r="Y538" s="18"/>
      <c r="Z538" s="18"/>
      <c r="AA538" s="18"/>
      <c r="AB538" s="18"/>
    </row>
    <row r="539" spans="1:28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69"/>
      <c r="U539" s="18"/>
      <c r="V539" s="18"/>
      <c r="W539" s="18"/>
      <c r="X539" s="18"/>
      <c r="Y539" s="18"/>
      <c r="Z539" s="18"/>
      <c r="AA539" s="18"/>
      <c r="AB539" s="18"/>
    </row>
    <row r="540" spans="1:28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69"/>
      <c r="U540" s="18"/>
      <c r="V540" s="18"/>
      <c r="W540" s="18"/>
      <c r="X540" s="18"/>
      <c r="Y540" s="18"/>
      <c r="Z540" s="18"/>
      <c r="AA540" s="18"/>
      <c r="AB540" s="18"/>
    </row>
    <row r="541" spans="1:28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69"/>
      <c r="U541" s="18"/>
      <c r="V541" s="18"/>
      <c r="W541" s="18"/>
      <c r="X541" s="18"/>
      <c r="Y541" s="18"/>
      <c r="Z541" s="18"/>
      <c r="AA541" s="18"/>
      <c r="AB541" s="18"/>
    </row>
    <row r="542" spans="1:28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69"/>
      <c r="U542" s="18"/>
      <c r="V542" s="18"/>
      <c r="W542" s="18"/>
      <c r="X542" s="18"/>
      <c r="Y542" s="18"/>
      <c r="Z542" s="18"/>
      <c r="AA542" s="18"/>
      <c r="AB542" s="18"/>
    </row>
    <row r="543" spans="1:28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69"/>
      <c r="U543" s="18"/>
      <c r="V543" s="18"/>
      <c r="W543" s="18"/>
      <c r="X543" s="18"/>
      <c r="Y543" s="18"/>
      <c r="Z543" s="18"/>
      <c r="AA543" s="18"/>
      <c r="AB543" s="18"/>
    </row>
    <row r="544" spans="1:28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69"/>
      <c r="U544" s="18"/>
      <c r="V544" s="18"/>
      <c r="W544" s="18"/>
      <c r="X544" s="18"/>
      <c r="Y544" s="18"/>
      <c r="Z544" s="18"/>
      <c r="AA544" s="18"/>
      <c r="AB544" s="18"/>
    </row>
    <row r="545" spans="1:28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69"/>
      <c r="U545" s="18"/>
      <c r="V545" s="18"/>
      <c r="W545" s="18"/>
      <c r="X545" s="18"/>
      <c r="Y545" s="18"/>
      <c r="Z545" s="18"/>
      <c r="AA545" s="18"/>
      <c r="AB545" s="18"/>
    </row>
    <row r="546" spans="1:28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69"/>
      <c r="U546" s="18"/>
      <c r="V546" s="18"/>
      <c r="W546" s="18"/>
      <c r="X546" s="18"/>
      <c r="Y546" s="18"/>
      <c r="Z546" s="18"/>
      <c r="AA546" s="18"/>
      <c r="AB546" s="18"/>
    </row>
    <row r="547" spans="1:28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69"/>
      <c r="U547" s="18"/>
      <c r="V547" s="18"/>
      <c r="W547" s="18"/>
      <c r="X547" s="18"/>
      <c r="Y547" s="18"/>
      <c r="Z547" s="18"/>
      <c r="AA547" s="18"/>
      <c r="AB547" s="18"/>
    </row>
    <row r="548" spans="1:28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69"/>
      <c r="U548" s="18"/>
      <c r="V548" s="18"/>
      <c r="W548" s="18"/>
      <c r="X548" s="18"/>
      <c r="Y548" s="18"/>
      <c r="Z548" s="18"/>
      <c r="AA548" s="18"/>
      <c r="AB548" s="18"/>
    </row>
    <row r="549" spans="1:28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69"/>
      <c r="U549" s="18"/>
      <c r="V549" s="18"/>
      <c r="W549" s="18"/>
      <c r="X549" s="18"/>
      <c r="Y549" s="18"/>
      <c r="Z549" s="18"/>
      <c r="AA549" s="18"/>
      <c r="AB549" s="18"/>
    </row>
    <row r="550" spans="1:28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69"/>
      <c r="U550" s="18"/>
      <c r="V550" s="18"/>
      <c r="W550" s="18"/>
      <c r="X550" s="18"/>
      <c r="Y550" s="18"/>
      <c r="Z550" s="18"/>
      <c r="AA550" s="18"/>
      <c r="AB550" s="18"/>
    </row>
    <row r="551" spans="1:28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69"/>
      <c r="U551" s="18"/>
      <c r="V551" s="18"/>
      <c r="W551" s="18"/>
      <c r="X551" s="18"/>
      <c r="Y551" s="18"/>
      <c r="Z551" s="18"/>
      <c r="AA551" s="18"/>
      <c r="AB551" s="18"/>
    </row>
    <row r="552" spans="1:28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69"/>
      <c r="U552" s="18"/>
      <c r="V552" s="18"/>
      <c r="W552" s="18"/>
      <c r="X552" s="18"/>
      <c r="Y552" s="18"/>
      <c r="Z552" s="18"/>
      <c r="AA552" s="18"/>
      <c r="AB552" s="18"/>
    </row>
    <row r="553" spans="1:28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69"/>
      <c r="U553" s="18"/>
      <c r="V553" s="18"/>
      <c r="W553" s="18"/>
      <c r="X553" s="18"/>
      <c r="Y553" s="18"/>
      <c r="Z553" s="18"/>
      <c r="AA553" s="18"/>
      <c r="AB553" s="18"/>
    </row>
    <row r="554" spans="1:28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69"/>
      <c r="U554" s="18"/>
      <c r="V554" s="18"/>
      <c r="W554" s="18"/>
      <c r="X554" s="18"/>
      <c r="Y554" s="18"/>
      <c r="Z554" s="18"/>
      <c r="AA554" s="18"/>
      <c r="AB554" s="18"/>
    </row>
    <row r="555" spans="1:28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69"/>
      <c r="U555" s="18"/>
      <c r="V555" s="18"/>
      <c r="W555" s="18"/>
      <c r="X555" s="18"/>
      <c r="Y555" s="18"/>
      <c r="Z555" s="18"/>
      <c r="AA555" s="18"/>
      <c r="AB555" s="18"/>
    </row>
    <row r="556" spans="1:28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69"/>
      <c r="U556" s="18"/>
      <c r="V556" s="18"/>
      <c r="W556" s="18"/>
      <c r="X556" s="18"/>
      <c r="Y556" s="18"/>
      <c r="Z556" s="18"/>
      <c r="AA556" s="18"/>
      <c r="AB556" s="18"/>
    </row>
    <row r="557" spans="1:28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69"/>
      <c r="U557" s="18"/>
      <c r="V557" s="18"/>
      <c r="W557" s="18"/>
      <c r="X557" s="18"/>
      <c r="Y557" s="18"/>
      <c r="Z557" s="18"/>
      <c r="AA557" s="18"/>
      <c r="AB557" s="18"/>
    </row>
    <row r="558" spans="1:28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69"/>
      <c r="U558" s="18"/>
      <c r="V558" s="18"/>
      <c r="W558" s="18"/>
      <c r="X558" s="18"/>
      <c r="Y558" s="18"/>
      <c r="Z558" s="18"/>
      <c r="AA558" s="18"/>
      <c r="AB558" s="18"/>
    </row>
    <row r="559" spans="1:28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69"/>
      <c r="U559" s="18"/>
      <c r="V559" s="18"/>
      <c r="W559" s="18"/>
      <c r="X559" s="18"/>
      <c r="Y559" s="18"/>
      <c r="Z559" s="18"/>
      <c r="AA559" s="18"/>
      <c r="AB559" s="18"/>
    </row>
    <row r="560" spans="1:28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69"/>
      <c r="U560" s="18"/>
      <c r="V560" s="18"/>
      <c r="W560" s="18"/>
      <c r="X560" s="18"/>
      <c r="Y560" s="18"/>
      <c r="Z560" s="18"/>
      <c r="AA560" s="18"/>
      <c r="AB560" s="18"/>
    </row>
    <row r="561" spans="1:28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69"/>
      <c r="U561" s="18"/>
      <c r="V561" s="18"/>
      <c r="W561" s="18"/>
      <c r="X561" s="18"/>
      <c r="Y561" s="18"/>
      <c r="Z561" s="18"/>
      <c r="AA561" s="18"/>
      <c r="AB561" s="18"/>
    </row>
    <row r="562" spans="1:28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69"/>
      <c r="U562" s="18"/>
      <c r="V562" s="18"/>
      <c r="W562" s="18"/>
      <c r="X562" s="18"/>
      <c r="Y562" s="18"/>
      <c r="Z562" s="18"/>
      <c r="AA562" s="18"/>
      <c r="AB562" s="18"/>
    </row>
    <row r="563" spans="1:28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69"/>
      <c r="U563" s="18"/>
      <c r="V563" s="18"/>
      <c r="W563" s="18"/>
      <c r="X563" s="18"/>
      <c r="Y563" s="18"/>
      <c r="Z563" s="18"/>
      <c r="AA563" s="18"/>
      <c r="AB563" s="18"/>
    </row>
    <row r="564" spans="1:28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69"/>
      <c r="U564" s="18"/>
      <c r="V564" s="18"/>
      <c r="W564" s="18"/>
      <c r="X564" s="18"/>
      <c r="Y564" s="18"/>
      <c r="Z564" s="18"/>
      <c r="AA564" s="18"/>
      <c r="AB564" s="18"/>
    </row>
    <row r="565" spans="1:28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69"/>
      <c r="U565" s="18"/>
      <c r="V565" s="18"/>
      <c r="W565" s="18"/>
      <c r="X565" s="18"/>
      <c r="Y565" s="18"/>
      <c r="Z565" s="18"/>
      <c r="AA565" s="18"/>
      <c r="AB565" s="18"/>
    </row>
    <row r="566" spans="1:28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69"/>
      <c r="U566" s="18"/>
      <c r="V566" s="18"/>
      <c r="W566" s="18"/>
      <c r="X566" s="18"/>
      <c r="Y566" s="18"/>
      <c r="Z566" s="18"/>
      <c r="AA566" s="18"/>
      <c r="AB566" s="18"/>
    </row>
    <row r="567" spans="1:28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69"/>
      <c r="U567" s="18"/>
      <c r="V567" s="18"/>
      <c r="W567" s="18"/>
      <c r="X567" s="18"/>
      <c r="Y567" s="18"/>
      <c r="Z567" s="18"/>
      <c r="AA567" s="18"/>
      <c r="AB567" s="18"/>
    </row>
    <row r="568" spans="1:28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69"/>
      <c r="U568" s="18"/>
      <c r="V568" s="18"/>
      <c r="W568" s="18"/>
      <c r="X568" s="18"/>
      <c r="Y568" s="18"/>
      <c r="Z568" s="18"/>
      <c r="AA568" s="18"/>
      <c r="AB568" s="18"/>
    </row>
    <row r="569" spans="1:28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69"/>
      <c r="U569" s="18"/>
      <c r="V569" s="18"/>
      <c r="W569" s="18"/>
      <c r="X569" s="18"/>
      <c r="Y569" s="18"/>
      <c r="Z569" s="18"/>
      <c r="AA569" s="18"/>
      <c r="AB569" s="18"/>
    </row>
    <row r="570" spans="1:28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69"/>
      <c r="U570" s="18"/>
      <c r="V570" s="18"/>
      <c r="W570" s="18"/>
      <c r="X570" s="18"/>
      <c r="Y570" s="18"/>
      <c r="Z570" s="18"/>
      <c r="AA570" s="18"/>
      <c r="AB570" s="18"/>
    </row>
    <row r="571" spans="1:28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69"/>
      <c r="U571" s="18"/>
      <c r="V571" s="18"/>
      <c r="W571" s="18"/>
      <c r="X571" s="18"/>
      <c r="Y571" s="18"/>
      <c r="Z571" s="18"/>
      <c r="AA571" s="18"/>
      <c r="AB571" s="18"/>
    </row>
    <row r="572" spans="1:28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69"/>
      <c r="U572" s="18"/>
      <c r="V572" s="18"/>
      <c r="W572" s="18"/>
      <c r="X572" s="18"/>
      <c r="Y572" s="18"/>
      <c r="Z572" s="18"/>
      <c r="AA572" s="18"/>
      <c r="AB572" s="18"/>
    </row>
    <row r="573" spans="1:28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69"/>
      <c r="U573" s="18"/>
      <c r="V573" s="18"/>
      <c r="W573" s="18"/>
      <c r="X573" s="18"/>
      <c r="Y573" s="18"/>
      <c r="Z573" s="18"/>
      <c r="AA573" s="18"/>
      <c r="AB573" s="18"/>
    </row>
    <row r="574" spans="1:28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69"/>
      <c r="U574" s="18"/>
      <c r="V574" s="18"/>
      <c r="W574" s="18"/>
      <c r="X574" s="18"/>
      <c r="Y574" s="18"/>
      <c r="Z574" s="18"/>
      <c r="AA574" s="18"/>
      <c r="AB574" s="18"/>
    </row>
    <row r="575" spans="1:28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69"/>
      <c r="U575" s="18"/>
      <c r="V575" s="18"/>
      <c r="W575" s="18"/>
      <c r="X575" s="18"/>
      <c r="Y575" s="18"/>
      <c r="Z575" s="18"/>
      <c r="AA575" s="18"/>
      <c r="AB575" s="18"/>
    </row>
    <row r="576" spans="1:28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69"/>
      <c r="U576" s="18"/>
      <c r="V576" s="18"/>
      <c r="W576" s="18"/>
      <c r="X576" s="18"/>
      <c r="Y576" s="18"/>
      <c r="Z576" s="18"/>
      <c r="AA576" s="18"/>
      <c r="AB576" s="18"/>
    </row>
    <row r="577" spans="1:28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69"/>
      <c r="U577" s="18"/>
      <c r="V577" s="18"/>
      <c r="W577" s="18"/>
      <c r="X577" s="18"/>
      <c r="Y577" s="18"/>
      <c r="Z577" s="18"/>
      <c r="AA577" s="18"/>
      <c r="AB577" s="18"/>
    </row>
    <row r="578" spans="1:28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69"/>
      <c r="U578" s="18"/>
      <c r="V578" s="18"/>
      <c r="W578" s="18"/>
      <c r="X578" s="18"/>
      <c r="Y578" s="18"/>
      <c r="Z578" s="18"/>
      <c r="AA578" s="18"/>
      <c r="AB578" s="18"/>
    </row>
    <row r="579" spans="1:28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69"/>
      <c r="U579" s="18"/>
      <c r="V579" s="18"/>
      <c r="W579" s="18"/>
      <c r="X579" s="18"/>
      <c r="Y579" s="18"/>
      <c r="Z579" s="18"/>
      <c r="AA579" s="18"/>
      <c r="AB579" s="18"/>
    </row>
    <row r="580" spans="1:28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69"/>
      <c r="U580" s="18"/>
      <c r="V580" s="18"/>
      <c r="W580" s="18"/>
      <c r="X580" s="18"/>
      <c r="Y580" s="18"/>
      <c r="Z580" s="18"/>
      <c r="AA580" s="18"/>
      <c r="AB580" s="18"/>
    </row>
    <row r="581" spans="1:28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69"/>
      <c r="U581" s="18"/>
      <c r="V581" s="18"/>
      <c r="W581" s="18"/>
      <c r="X581" s="18"/>
      <c r="Y581" s="18"/>
      <c r="Z581" s="18"/>
      <c r="AA581" s="18"/>
      <c r="AB581" s="18"/>
    </row>
    <row r="582" spans="1:28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69"/>
      <c r="U582" s="18"/>
      <c r="V582" s="18"/>
      <c r="W582" s="18"/>
      <c r="X582" s="18"/>
      <c r="Y582" s="18"/>
      <c r="Z582" s="18"/>
      <c r="AA582" s="18"/>
      <c r="AB582" s="18"/>
    </row>
    <row r="583" spans="1:28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69"/>
      <c r="U583" s="18"/>
      <c r="V583" s="18"/>
      <c r="W583" s="18"/>
      <c r="X583" s="18"/>
      <c r="Y583" s="18"/>
      <c r="Z583" s="18"/>
      <c r="AA583" s="18"/>
      <c r="AB583" s="18"/>
    </row>
    <row r="584" spans="1:28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69"/>
      <c r="U584" s="18"/>
      <c r="V584" s="18"/>
      <c r="W584" s="18"/>
      <c r="X584" s="18"/>
      <c r="Y584" s="18"/>
      <c r="Z584" s="18"/>
      <c r="AA584" s="18"/>
      <c r="AB584" s="18"/>
    </row>
    <row r="585" spans="1:28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69"/>
      <c r="U585" s="18"/>
      <c r="V585" s="18"/>
      <c r="W585" s="18"/>
      <c r="X585" s="18"/>
      <c r="Y585" s="18"/>
      <c r="Z585" s="18"/>
      <c r="AA585" s="18"/>
      <c r="AB585" s="18"/>
    </row>
    <row r="586" spans="1:28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69"/>
      <c r="U586" s="18"/>
      <c r="V586" s="18"/>
      <c r="W586" s="18"/>
      <c r="X586" s="18"/>
      <c r="Y586" s="18"/>
      <c r="Z586" s="18"/>
      <c r="AA586" s="18"/>
      <c r="AB586" s="18"/>
    </row>
    <row r="587" spans="1:28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69"/>
      <c r="U587" s="18"/>
      <c r="V587" s="18"/>
      <c r="W587" s="18"/>
      <c r="X587" s="18"/>
      <c r="Y587" s="18"/>
      <c r="Z587" s="18"/>
      <c r="AA587" s="18"/>
      <c r="AB587" s="18"/>
    </row>
    <row r="588" spans="1:28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69"/>
      <c r="U588" s="18"/>
      <c r="V588" s="18"/>
      <c r="W588" s="18"/>
      <c r="X588" s="18"/>
      <c r="Y588" s="18"/>
      <c r="Z588" s="18"/>
      <c r="AA588" s="18"/>
      <c r="AB588" s="18"/>
    </row>
    <row r="589" spans="1:28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69"/>
      <c r="U589" s="18"/>
      <c r="V589" s="18"/>
      <c r="W589" s="18"/>
      <c r="X589" s="18"/>
      <c r="Y589" s="18"/>
      <c r="Z589" s="18"/>
      <c r="AA589" s="18"/>
      <c r="AB589" s="18"/>
    </row>
    <row r="590" spans="1:28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69"/>
      <c r="U590" s="18"/>
      <c r="V590" s="18"/>
      <c r="W590" s="18"/>
      <c r="X590" s="18"/>
      <c r="Y590" s="18"/>
      <c r="Z590" s="18"/>
      <c r="AA590" s="18"/>
      <c r="AB590" s="18"/>
    </row>
    <row r="591" spans="1:28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69"/>
      <c r="U591" s="18"/>
      <c r="V591" s="18"/>
      <c r="W591" s="18"/>
      <c r="X591" s="18"/>
      <c r="Y591" s="18"/>
      <c r="Z591" s="18"/>
      <c r="AA591" s="18"/>
      <c r="AB591" s="18"/>
    </row>
    <row r="592" spans="1:28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69"/>
      <c r="U592" s="18"/>
      <c r="V592" s="18"/>
      <c r="W592" s="18"/>
      <c r="X592" s="18"/>
      <c r="Y592" s="18"/>
      <c r="Z592" s="18"/>
      <c r="AA592" s="18"/>
      <c r="AB592" s="18"/>
    </row>
    <row r="593" spans="1:28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69"/>
      <c r="U593" s="18"/>
      <c r="V593" s="18"/>
      <c r="W593" s="18"/>
      <c r="X593" s="18"/>
      <c r="Y593" s="18"/>
      <c r="Z593" s="18"/>
      <c r="AA593" s="18"/>
      <c r="AB593" s="18"/>
    </row>
    <row r="594" spans="1:28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69"/>
      <c r="U594" s="18"/>
      <c r="V594" s="18"/>
      <c r="W594" s="18"/>
      <c r="X594" s="18"/>
      <c r="Y594" s="18"/>
      <c r="Z594" s="18"/>
      <c r="AA594" s="18"/>
      <c r="AB594" s="18"/>
    </row>
    <row r="595" spans="1:28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69"/>
      <c r="U595" s="18"/>
      <c r="V595" s="18"/>
      <c r="W595" s="18"/>
      <c r="X595" s="18"/>
      <c r="Y595" s="18"/>
      <c r="Z595" s="18"/>
      <c r="AA595" s="18"/>
      <c r="AB595" s="18"/>
    </row>
    <row r="596" spans="1:28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69"/>
      <c r="U596" s="18"/>
      <c r="V596" s="18"/>
      <c r="W596" s="18"/>
      <c r="X596" s="18"/>
      <c r="Y596" s="18"/>
      <c r="Z596" s="18"/>
      <c r="AA596" s="18"/>
      <c r="AB596" s="18"/>
    </row>
    <row r="597" spans="1:28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69"/>
      <c r="U597" s="18"/>
      <c r="V597" s="18"/>
      <c r="W597" s="18"/>
      <c r="X597" s="18"/>
      <c r="Y597" s="18"/>
      <c r="Z597" s="18"/>
      <c r="AA597" s="18"/>
      <c r="AB597" s="18"/>
    </row>
    <row r="598" spans="1:28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69"/>
      <c r="U598" s="18"/>
      <c r="V598" s="18"/>
      <c r="W598" s="18"/>
      <c r="X598" s="18"/>
      <c r="Y598" s="18"/>
      <c r="Z598" s="18"/>
      <c r="AA598" s="18"/>
      <c r="AB598" s="18"/>
    </row>
    <row r="599" spans="1:28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69"/>
      <c r="U599" s="18"/>
      <c r="V599" s="18"/>
      <c r="W599" s="18"/>
      <c r="X599" s="18"/>
      <c r="Y599" s="18"/>
      <c r="Z599" s="18"/>
      <c r="AA599" s="18"/>
      <c r="AB599" s="18"/>
    </row>
    <row r="600" spans="1:28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69"/>
      <c r="U600" s="18"/>
      <c r="V600" s="18"/>
      <c r="W600" s="18"/>
      <c r="X600" s="18"/>
      <c r="Y600" s="18"/>
      <c r="Z600" s="18"/>
      <c r="AA600" s="18"/>
      <c r="AB600" s="18"/>
    </row>
    <row r="601" spans="1:28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69"/>
      <c r="U601" s="18"/>
      <c r="V601" s="18"/>
      <c r="W601" s="18"/>
      <c r="X601" s="18"/>
      <c r="Y601" s="18"/>
      <c r="Z601" s="18"/>
      <c r="AA601" s="18"/>
      <c r="AB601" s="18"/>
    </row>
    <row r="602" spans="1:28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69"/>
      <c r="U602" s="18"/>
      <c r="V602" s="18"/>
      <c r="W602" s="18"/>
      <c r="X602" s="18"/>
      <c r="Y602" s="18"/>
      <c r="Z602" s="18"/>
      <c r="AA602" s="18"/>
      <c r="AB602" s="18"/>
    </row>
    <row r="603" spans="1:28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69"/>
      <c r="U603" s="18"/>
      <c r="V603" s="18"/>
      <c r="W603" s="18"/>
      <c r="X603" s="18"/>
      <c r="Y603" s="18"/>
      <c r="Z603" s="18"/>
      <c r="AA603" s="18"/>
      <c r="AB603" s="18"/>
    </row>
    <row r="604" spans="1:28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69"/>
      <c r="U604" s="18"/>
      <c r="V604" s="18"/>
      <c r="W604" s="18"/>
      <c r="X604" s="18"/>
      <c r="Y604" s="18"/>
      <c r="Z604" s="18"/>
      <c r="AA604" s="18"/>
      <c r="AB604" s="18"/>
    </row>
    <row r="605" spans="1:28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69"/>
      <c r="U605" s="18"/>
      <c r="V605" s="18"/>
      <c r="W605" s="18"/>
      <c r="X605" s="18"/>
      <c r="Y605" s="18"/>
      <c r="Z605" s="18"/>
      <c r="AA605" s="18"/>
      <c r="AB605" s="18"/>
    </row>
    <row r="606" spans="1:28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69"/>
      <c r="U606" s="18"/>
      <c r="V606" s="18"/>
      <c r="W606" s="18"/>
      <c r="X606" s="18"/>
      <c r="Y606" s="18"/>
      <c r="Z606" s="18"/>
      <c r="AA606" s="18"/>
      <c r="AB606" s="18"/>
    </row>
    <row r="607" spans="1:28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69"/>
      <c r="U607" s="18"/>
      <c r="V607" s="18"/>
      <c r="W607" s="18"/>
      <c r="X607" s="18"/>
      <c r="Y607" s="18"/>
      <c r="Z607" s="18"/>
      <c r="AA607" s="18"/>
      <c r="AB607" s="18"/>
    </row>
    <row r="608" spans="1:28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69"/>
      <c r="U608" s="18"/>
      <c r="V608" s="18"/>
      <c r="W608" s="18"/>
      <c r="X608" s="18"/>
      <c r="Y608" s="18"/>
      <c r="Z608" s="18"/>
      <c r="AA608" s="18"/>
      <c r="AB608" s="18"/>
    </row>
    <row r="609" spans="1:28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69"/>
      <c r="U609" s="18"/>
      <c r="V609" s="18"/>
      <c r="W609" s="18"/>
      <c r="X609" s="18"/>
      <c r="Y609" s="18"/>
      <c r="Z609" s="18"/>
      <c r="AA609" s="18"/>
      <c r="AB609" s="18"/>
    </row>
    <row r="610" spans="1:28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69"/>
      <c r="U610" s="18"/>
      <c r="V610" s="18"/>
      <c r="W610" s="18"/>
      <c r="X610" s="18"/>
      <c r="Y610" s="18"/>
      <c r="Z610" s="18"/>
      <c r="AA610" s="18"/>
      <c r="AB610" s="18"/>
    </row>
    <row r="611" spans="1:28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69"/>
      <c r="U611" s="18"/>
      <c r="V611" s="18"/>
      <c r="W611" s="18"/>
      <c r="X611" s="18"/>
      <c r="Y611" s="18"/>
      <c r="Z611" s="18"/>
      <c r="AA611" s="18"/>
      <c r="AB611" s="18"/>
    </row>
    <row r="612" spans="1:28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69"/>
      <c r="U612" s="18"/>
      <c r="V612" s="18"/>
      <c r="W612" s="18"/>
      <c r="X612" s="18"/>
      <c r="Y612" s="18"/>
      <c r="Z612" s="18"/>
      <c r="AA612" s="18"/>
      <c r="AB612" s="18"/>
    </row>
    <row r="613" spans="1:28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69"/>
      <c r="U613" s="18"/>
      <c r="V613" s="18"/>
      <c r="W613" s="18"/>
      <c r="X613" s="18"/>
      <c r="Y613" s="18"/>
      <c r="Z613" s="18"/>
      <c r="AA613" s="18"/>
      <c r="AB613" s="18"/>
    </row>
    <row r="614" spans="1:28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69"/>
      <c r="U614" s="18"/>
      <c r="V614" s="18"/>
      <c r="W614" s="18"/>
      <c r="X614" s="18"/>
      <c r="Y614" s="18"/>
      <c r="Z614" s="18"/>
      <c r="AA614" s="18"/>
      <c r="AB614" s="18"/>
    </row>
    <row r="615" spans="1:28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69"/>
      <c r="U615" s="18"/>
      <c r="V615" s="18"/>
      <c r="W615" s="18"/>
      <c r="X615" s="18"/>
      <c r="Y615" s="18"/>
      <c r="Z615" s="18"/>
      <c r="AA615" s="18"/>
      <c r="AB615" s="18"/>
    </row>
    <row r="616" spans="1:28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69"/>
      <c r="U616" s="18"/>
      <c r="V616" s="18"/>
      <c r="W616" s="18"/>
      <c r="X616" s="18"/>
      <c r="Y616" s="18"/>
      <c r="Z616" s="18"/>
      <c r="AA616" s="18"/>
      <c r="AB616" s="18"/>
    </row>
    <row r="617" spans="1:28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69"/>
      <c r="U617" s="18"/>
      <c r="V617" s="18"/>
      <c r="W617" s="18"/>
      <c r="X617" s="18"/>
      <c r="Y617" s="18"/>
      <c r="Z617" s="18"/>
      <c r="AA617" s="18"/>
      <c r="AB617" s="18"/>
    </row>
    <row r="618" spans="1:28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69"/>
      <c r="U618" s="18"/>
      <c r="V618" s="18"/>
      <c r="W618" s="18"/>
      <c r="X618" s="18"/>
      <c r="Y618" s="18"/>
      <c r="Z618" s="18"/>
      <c r="AA618" s="18"/>
      <c r="AB618" s="18"/>
    </row>
    <row r="619" spans="1:28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69"/>
      <c r="U619" s="18"/>
      <c r="V619" s="18"/>
      <c r="W619" s="18"/>
      <c r="X619" s="18"/>
      <c r="Y619" s="18"/>
      <c r="Z619" s="18"/>
      <c r="AA619" s="18"/>
      <c r="AB619" s="18"/>
    </row>
    <row r="620" spans="1:28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69"/>
      <c r="U620" s="18"/>
      <c r="V620" s="18"/>
      <c r="W620" s="18"/>
      <c r="X620" s="18"/>
      <c r="Y620" s="18"/>
      <c r="Z620" s="18"/>
      <c r="AA620" s="18"/>
      <c r="AB620" s="18"/>
    </row>
    <row r="621" spans="1:28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69"/>
      <c r="U621" s="18"/>
      <c r="V621" s="18"/>
      <c r="W621" s="18"/>
      <c r="X621" s="18"/>
      <c r="Y621" s="18"/>
      <c r="Z621" s="18"/>
      <c r="AA621" s="18"/>
      <c r="AB621" s="18"/>
    </row>
    <row r="622" spans="1:28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69"/>
      <c r="U622" s="18"/>
      <c r="V622" s="18"/>
      <c r="W622" s="18"/>
      <c r="X622" s="18"/>
      <c r="Y622" s="18"/>
      <c r="Z622" s="18"/>
      <c r="AA622" s="18"/>
      <c r="AB622" s="18"/>
    </row>
    <row r="623" spans="1:28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69"/>
      <c r="U623" s="18"/>
      <c r="V623" s="18"/>
      <c r="W623" s="18"/>
      <c r="X623" s="18"/>
      <c r="Y623" s="18"/>
      <c r="Z623" s="18"/>
      <c r="AA623" s="18"/>
      <c r="AB623" s="18"/>
    </row>
    <row r="624" spans="1:28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69"/>
      <c r="U624" s="18"/>
      <c r="V624" s="18"/>
      <c r="W624" s="18"/>
      <c r="X624" s="18"/>
      <c r="Y624" s="18"/>
      <c r="Z624" s="18"/>
      <c r="AA624" s="18"/>
      <c r="AB624" s="18"/>
    </row>
    <row r="625" spans="1:28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69"/>
      <c r="U625" s="18"/>
      <c r="V625" s="18"/>
      <c r="W625" s="18"/>
      <c r="X625" s="18"/>
      <c r="Y625" s="18"/>
      <c r="Z625" s="18"/>
      <c r="AA625" s="18"/>
      <c r="AB625" s="18"/>
    </row>
    <row r="626" spans="1:28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69"/>
      <c r="U626" s="18"/>
      <c r="V626" s="18"/>
      <c r="W626" s="18"/>
      <c r="X626" s="18"/>
      <c r="Y626" s="18"/>
      <c r="Z626" s="18"/>
      <c r="AA626" s="18"/>
      <c r="AB626" s="18"/>
    </row>
    <row r="627" spans="1:28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69"/>
      <c r="U627" s="18"/>
      <c r="V627" s="18"/>
      <c r="W627" s="18"/>
      <c r="X627" s="18"/>
      <c r="Y627" s="18"/>
      <c r="Z627" s="18"/>
      <c r="AA627" s="18"/>
      <c r="AB627" s="18"/>
    </row>
    <row r="628" spans="1:28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69"/>
      <c r="U628" s="18"/>
      <c r="V628" s="18"/>
      <c r="W628" s="18"/>
      <c r="X628" s="18"/>
      <c r="Y628" s="18"/>
      <c r="Z628" s="18"/>
      <c r="AA628" s="18"/>
      <c r="AB628" s="18"/>
    </row>
    <row r="629" spans="1:28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69"/>
      <c r="U629" s="18"/>
      <c r="V629" s="18"/>
      <c r="W629" s="18"/>
      <c r="X629" s="18"/>
      <c r="Y629" s="18"/>
      <c r="Z629" s="18"/>
      <c r="AA629" s="18"/>
      <c r="AB629" s="18"/>
    </row>
    <row r="630" spans="1:28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69"/>
      <c r="U630" s="18"/>
      <c r="V630" s="18"/>
      <c r="W630" s="18"/>
      <c r="X630" s="18"/>
      <c r="Y630" s="18"/>
      <c r="Z630" s="18"/>
      <c r="AA630" s="18"/>
      <c r="AB630" s="18"/>
    </row>
    <row r="631" spans="1:28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69"/>
      <c r="U631" s="18"/>
      <c r="V631" s="18"/>
      <c r="W631" s="18"/>
      <c r="X631" s="18"/>
      <c r="Y631" s="18"/>
      <c r="Z631" s="18"/>
      <c r="AA631" s="18"/>
      <c r="AB631" s="18"/>
    </row>
    <row r="632" spans="1:28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69"/>
      <c r="U632" s="18"/>
      <c r="V632" s="18"/>
      <c r="W632" s="18"/>
      <c r="X632" s="18"/>
      <c r="Y632" s="18"/>
      <c r="Z632" s="18"/>
      <c r="AA632" s="18"/>
      <c r="AB632" s="18"/>
    </row>
    <row r="633" spans="1:28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69"/>
      <c r="U633" s="18"/>
      <c r="V633" s="18"/>
      <c r="W633" s="18"/>
      <c r="X633" s="18"/>
      <c r="Y633" s="18"/>
      <c r="Z633" s="18"/>
      <c r="AA633" s="18"/>
      <c r="AB633" s="18"/>
    </row>
    <row r="634" spans="1:28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69"/>
      <c r="U634" s="18"/>
      <c r="V634" s="18"/>
      <c r="W634" s="18"/>
      <c r="X634" s="18"/>
      <c r="Y634" s="18"/>
      <c r="Z634" s="18"/>
      <c r="AA634" s="18"/>
      <c r="AB634" s="18"/>
    </row>
    <row r="635" spans="1:28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69"/>
      <c r="U635" s="18"/>
      <c r="V635" s="18"/>
      <c r="W635" s="18"/>
      <c r="X635" s="18"/>
      <c r="Y635" s="18"/>
      <c r="Z635" s="18"/>
      <c r="AA635" s="18"/>
      <c r="AB635" s="18"/>
    </row>
    <row r="636" spans="1:28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69"/>
      <c r="U636" s="18"/>
      <c r="V636" s="18"/>
      <c r="W636" s="18"/>
      <c r="X636" s="18"/>
      <c r="Y636" s="18"/>
      <c r="Z636" s="18"/>
      <c r="AA636" s="18"/>
      <c r="AB636" s="18"/>
    </row>
    <row r="637" spans="1:28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69"/>
      <c r="U637" s="18"/>
      <c r="V637" s="18"/>
      <c r="W637" s="18"/>
      <c r="X637" s="18"/>
      <c r="Y637" s="18"/>
      <c r="Z637" s="18"/>
      <c r="AA637" s="18"/>
      <c r="AB637" s="18"/>
    </row>
    <row r="638" spans="1:28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69"/>
      <c r="U638" s="18"/>
      <c r="V638" s="18"/>
      <c r="W638" s="18"/>
      <c r="X638" s="18"/>
      <c r="Y638" s="18"/>
      <c r="Z638" s="18"/>
      <c r="AA638" s="18"/>
      <c r="AB638" s="18"/>
    </row>
    <row r="639" spans="1:28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69"/>
      <c r="U639" s="18"/>
      <c r="V639" s="18"/>
      <c r="W639" s="18"/>
      <c r="X639" s="18"/>
      <c r="Y639" s="18"/>
      <c r="Z639" s="18"/>
      <c r="AA639" s="18"/>
      <c r="AB639" s="18"/>
    </row>
    <row r="640" spans="1:28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69"/>
      <c r="U640" s="18"/>
      <c r="V640" s="18"/>
      <c r="W640" s="18"/>
      <c r="X640" s="18"/>
      <c r="Y640" s="18"/>
      <c r="Z640" s="18"/>
      <c r="AA640" s="18"/>
      <c r="AB640" s="18"/>
    </row>
    <row r="641" spans="1:28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69"/>
      <c r="U641" s="18"/>
      <c r="V641" s="18"/>
      <c r="W641" s="18"/>
      <c r="X641" s="18"/>
      <c r="Y641" s="18"/>
      <c r="Z641" s="18"/>
      <c r="AA641" s="18"/>
      <c r="AB641" s="18"/>
    </row>
    <row r="642" spans="1:28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69"/>
      <c r="U642" s="18"/>
      <c r="V642" s="18"/>
      <c r="W642" s="18"/>
      <c r="X642" s="18"/>
      <c r="Y642" s="18"/>
      <c r="Z642" s="18"/>
      <c r="AA642" s="18"/>
      <c r="AB642" s="18"/>
    </row>
    <row r="643" spans="1:28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69"/>
      <c r="U643" s="18"/>
      <c r="V643" s="18"/>
      <c r="W643" s="18"/>
      <c r="X643" s="18"/>
      <c r="Y643" s="18"/>
      <c r="Z643" s="18"/>
      <c r="AA643" s="18"/>
      <c r="AB643" s="18"/>
    </row>
    <row r="644" spans="1:28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69"/>
      <c r="U644" s="18"/>
      <c r="V644" s="18"/>
      <c r="W644" s="18"/>
      <c r="X644" s="18"/>
      <c r="Y644" s="18"/>
      <c r="Z644" s="18"/>
      <c r="AA644" s="18"/>
      <c r="AB644" s="18"/>
    </row>
    <row r="645" spans="1:28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69"/>
      <c r="U645" s="18"/>
      <c r="V645" s="18"/>
      <c r="W645" s="18"/>
      <c r="X645" s="18"/>
      <c r="Y645" s="18"/>
      <c r="Z645" s="18"/>
      <c r="AA645" s="18"/>
      <c r="AB645" s="18"/>
    </row>
    <row r="646" spans="1:28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69"/>
      <c r="U646" s="18"/>
      <c r="V646" s="18"/>
      <c r="W646" s="18"/>
      <c r="X646" s="18"/>
      <c r="Y646" s="18"/>
      <c r="Z646" s="18"/>
      <c r="AA646" s="18"/>
      <c r="AB646" s="18"/>
    </row>
    <row r="647" spans="1:28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69"/>
      <c r="U647" s="18"/>
      <c r="V647" s="18"/>
      <c r="W647" s="18"/>
      <c r="X647" s="18"/>
      <c r="Y647" s="18"/>
      <c r="Z647" s="18"/>
      <c r="AA647" s="18"/>
      <c r="AB647" s="18"/>
    </row>
    <row r="648" spans="1:28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69"/>
      <c r="U648" s="18"/>
      <c r="V648" s="18"/>
      <c r="W648" s="18"/>
      <c r="X648" s="18"/>
      <c r="Y648" s="18"/>
      <c r="Z648" s="18"/>
      <c r="AA648" s="18"/>
      <c r="AB648" s="18"/>
    </row>
    <row r="649" spans="1:28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69"/>
      <c r="U649" s="18"/>
      <c r="V649" s="18"/>
      <c r="W649" s="18"/>
      <c r="X649" s="18"/>
      <c r="Y649" s="18"/>
      <c r="Z649" s="18"/>
      <c r="AA649" s="18"/>
      <c r="AB649" s="18"/>
    </row>
    <row r="650" spans="1:28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69"/>
      <c r="U650" s="18"/>
      <c r="V650" s="18"/>
      <c r="W650" s="18"/>
      <c r="X650" s="18"/>
      <c r="Y650" s="18"/>
      <c r="Z650" s="18"/>
      <c r="AA650" s="18"/>
      <c r="AB650" s="18"/>
    </row>
    <row r="651" spans="1:28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69"/>
      <c r="U651" s="18"/>
      <c r="V651" s="18"/>
      <c r="W651" s="18"/>
      <c r="X651" s="18"/>
      <c r="Y651" s="18"/>
      <c r="Z651" s="18"/>
      <c r="AA651" s="18"/>
      <c r="AB651" s="18"/>
    </row>
    <row r="652" spans="1:28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69"/>
      <c r="U652" s="18"/>
      <c r="V652" s="18"/>
      <c r="W652" s="18"/>
      <c r="X652" s="18"/>
      <c r="Y652" s="18"/>
      <c r="Z652" s="18"/>
      <c r="AA652" s="18"/>
      <c r="AB652" s="18"/>
    </row>
    <row r="653" spans="1:28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69"/>
      <c r="U653" s="18"/>
      <c r="V653" s="18"/>
      <c r="W653" s="18"/>
      <c r="X653" s="18"/>
      <c r="Y653" s="18"/>
      <c r="Z653" s="18"/>
      <c r="AA653" s="18"/>
      <c r="AB653" s="18"/>
    </row>
    <row r="654" spans="1:28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69"/>
      <c r="U654" s="18"/>
      <c r="V654" s="18"/>
      <c r="W654" s="18"/>
      <c r="X654" s="18"/>
      <c r="Y654" s="18"/>
      <c r="Z654" s="18"/>
      <c r="AA654" s="18"/>
      <c r="AB654" s="18"/>
    </row>
    <row r="655" spans="1:28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69"/>
      <c r="U655" s="18"/>
      <c r="V655" s="18"/>
      <c r="W655" s="18"/>
      <c r="X655" s="18"/>
      <c r="Y655" s="18"/>
      <c r="Z655" s="18"/>
      <c r="AA655" s="18"/>
      <c r="AB655" s="18"/>
    </row>
    <row r="656" spans="1:28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69"/>
      <c r="U656" s="18"/>
      <c r="V656" s="18"/>
      <c r="W656" s="18"/>
      <c r="X656" s="18"/>
      <c r="Y656" s="18"/>
      <c r="Z656" s="18"/>
      <c r="AA656" s="18"/>
      <c r="AB656" s="18"/>
    </row>
    <row r="657" spans="1:28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69"/>
      <c r="U657" s="18"/>
      <c r="V657" s="18"/>
      <c r="W657" s="18"/>
      <c r="X657" s="18"/>
      <c r="Y657" s="18"/>
      <c r="Z657" s="18"/>
      <c r="AA657" s="18"/>
      <c r="AB657" s="18"/>
    </row>
    <row r="658" spans="1:28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69"/>
      <c r="U658" s="18"/>
      <c r="V658" s="18"/>
      <c r="W658" s="18"/>
      <c r="X658" s="18"/>
      <c r="Y658" s="18"/>
      <c r="Z658" s="18"/>
      <c r="AA658" s="18"/>
      <c r="AB658" s="18"/>
    </row>
    <row r="659" spans="1:28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69"/>
      <c r="U659" s="18"/>
      <c r="V659" s="18"/>
      <c r="W659" s="18"/>
      <c r="X659" s="18"/>
      <c r="Y659" s="18"/>
      <c r="Z659" s="18"/>
      <c r="AA659" s="18"/>
      <c r="AB659" s="18"/>
    </row>
    <row r="660" spans="1:28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69"/>
      <c r="U660" s="18"/>
      <c r="V660" s="18"/>
      <c r="W660" s="18"/>
      <c r="X660" s="18"/>
      <c r="Y660" s="18"/>
      <c r="Z660" s="18"/>
      <c r="AA660" s="18"/>
      <c r="AB660" s="18"/>
    </row>
    <row r="661" spans="1:28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69"/>
      <c r="U661" s="18"/>
      <c r="V661" s="18"/>
      <c r="W661" s="18"/>
      <c r="X661" s="18"/>
      <c r="Y661" s="18"/>
      <c r="Z661" s="18"/>
      <c r="AA661" s="18"/>
      <c r="AB661" s="18"/>
    </row>
    <row r="662" spans="1:28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69"/>
      <c r="U662" s="18"/>
      <c r="V662" s="18"/>
      <c r="W662" s="18"/>
      <c r="X662" s="18"/>
      <c r="Y662" s="18"/>
      <c r="Z662" s="18"/>
      <c r="AA662" s="18"/>
      <c r="AB662" s="18"/>
    </row>
    <row r="663" spans="1:28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69"/>
      <c r="U663" s="18"/>
      <c r="V663" s="18"/>
      <c r="W663" s="18"/>
      <c r="X663" s="18"/>
      <c r="Y663" s="18"/>
      <c r="Z663" s="18"/>
      <c r="AA663" s="18"/>
      <c r="AB663" s="18"/>
    </row>
    <row r="664" spans="1:28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69"/>
      <c r="U664" s="18"/>
      <c r="V664" s="18"/>
      <c r="W664" s="18"/>
      <c r="X664" s="18"/>
      <c r="Y664" s="18"/>
      <c r="Z664" s="18"/>
      <c r="AA664" s="18"/>
      <c r="AB664" s="18"/>
    </row>
    <row r="665" spans="1:28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69"/>
      <c r="U665" s="18"/>
      <c r="V665" s="18"/>
      <c r="W665" s="18"/>
      <c r="X665" s="18"/>
      <c r="Y665" s="18"/>
      <c r="Z665" s="18"/>
      <c r="AA665" s="18"/>
      <c r="AB665" s="18"/>
    </row>
    <row r="666" spans="1:28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69"/>
      <c r="U666" s="18"/>
      <c r="V666" s="18"/>
      <c r="W666" s="18"/>
      <c r="X666" s="18"/>
      <c r="Y666" s="18"/>
      <c r="Z666" s="18"/>
      <c r="AA666" s="18"/>
      <c r="AB666" s="18"/>
    </row>
    <row r="667" spans="1:28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69"/>
      <c r="U667" s="18"/>
      <c r="V667" s="18"/>
      <c r="W667" s="18"/>
      <c r="X667" s="18"/>
      <c r="Y667" s="18"/>
      <c r="Z667" s="18"/>
      <c r="AA667" s="18"/>
      <c r="AB667" s="18"/>
    </row>
    <row r="668" spans="1:28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69"/>
      <c r="U668" s="18"/>
      <c r="V668" s="18"/>
      <c r="W668" s="18"/>
      <c r="X668" s="18"/>
      <c r="Y668" s="18"/>
      <c r="Z668" s="18"/>
      <c r="AA668" s="18"/>
      <c r="AB668" s="18"/>
    </row>
    <row r="669" spans="1:28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69"/>
      <c r="U669" s="18"/>
      <c r="V669" s="18"/>
      <c r="W669" s="18"/>
      <c r="X669" s="18"/>
      <c r="Y669" s="18"/>
      <c r="Z669" s="18"/>
      <c r="AA669" s="18"/>
      <c r="AB669" s="18"/>
    </row>
    <row r="670" spans="1:28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69"/>
      <c r="U670" s="18"/>
      <c r="V670" s="18"/>
      <c r="W670" s="18"/>
      <c r="X670" s="18"/>
      <c r="Y670" s="18"/>
      <c r="Z670" s="18"/>
      <c r="AA670" s="18"/>
      <c r="AB670" s="18"/>
    </row>
    <row r="671" spans="1:28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69"/>
      <c r="U671" s="18"/>
      <c r="V671" s="18"/>
      <c r="W671" s="18"/>
      <c r="X671" s="18"/>
      <c r="Y671" s="18"/>
      <c r="Z671" s="18"/>
      <c r="AA671" s="18"/>
      <c r="AB671" s="18"/>
    </row>
    <row r="672" spans="1:28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69"/>
      <c r="U672" s="18"/>
      <c r="V672" s="18"/>
      <c r="W672" s="18"/>
      <c r="X672" s="18"/>
      <c r="Y672" s="18"/>
      <c r="Z672" s="18"/>
      <c r="AA672" s="18"/>
      <c r="AB672" s="18"/>
    </row>
    <row r="673" spans="1:28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69"/>
      <c r="U673" s="18"/>
      <c r="V673" s="18"/>
      <c r="W673" s="18"/>
      <c r="X673" s="18"/>
      <c r="Y673" s="18"/>
      <c r="Z673" s="18"/>
      <c r="AA673" s="18"/>
      <c r="AB673" s="18"/>
    </row>
    <row r="674" spans="1:28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69"/>
      <c r="U674" s="18"/>
      <c r="V674" s="18"/>
      <c r="W674" s="18"/>
      <c r="X674" s="18"/>
      <c r="Y674" s="18"/>
      <c r="Z674" s="18"/>
      <c r="AA674" s="18"/>
      <c r="AB674" s="18"/>
    </row>
    <row r="675" spans="1:28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69"/>
      <c r="U675" s="18"/>
      <c r="V675" s="18"/>
      <c r="W675" s="18"/>
      <c r="X675" s="18"/>
      <c r="Y675" s="18"/>
      <c r="Z675" s="18"/>
      <c r="AA675" s="18"/>
      <c r="AB675" s="18"/>
    </row>
    <row r="676" spans="1:28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69"/>
      <c r="U676" s="18"/>
      <c r="V676" s="18"/>
      <c r="W676" s="18"/>
      <c r="X676" s="18"/>
      <c r="Y676" s="18"/>
      <c r="Z676" s="18"/>
      <c r="AA676" s="18"/>
      <c r="AB676" s="18"/>
    </row>
    <row r="677" spans="1:28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69"/>
      <c r="U677" s="18"/>
      <c r="V677" s="18"/>
      <c r="W677" s="18"/>
      <c r="X677" s="18"/>
      <c r="Y677" s="18"/>
      <c r="Z677" s="18"/>
      <c r="AA677" s="18"/>
      <c r="AB677" s="18"/>
    </row>
    <row r="678" spans="1:28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69"/>
      <c r="U678" s="18"/>
      <c r="V678" s="18"/>
      <c r="W678" s="18"/>
      <c r="X678" s="18"/>
      <c r="Y678" s="18"/>
      <c r="Z678" s="18"/>
      <c r="AA678" s="18"/>
      <c r="AB678" s="18"/>
    </row>
    <row r="679" spans="1:28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69"/>
      <c r="U679" s="18"/>
      <c r="V679" s="18"/>
      <c r="W679" s="18"/>
      <c r="X679" s="18"/>
      <c r="Y679" s="18"/>
      <c r="Z679" s="18"/>
      <c r="AA679" s="18"/>
      <c r="AB679" s="18"/>
    </row>
    <row r="680" spans="1:28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69"/>
      <c r="U680" s="18"/>
      <c r="V680" s="18"/>
      <c r="W680" s="18"/>
      <c r="X680" s="18"/>
      <c r="Y680" s="18"/>
      <c r="Z680" s="18"/>
      <c r="AA680" s="18"/>
      <c r="AB680" s="18"/>
    </row>
    <row r="681" spans="1:28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69"/>
      <c r="U681" s="18"/>
      <c r="V681" s="18"/>
      <c r="W681" s="18"/>
      <c r="X681" s="18"/>
      <c r="Y681" s="18"/>
      <c r="Z681" s="18"/>
      <c r="AA681" s="18"/>
      <c r="AB681" s="18"/>
    </row>
    <row r="682" spans="1:28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69"/>
      <c r="U682" s="18"/>
      <c r="V682" s="18"/>
      <c r="W682" s="18"/>
      <c r="X682" s="18"/>
      <c r="Y682" s="18"/>
      <c r="Z682" s="18"/>
      <c r="AA682" s="18"/>
      <c r="AB682" s="18"/>
    </row>
    <row r="683" spans="1:28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69"/>
      <c r="U683" s="18"/>
      <c r="V683" s="18"/>
      <c r="W683" s="18"/>
      <c r="X683" s="18"/>
      <c r="Y683" s="18"/>
      <c r="Z683" s="18"/>
      <c r="AA683" s="18"/>
      <c r="AB683" s="18"/>
    </row>
    <row r="684" spans="1:28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69"/>
      <c r="U684" s="18"/>
      <c r="V684" s="18"/>
      <c r="W684" s="18"/>
      <c r="X684" s="18"/>
      <c r="Y684" s="18"/>
      <c r="Z684" s="18"/>
      <c r="AA684" s="18"/>
      <c r="AB684" s="18"/>
    </row>
    <row r="685" spans="1:28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69"/>
      <c r="U685" s="18"/>
      <c r="V685" s="18"/>
      <c r="W685" s="18"/>
      <c r="X685" s="18"/>
      <c r="Y685" s="18"/>
      <c r="Z685" s="18"/>
      <c r="AA685" s="18"/>
      <c r="AB685" s="18"/>
    </row>
    <row r="686" spans="1:28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69"/>
      <c r="U686" s="18"/>
      <c r="V686" s="18"/>
      <c r="W686" s="18"/>
      <c r="X686" s="18"/>
      <c r="Y686" s="18"/>
      <c r="Z686" s="18"/>
      <c r="AA686" s="18"/>
      <c r="AB686" s="18"/>
    </row>
    <row r="687" spans="1:28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69"/>
      <c r="U687" s="18"/>
      <c r="V687" s="18"/>
      <c r="W687" s="18"/>
      <c r="X687" s="18"/>
      <c r="Y687" s="18"/>
      <c r="Z687" s="18"/>
      <c r="AA687" s="18"/>
      <c r="AB687" s="18"/>
    </row>
    <row r="688" spans="1:28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69"/>
      <c r="U688" s="18"/>
      <c r="V688" s="18"/>
      <c r="W688" s="18"/>
      <c r="X688" s="18"/>
      <c r="Y688" s="18"/>
      <c r="Z688" s="18"/>
      <c r="AA688" s="18"/>
      <c r="AB688" s="18"/>
    </row>
    <row r="689" spans="1:28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69"/>
      <c r="U689" s="18"/>
      <c r="V689" s="18"/>
      <c r="W689" s="18"/>
      <c r="X689" s="18"/>
      <c r="Y689" s="18"/>
      <c r="Z689" s="18"/>
      <c r="AA689" s="18"/>
      <c r="AB689" s="18"/>
    </row>
    <row r="690" spans="1:28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69"/>
      <c r="U690" s="18"/>
      <c r="V690" s="18"/>
      <c r="W690" s="18"/>
      <c r="X690" s="18"/>
      <c r="Y690" s="18"/>
      <c r="Z690" s="18"/>
      <c r="AA690" s="18"/>
      <c r="AB690" s="18"/>
    </row>
    <row r="691" spans="1:28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69"/>
      <c r="U691" s="18"/>
      <c r="V691" s="18"/>
      <c r="W691" s="18"/>
      <c r="X691" s="18"/>
      <c r="Y691" s="18"/>
      <c r="Z691" s="18"/>
      <c r="AA691" s="18"/>
      <c r="AB691" s="18"/>
    </row>
    <row r="692" spans="1:28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69"/>
      <c r="U692" s="18"/>
      <c r="V692" s="18"/>
      <c r="W692" s="18"/>
      <c r="X692" s="18"/>
      <c r="Y692" s="18"/>
      <c r="Z692" s="18"/>
      <c r="AA692" s="18"/>
      <c r="AB692" s="18"/>
    </row>
    <row r="693" spans="1:28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69"/>
      <c r="U693" s="18"/>
      <c r="V693" s="18"/>
      <c r="W693" s="18"/>
      <c r="X693" s="18"/>
      <c r="Y693" s="18"/>
      <c r="Z693" s="18"/>
      <c r="AA693" s="18"/>
      <c r="AB693" s="18"/>
    </row>
    <row r="694" spans="1:28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69"/>
      <c r="U694" s="18"/>
      <c r="V694" s="18"/>
      <c r="W694" s="18"/>
      <c r="X694" s="18"/>
      <c r="Y694" s="18"/>
      <c r="Z694" s="18"/>
      <c r="AA694" s="18"/>
      <c r="AB694" s="18"/>
    </row>
    <row r="695" spans="1:28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69"/>
      <c r="U695" s="18"/>
      <c r="V695" s="18"/>
      <c r="W695" s="18"/>
      <c r="X695" s="18"/>
      <c r="Y695" s="18"/>
      <c r="Z695" s="18"/>
      <c r="AA695" s="18"/>
      <c r="AB695" s="18"/>
    </row>
    <row r="696" spans="1:28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69"/>
      <c r="U696" s="18"/>
      <c r="V696" s="18"/>
      <c r="W696" s="18"/>
      <c r="X696" s="18"/>
      <c r="Y696" s="18"/>
      <c r="Z696" s="18"/>
      <c r="AA696" s="18"/>
      <c r="AB696" s="18"/>
    </row>
    <row r="697" spans="1:28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69"/>
      <c r="U697" s="18"/>
      <c r="V697" s="18"/>
      <c r="W697" s="18"/>
      <c r="X697" s="18"/>
      <c r="Y697" s="18"/>
      <c r="Z697" s="18"/>
      <c r="AA697" s="18"/>
      <c r="AB697" s="18"/>
    </row>
    <row r="698" spans="1:28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69"/>
      <c r="U698" s="18"/>
      <c r="V698" s="18"/>
      <c r="W698" s="18"/>
      <c r="X698" s="18"/>
      <c r="Y698" s="18"/>
      <c r="Z698" s="18"/>
      <c r="AA698" s="18"/>
      <c r="AB698" s="18"/>
    </row>
    <row r="699" spans="1:28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69"/>
      <c r="U699" s="18"/>
      <c r="V699" s="18"/>
      <c r="W699" s="18"/>
      <c r="X699" s="18"/>
      <c r="Y699" s="18"/>
      <c r="Z699" s="18"/>
      <c r="AA699" s="18"/>
      <c r="AB699" s="18"/>
    </row>
    <row r="700" spans="1:28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69"/>
      <c r="U700" s="18"/>
      <c r="V700" s="18"/>
      <c r="W700" s="18"/>
      <c r="X700" s="18"/>
      <c r="Y700" s="18"/>
      <c r="Z700" s="18"/>
      <c r="AA700" s="18"/>
      <c r="AB700" s="18"/>
    </row>
    <row r="701" spans="1:28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69"/>
      <c r="U701" s="18"/>
      <c r="V701" s="18"/>
      <c r="W701" s="18"/>
      <c r="X701" s="18"/>
      <c r="Y701" s="18"/>
      <c r="Z701" s="18"/>
      <c r="AA701" s="18"/>
      <c r="AB701" s="18"/>
    </row>
    <row r="702" spans="1:28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69"/>
      <c r="U702" s="18"/>
      <c r="V702" s="18"/>
      <c r="W702" s="18"/>
      <c r="X702" s="18"/>
      <c r="Y702" s="18"/>
      <c r="Z702" s="18"/>
      <c r="AA702" s="18"/>
      <c r="AB702" s="18"/>
    </row>
    <row r="703" spans="1:28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69"/>
      <c r="U703" s="18"/>
      <c r="V703" s="18"/>
      <c r="W703" s="18"/>
      <c r="X703" s="18"/>
      <c r="Y703" s="18"/>
      <c r="Z703" s="18"/>
      <c r="AA703" s="18"/>
      <c r="AB703" s="18"/>
    </row>
    <row r="704" spans="1:28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69"/>
      <c r="U704" s="18"/>
      <c r="V704" s="18"/>
      <c r="W704" s="18"/>
      <c r="X704" s="18"/>
      <c r="Y704" s="18"/>
      <c r="Z704" s="18"/>
      <c r="AA704" s="18"/>
      <c r="AB704" s="18"/>
    </row>
    <row r="705" spans="1:28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69"/>
      <c r="U705" s="18"/>
      <c r="V705" s="18"/>
      <c r="W705" s="18"/>
      <c r="X705" s="18"/>
      <c r="Y705" s="18"/>
      <c r="Z705" s="18"/>
      <c r="AA705" s="18"/>
      <c r="AB705" s="18"/>
    </row>
    <row r="706" spans="1:28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69"/>
      <c r="U706" s="18"/>
      <c r="V706" s="18"/>
      <c r="W706" s="18"/>
      <c r="X706" s="18"/>
      <c r="Y706" s="18"/>
      <c r="Z706" s="18"/>
      <c r="AA706" s="18"/>
      <c r="AB706" s="18"/>
    </row>
    <row r="707" spans="1:28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69"/>
      <c r="U707" s="18"/>
      <c r="V707" s="18"/>
      <c r="W707" s="18"/>
      <c r="X707" s="18"/>
      <c r="Y707" s="18"/>
      <c r="Z707" s="18"/>
      <c r="AA707" s="18"/>
      <c r="AB707" s="18"/>
    </row>
    <row r="708" spans="1:28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69"/>
      <c r="U708" s="18"/>
      <c r="V708" s="18"/>
      <c r="W708" s="18"/>
      <c r="X708" s="18"/>
      <c r="Y708" s="18"/>
      <c r="Z708" s="18"/>
      <c r="AA708" s="18"/>
      <c r="AB708" s="18"/>
    </row>
    <row r="709" spans="1:28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69"/>
      <c r="U709" s="18"/>
      <c r="V709" s="18"/>
      <c r="W709" s="18"/>
      <c r="X709" s="18"/>
      <c r="Y709" s="18"/>
      <c r="Z709" s="18"/>
      <c r="AA709" s="18"/>
      <c r="AB709" s="18"/>
    </row>
    <row r="710" spans="1:28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69"/>
      <c r="U710" s="18"/>
      <c r="V710" s="18"/>
      <c r="W710" s="18"/>
      <c r="X710" s="18"/>
      <c r="Y710" s="18"/>
      <c r="Z710" s="18"/>
      <c r="AA710" s="18"/>
      <c r="AB710" s="18"/>
    </row>
    <row r="711" spans="1:28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69"/>
      <c r="U711" s="18"/>
      <c r="V711" s="18"/>
      <c r="W711" s="18"/>
      <c r="X711" s="18"/>
      <c r="Y711" s="18"/>
      <c r="Z711" s="18"/>
      <c r="AA711" s="18"/>
      <c r="AB711" s="18"/>
    </row>
    <row r="712" spans="1:28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69"/>
      <c r="U712" s="18"/>
      <c r="V712" s="18"/>
      <c r="W712" s="18"/>
      <c r="X712" s="18"/>
      <c r="Y712" s="18"/>
      <c r="Z712" s="18"/>
      <c r="AA712" s="18"/>
      <c r="AB712" s="18"/>
    </row>
    <row r="713" spans="1:28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69"/>
      <c r="U713" s="18"/>
      <c r="V713" s="18"/>
      <c r="W713" s="18"/>
      <c r="X713" s="18"/>
      <c r="Y713" s="18"/>
      <c r="Z713" s="18"/>
      <c r="AA713" s="18"/>
      <c r="AB713" s="18"/>
    </row>
    <row r="714" spans="1:28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69"/>
      <c r="U714" s="18"/>
      <c r="V714" s="18"/>
      <c r="W714" s="18"/>
      <c r="X714" s="18"/>
      <c r="Y714" s="18"/>
      <c r="Z714" s="18"/>
      <c r="AA714" s="18"/>
      <c r="AB714" s="18"/>
    </row>
    <row r="715" spans="1:28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69"/>
      <c r="U715" s="18"/>
      <c r="V715" s="18"/>
      <c r="W715" s="18"/>
      <c r="X715" s="18"/>
      <c r="Y715" s="18"/>
      <c r="Z715" s="18"/>
      <c r="AA715" s="18"/>
      <c r="AB715" s="18"/>
    </row>
    <row r="716" spans="1:28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69"/>
      <c r="U716" s="18"/>
      <c r="V716" s="18"/>
      <c r="W716" s="18"/>
      <c r="X716" s="18"/>
      <c r="Y716" s="18"/>
      <c r="Z716" s="18"/>
      <c r="AA716" s="18"/>
      <c r="AB716" s="18"/>
    </row>
    <row r="717" spans="1:28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69"/>
      <c r="U717" s="18"/>
      <c r="V717" s="18"/>
      <c r="W717" s="18"/>
      <c r="X717" s="18"/>
      <c r="Y717" s="18"/>
      <c r="Z717" s="18"/>
      <c r="AA717" s="18"/>
      <c r="AB717" s="18"/>
    </row>
    <row r="718" spans="1:28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69"/>
      <c r="U718" s="18"/>
      <c r="V718" s="18"/>
      <c r="W718" s="18"/>
      <c r="X718" s="18"/>
      <c r="Y718" s="18"/>
      <c r="Z718" s="18"/>
      <c r="AA718" s="18"/>
      <c r="AB718" s="18"/>
    </row>
    <row r="719" spans="1:28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69"/>
      <c r="U719" s="18"/>
      <c r="V719" s="18"/>
      <c r="W719" s="18"/>
      <c r="X719" s="18"/>
      <c r="Y719" s="18"/>
      <c r="Z719" s="18"/>
      <c r="AA719" s="18"/>
      <c r="AB719" s="18"/>
    </row>
    <row r="720" spans="1:28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69"/>
      <c r="U720" s="18"/>
      <c r="V720" s="18"/>
      <c r="W720" s="18"/>
      <c r="X720" s="18"/>
      <c r="Y720" s="18"/>
      <c r="Z720" s="18"/>
      <c r="AA720" s="18"/>
      <c r="AB720" s="18"/>
    </row>
    <row r="721" spans="1:28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69"/>
      <c r="U721" s="18"/>
      <c r="V721" s="18"/>
      <c r="W721" s="18"/>
      <c r="X721" s="18"/>
      <c r="Y721" s="18"/>
      <c r="Z721" s="18"/>
      <c r="AA721" s="18"/>
      <c r="AB721" s="18"/>
    </row>
    <row r="722" spans="1:28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69"/>
      <c r="U722" s="18"/>
      <c r="V722" s="18"/>
      <c r="W722" s="18"/>
      <c r="X722" s="18"/>
      <c r="Y722" s="18"/>
      <c r="Z722" s="18"/>
      <c r="AA722" s="18"/>
      <c r="AB722" s="18"/>
    </row>
    <row r="723" spans="1:28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69"/>
      <c r="U723" s="18"/>
      <c r="V723" s="18"/>
      <c r="W723" s="18"/>
      <c r="X723" s="18"/>
      <c r="Y723" s="18"/>
      <c r="Z723" s="18"/>
      <c r="AA723" s="18"/>
      <c r="AB723" s="18"/>
    </row>
    <row r="724" spans="1:28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69"/>
      <c r="U724" s="18"/>
      <c r="V724" s="18"/>
      <c r="W724" s="18"/>
      <c r="X724" s="18"/>
      <c r="Y724" s="18"/>
      <c r="Z724" s="18"/>
      <c r="AA724" s="18"/>
      <c r="AB724" s="18"/>
    </row>
    <row r="725" spans="1:28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69"/>
      <c r="U725" s="18"/>
      <c r="V725" s="18"/>
      <c r="W725" s="18"/>
      <c r="X725" s="18"/>
      <c r="Y725" s="18"/>
      <c r="Z725" s="18"/>
      <c r="AA725" s="18"/>
      <c r="AB725" s="18"/>
    </row>
    <row r="726" spans="1:28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69"/>
      <c r="U726" s="18"/>
      <c r="V726" s="18"/>
      <c r="W726" s="18"/>
      <c r="X726" s="18"/>
      <c r="Y726" s="18"/>
      <c r="Z726" s="18"/>
      <c r="AA726" s="18"/>
      <c r="AB726" s="18"/>
    </row>
    <row r="727" spans="1:28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69"/>
      <c r="U727" s="18"/>
      <c r="V727" s="18"/>
      <c r="W727" s="18"/>
      <c r="X727" s="18"/>
      <c r="Y727" s="18"/>
      <c r="Z727" s="18"/>
      <c r="AA727" s="18"/>
      <c r="AB727" s="18"/>
    </row>
    <row r="728" spans="1:28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69"/>
      <c r="U728" s="18"/>
      <c r="V728" s="18"/>
      <c r="W728" s="18"/>
      <c r="X728" s="18"/>
      <c r="Y728" s="18"/>
      <c r="Z728" s="18"/>
      <c r="AA728" s="18"/>
      <c r="AB728" s="18"/>
    </row>
    <row r="729" spans="1:28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69"/>
      <c r="U729" s="18"/>
      <c r="V729" s="18"/>
      <c r="W729" s="18"/>
      <c r="X729" s="18"/>
      <c r="Y729" s="18"/>
      <c r="Z729" s="18"/>
      <c r="AA729" s="18"/>
      <c r="AB729" s="18"/>
    </row>
    <row r="730" spans="1:28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69"/>
      <c r="U730" s="18"/>
      <c r="V730" s="18"/>
      <c r="W730" s="18"/>
      <c r="X730" s="18"/>
      <c r="Y730" s="18"/>
      <c r="Z730" s="18"/>
      <c r="AA730" s="18"/>
      <c r="AB730" s="18"/>
    </row>
    <row r="731" spans="1:28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69"/>
      <c r="U731" s="18"/>
      <c r="V731" s="18"/>
      <c r="W731" s="18"/>
      <c r="X731" s="18"/>
      <c r="Y731" s="18"/>
      <c r="Z731" s="18"/>
      <c r="AA731" s="18"/>
      <c r="AB731" s="18"/>
    </row>
    <row r="732" spans="1:28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69"/>
      <c r="U732" s="18"/>
      <c r="V732" s="18"/>
      <c r="W732" s="18"/>
      <c r="X732" s="18"/>
      <c r="Y732" s="18"/>
      <c r="Z732" s="18"/>
      <c r="AA732" s="18"/>
      <c r="AB732" s="18"/>
    </row>
    <row r="733" spans="1:28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69"/>
      <c r="U733" s="18"/>
      <c r="V733" s="18"/>
      <c r="W733" s="18"/>
      <c r="X733" s="18"/>
      <c r="Y733" s="18"/>
      <c r="Z733" s="18"/>
      <c r="AA733" s="18"/>
      <c r="AB733" s="18"/>
    </row>
    <row r="734" spans="1:28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69"/>
      <c r="U734" s="18"/>
      <c r="V734" s="18"/>
      <c r="W734" s="18"/>
      <c r="X734" s="18"/>
      <c r="Y734" s="18"/>
      <c r="Z734" s="18"/>
      <c r="AA734" s="18"/>
      <c r="AB734" s="18"/>
    </row>
    <row r="735" spans="1:28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69"/>
      <c r="U735" s="18"/>
      <c r="V735" s="18"/>
      <c r="W735" s="18"/>
      <c r="X735" s="18"/>
      <c r="Y735" s="18"/>
      <c r="Z735" s="18"/>
      <c r="AA735" s="18"/>
      <c r="AB735" s="18"/>
    </row>
    <row r="736" spans="1:28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69"/>
      <c r="U736" s="18"/>
      <c r="V736" s="18"/>
      <c r="W736" s="18"/>
      <c r="X736" s="18"/>
      <c r="Y736" s="18"/>
      <c r="Z736" s="18"/>
      <c r="AA736" s="18"/>
      <c r="AB736" s="18"/>
    </row>
    <row r="737" spans="1:28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69"/>
      <c r="U737" s="18"/>
      <c r="V737" s="18"/>
      <c r="W737" s="18"/>
      <c r="X737" s="18"/>
      <c r="Y737" s="18"/>
      <c r="Z737" s="18"/>
      <c r="AA737" s="18"/>
      <c r="AB737" s="18"/>
    </row>
    <row r="738" spans="1:28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69"/>
      <c r="U738" s="18"/>
      <c r="V738" s="18"/>
      <c r="W738" s="18"/>
      <c r="X738" s="18"/>
      <c r="Y738" s="18"/>
      <c r="Z738" s="18"/>
      <c r="AA738" s="18"/>
      <c r="AB738" s="18"/>
    </row>
    <row r="739" spans="1:28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69"/>
      <c r="U739" s="18"/>
      <c r="V739" s="18"/>
      <c r="W739" s="18"/>
      <c r="X739" s="18"/>
      <c r="Y739" s="18"/>
      <c r="Z739" s="18"/>
      <c r="AA739" s="18"/>
      <c r="AB739" s="18"/>
    </row>
    <row r="740" spans="1:28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69"/>
      <c r="U740" s="18"/>
      <c r="V740" s="18"/>
      <c r="W740" s="18"/>
      <c r="X740" s="18"/>
      <c r="Y740" s="18"/>
      <c r="Z740" s="18"/>
      <c r="AA740" s="18"/>
      <c r="AB740" s="18"/>
    </row>
    <row r="741" spans="1:28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69"/>
      <c r="U741" s="18"/>
      <c r="V741" s="18"/>
      <c r="W741" s="18"/>
      <c r="X741" s="18"/>
      <c r="Y741" s="18"/>
      <c r="Z741" s="18"/>
      <c r="AA741" s="18"/>
      <c r="AB741" s="18"/>
    </row>
    <row r="742" spans="1:28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69"/>
      <c r="U742" s="18"/>
      <c r="V742" s="18"/>
      <c r="W742" s="18"/>
      <c r="X742" s="18"/>
      <c r="Y742" s="18"/>
      <c r="Z742" s="18"/>
      <c r="AA742" s="18"/>
      <c r="AB742" s="18"/>
    </row>
    <row r="743" spans="1:28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69"/>
      <c r="U743" s="18"/>
      <c r="V743" s="18"/>
      <c r="W743" s="18"/>
      <c r="X743" s="18"/>
      <c r="Y743" s="18"/>
      <c r="Z743" s="18"/>
      <c r="AA743" s="18"/>
      <c r="AB743" s="18"/>
    </row>
    <row r="744" spans="1:28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69"/>
      <c r="U744" s="18"/>
      <c r="V744" s="18"/>
      <c r="W744" s="18"/>
      <c r="X744" s="18"/>
      <c r="Y744" s="18"/>
      <c r="Z744" s="18"/>
      <c r="AA744" s="18"/>
      <c r="AB744" s="18"/>
    </row>
    <row r="745" spans="1:28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69"/>
      <c r="U745" s="18"/>
      <c r="V745" s="18"/>
      <c r="W745" s="18"/>
      <c r="X745" s="18"/>
      <c r="Y745" s="18"/>
      <c r="Z745" s="18"/>
      <c r="AA745" s="18"/>
      <c r="AB745" s="18"/>
    </row>
    <row r="746" spans="1:28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69"/>
      <c r="U746" s="18"/>
      <c r="V746" s="18"/>
      <c r="W746" s="18"/>
      <c r="X746" s="18"/>
      <c r="Y746" s="18"/>
      <c r="Z746" s="18"/>
      <c r="AA746" s="18"/>
      <c r="AB746" s="18"/>
    </row>
    <row r="747" spans="1:28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69"/>
      <c r="U747" s="18"/>
      <c r="V747" s="18"/>
      <c r="W747" s="18"/>
      <c r="X747" s="18"/>
      <c r="Y747" s="18"/>
      <c r="Z747" s="18"/>
      <c r="AA747" s="18"/>
      <c r="AB747" s="18"/>
    </row>
    <row r="748" spans="1:28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69"/>
      <c r="U748" s="18"/>
      <c r="V748" s="18"/>
      <c r="W748" s="18"/>
      <c r="X748" s="18"/>
      <c r="Y748" s="18"/>
      <c r="Z748" s="18"/>
      <c r="AA748" s="18"/>
      <c r="AB748" s="18"/>
    </row>
    <row r="749" spans="1:28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69"/>
      <c r="U749" s="18"/>
      <c r="V749" s="18"/>
      <c r="W749" s="18"/>
      <c r="X749" s="18"/>
      <c r="Y749" s="18"/>
      <c r="Z749" s="18"/>
      <c r="AA749" s="18"/>
      <c r="AB749" s="18"/>
    </row>
    <row r="750" spans="1:28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69"/>
      <c r="U750" s="18"/>
      <c r="V750" s="18"/>
      <c r="W750" s="18"/>
      <c r="X750" s="18"/>
      <c r="Y750" s="18"/>
      <c r="Z750" s="18"/>
      <c r="AA750" s="18"/>
      <c r="AB750" s="18"/>
    </row>
    <row r="751" spans="1:28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69"/>
      <c r="U751" s="18"/>
      <c r="V751" s="18"/>
      <c r="W751" s="18"/>
      <c r="X751" s="18"/>
      <c r="Y751" s="18"/>
      <c r="Z751" s="18"/>
      <c r="AA751" s="18"/>
      <c r="AB751" s="18"/>
    </row>
    <row r="752" spans="1:28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69"/>
      <c r="U752" s="18"/>
      <c r="V752" s="18"/>
      <c r="W752" s="18"/>
      <c r="X752" s="18"/>
      <c r="Y752" s="18"/>
      <c r="Z752" s="18"/>
      <c r="AA752" s="18"/>
      <c r="AB752" s="18"/>
    </row>
    <row r="753" spans="1:28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69"/>
      <c r="U753" s="18"/>
      <c r="V753" s="18"/>
      <c r="W753" s="18"/>
      <c r="X753" s="18"/>
      <c r="Y753" s="18"/>
      <c r="Z753" s="18"/>
      <c r="AA753" s="18"/>
      <c r="AB753" s="18"/>
    </row>
    <row r="754" spans="1:28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69"/>
      <c r="U754" s="18"/>
      <c r="V754" s="18"/>
      <c r="W754" s="18"/>
      <c r="X754" s="18"/>
      <c r="Y754" s="18"/>
      <c r="Z754" s="18"/>
      <c r="AA754" s="18"/>
      <c r="AB754" s="18"/>
    </row>
    <row r="755" spans="1:28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69"/>
      <c r="U755" s="18"/>
      <c r="V755" s="18"/>
      <c r="W755" s="18"/>
      <c r="X755" s="18"/>
      <c r="Y755" s="18"/>
      <c r="Z755" s="18"/>
      <c r="AA755" s="18"/>
      <c r="AB755" s="18"/>
    </row>
    <row r="756" spans="1:28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69"/>
      <c r="U756" s="18"/>
      <c r="V756" s="18"/>
      <c r="W756" s="18"/>
      <c r="X756" s="18"/>
      <c r="Y756" s="18"/>
      <c r="Z756" s="18"/>
      <c r="AA756" s="18"/>
      <c r="AB756" s="18"/>
    </row>
    <row r="757" spans="1:28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69"/>
      <c r="U757" s="18"/>
      <c r="V757" s="18"/>
      <c r="W757" s="18"/>
      <c r="X757" s="18"/>
      <c r="Y757" s="18"/>
      <c r="Z757" s="18"/>
      <c r="AA757" s="18"/>
      <c r="AB757" s="18"/>
    </row>
    <row r="758" spans="1:28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69"/>
      <c r="U758" s="18"/>
      <c r="V758" s="18"/>
      <c r="W758" s="18"/>
      <c r="X758" s="18"/>
      <c r="Y758" s="18"/>
      <c r="Z758" s="18"/>
      <c r="AA758" s="18"/>
      <c r="AB758" s="18"/>
    </row>
    <row r="759" spans="1:28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69"/>
      <c r="U759" s="18"/>
      <c r="V759" s="18"/>
      <c r="W759" s="18"/>
      <c r="X759" s="18"/>
      <c r="Y759" s="18"/>
      <c r="Z759" s="18"/>
      <c r="AA759" s="18"/>
      <c r="AB759" s="18"/>
    </row>
    <row r="760" spans="1:28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69"/>
      <c r="U760" s="18"/>
      <c r="V760" s="18"/>
      <c r="W760" s="18"/>
      <c r="X760" s="18"/>
      <c r="Y760" s="18"/>
      <c r="Z760" s="18"/>
      <c r="AA760" s="18"/>
      <c r="AB760" s="18"/>
    </row>
    <row r="761" spans="1:28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69"/>
      <c r="U761" s="18"/>
      <c r="V761" s="18"/>
      <c r="W761" s="18"/>
      <c r="X761" s="18"/>
      <c r="Y761" s="18"/>
      <c r="Z761" s="18"/>
      <c r="AA761" s="18"/>
      <c r="AB761" s="18"/>
    </row>
    <row r="762" spans="1:28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69"/>
      <c r="U762" s="18"/>
      <c r="V762" s="18"/>
      <c r="W762" s="18"/>
      <c r="X762" s="18"/>
      <c r="Y762" s="18"/>
      <c r="Z762" s="18"/>
      <c r="AA762" s="18"/>
      <c r="AB762" s="18"/>
    </row>
    <row r="763" spans="1:28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69"/>
      <c r="U763" s="18"/>
      <c r="V763" s="18"/>
      <c r="W763" s="18"/>
      <c r="X763" s="18"/>
      <c r="Y763" s="18"/>
      <c r="Z763" s="18"/>
      <c r="AA763" s="18"/>
      <c r="AB763" s="18"/>
    </row>
    <row r="764" spans="1:28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69"/>
      <c r="U764" s="18"/>
      <c r="V764" s="18"/>
      <c r="W764" s="18"/>
      <c r="X764" s="18"/>
      <c r="Y764" s="18"/>
      <c r="Z764" s="18"/>
      <c r="AA764" s="18"/>
      <c r="AB764" s="18"/>
    </row>
    <row r="765" spans="1:28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69"/>
      <c r="U765" s="18"/>
      <c r="V765" s="18"/>
      <c r="W765" s="18"/>
      <c r="X765" s="18"/>
      <c r="Y765" s="18"/>
      <c r="Z765" s="18"/>
      <c r="AA765" s="18"/>
      <c r="AB765" s="18"/>
    </row>
    <row r="766" spans="1:28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69"/>
      <c r="U766" s="18"/>
      <c r="V766" s="18"/>
      <c r="W766" s="18"/>
      <c r="X766" s="18"/>
      <c r="Y766" s="18"/>
      <c r="Z766" s="18"/>
      <c r="AA766" s="18"/>
      <c r="AB766" s="18"/>
    </row>
    <row r="767" spans="1:28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69"/>
      <c r="U767" s="18"/>
      <c r="V767" s="18"/>
      <c r="W767" s="18"/>
      <c r="X767" s="18"/>
      <c r="Y767" s="18"/>
      <c r="Z767" s="18"/>
      <c r="AA767" s="18"/>
      <c r="AB767" s="18"/>
    </row>
    <row r="768" spans="1:28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69"/>
      <c r="U768" s="18"/>
      <c r="V768" s="18"/>
      <c r="W768" s="18"/>
      <c r="X768" s="18"/>
      <c r="Y768" s="18"/>
      <c r="Z768" s="18"/>
      <c r="AA768" s="18"/>
      <c r="AB768" s="18"/>
    </row>
    <row r="769" spans="1:28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69"/>
      <c r="U769" s="18"/>
      <c r="V769" s="18"/>
      <c r="W769" s="18"/>
      <c r="X769" s="18"/>
      <c r="Y769" s="18"/>
      <c r="Z769" s="18"/>
      <c r="AA769" s="18"/>
      <c r="AB769" s="18"/>
    </row>
    <row r="770" spans="1:28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69"/>
      <c r="U770" s="18"/>
      <c r="V770" s="18"/>
      <c r="W770" s="18"/>
      <c r="X770" s="18"/>
      <c r="Y770" s="18"/>
      <c r="Z770" s="18"/>
      <c r="AA770" s="18"/>
      <c r="AB770" s="18"/>
    </row>
    <row r="771" spans="1:28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69"/>
      <c r="U771" s="18"/>
      <c r="V771" s="18"/>
      <c r="W771" s="18"/>
      <c r="X771" s="18"/>
      <c r="Y771" s="18"/>
      <c r="Z771" s="18"/>
      <c r="AA771" s="18"/>
      <c r="AB771" s="18"/>
    </row>
    <row r="772" spans="1:28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69"/>
      <c r="U772" s="18"/>
      <c r="V772" s="18"/>
      <c r="W772" s="18"/>
      <c r="X772" s="18"/>
      <c r="Y772" s="18"/>
      <c r="Z772" s="18"/>
      <c r="AA772" s="18"/>
      <c r="AB772" s="18"/>
    </row>
    <row r="773" spans="1:28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69"/>
      <c r="U773" s="18"/>
      <c r="V773" s="18"/>
      <c r="W773" s="18"/>
      <c r="X773" s="18"/>
      <c r="Y773" s="18"/>
      <c r="Z773" s="18"/>
      <c r="AA773" s="18"/>
      <c r="AB773" s="18"/>
    </row>
    <row r="774" spans="1:28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69"/>
      <c r="U774" s="18"/>
      <c r="V774" s="18"/>
      <c r="W774" s="18"/>
      <c r="X774" s="18"/>
      <c r="Y774" s="18"/>
      <c r="Z774" s="18"/>
      <c r="AA774" s="18"/>
      <c r="AB774" s="18"/>
    </row>
    <row r="775" spans="1:28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69"/>
      <c r="U775" s="18"/>
      <c r="V775" s="18"/>
      <c r="W775" s="18"/>
      <c r="X775" s="18"/>
      <c r="Y775" s="18"/>
      <c r="Z775" s="18"/>
      <c r="AA775" s="18"/>
      <c r="AB775" s="18"/>
    </row>
    <row r="776" spans="1:28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69"/>
      <c r="U776" s="18"/>
      <c r="V776" s="18"/>
      <c r="W776" s="18"/>
      <c r="X776" s="18"/>
      <c r="Y776" s="18"/>
      <c r="Z776" s="18"/>
      <c r="AA776" s="18"/>
      <c r="AB776" s="18"/>
    </row>
    <row r="777" spans="1:28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69"/>
      <c r="U777" s="18"/>
      <c r="V777" s="18"/>
      <c r="W777" s="18"/>
      <c r="X777" s="18"/>
      <c r="Y777" s="18"/>
      <c r="Z777" s="18"/>
      <c r="AA777" s="18"/>
      <c r="AB777" s="18"/>
    </row>
    <row r="778" spans="1:28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69"/>
      <c r="U778" s="18"/>
      <c r="V778" s="18"/>
      <c r="W778" s="18"/>
      <c r="X778" s="18"/>
      <c r="Y778" s="18"/>
      <c r="Z778" s="18"/>
      <c r="AA778" s="18"/>
      <c r="AB778" s="18"/>
    </row>
    <row r="779" spans="1:28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69"/>
      <c r="U779" s="18"/>
      <c r="V779" s="18"/>
      <c r="W779" s="18"/>
      <c r="X779" s="18"/>
      <c r="Y779" s="18"/>
      <c r="Z779" s="18"/>
      <c r="AA779" s="18"/>
      <c r="AB779" s="18"/>
    </row>
    <row r="780" spans="1:28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69"/>
      <c r="U780" s="18"/>
      <c r="V780" s="18"/>
      <c r="W780" s="18"/>
      <c r="X780" s="18"/>
      <c r="Y780" s="18"/>
      <c r="Z780" s="18"/>
      <c r="AA780" s="18"/>
      <c r="AB780" s="18"/>
    </row>
    <row r="781" spans="1:28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69"/>
      <c r="U781" s="18"/>
      <c r="V781" s="18"/>
      <c r="W781" s="18"/>
      <c r="X781" s="18"/>
      <c r="Y781" s="18"/>
      <c r="Z781" s="18"/>
      <c r="AA781" s="18"/>
      <c r="AB781" s="18"/>
    </row>
    <row r="782" spans="1:28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69"/>
      <c r="U782" s="18"/>
      <c r="V782" s="18"/>
      <c r="W782" s="18"/>
      <c r="X782" s="18"/>
      <c r="Y782" s="18"/>
      <c r="Z782" s="18"/>
      <c r="AA782" s="18"/>
      <c r="AB782" s="18"/>
    </row>
    <row r="783" spans="1:28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69"/>
      <c r="U783" s="18"/>
      <c r="V783" s="18"/>
      <c r="W783" s="18"/>
      <c r="X783" s="18"/>
      <c r="Y783" s="18"/>
      <c r="Z783" s="18"/>
      <c r="AA783" s="18"/>
      <c r="AB783" s="18"/>
    </row>
    <row r="784" spans="1:28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69"/>
      <c r="U784" s="18"/>
      <c r="V784" s="18"/>
      <c r="W784" s="18"/>
      <c r="X784" s="18"/>
      <c r="Y784" s="18"/>
      <c r="Z784" s="18"/>
      <c r="AA784" s="18"/>
      <c r="AB784" s="18"/>
    </row>
    <row r="785" spans="1:28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69"/>
      <c r="U785" s="18"/>
      <c r="V785" s="18"/>
      <c r="W785" s="18"/>
      <c r="X785" s="18"/>
      <c r="Y785" s="18"/>
      <c r="Z785" s="18"/>
      <c r="AA785" s="18"/>
      <c r="AB785" s="18"/>
    </row>
    <row r="786" spans="1:28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69"/>
      <c r="U786" s="18"/>
      <c r="V786" s="18"/>
      <c r="W786" s="18"/>
      <c r="X786" s="18"/>
      <c r="Y786" s="18"/>
      <c r="Z786" s="18"/>
      <c r="AA786" s="18"/>
      <c r="AB786" s="18"/>
    </row>
    <row r="787" spans="1:28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69"/>
      <c r="U787" s="18"/>
      <c r="V787" s="18"/>
      <c r="W787" s="18"/>
      <c r="X787" s="18"/>
      <c r="Y787" s="18"/>
      <c r="Z787" s="18"/>
      <c r="AA787" s="18"/>
      <c r="AB787" s="18"/>
    </row>
    <row r="788" spans="1:28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69"/>
      <c r="U788" s="18"/>
      <c r="V788" s="18"/>
      <c r="W788" s="18"/>
      <c r="X788" s="18"/>
      <c r="Y788" s="18"/>
      <c r="Z788" s="18"/>
      <c r="AA788" s="18"/>
      <c r="AB788" s="18"/>
    </row>
    <row r="789" spans="1:28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69"/>
      <c r="U789" s="18"/>
      <c r="V789" s="18"/>
      <c r="W789" s="18"/>
      <c r="X789" s="18"/>
      <c r="Y789" s="18"/>
      <c r="Z789" s="18"/>
      <c r="AA789" s="18"/>
      <c r="AB789" s="18"/>
    </row>
    <row r="790" spans="1:28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69"/>
      <c r="U790" s="18"/>
      <c r="V790" s="18"/>
      <c r="W790" s="18"/>
      <c r="X790" s="18"/>
      <c r="Y790" s="18"/>
      <c r="Z790" s="18"/>
      <c r="AA790" s="18"/>
      <c r="AB790" s="18"/>
    </row>
    <row r="791" spans="1:28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69"/>
      <c r="U791" s="18"/>
      <c r="V791" s="18"/>
      <c r="W791" s="18"/>
      <c r="X791" s="18"/>
      <c r="Y791" s="18"/>
      <c r="Z791" s="18"/>
      <c r="AA791" s="18"/>
      <c r="AB791" s="18"/>
    </row>
    <row r="792" spans="1:28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69"/>
      <c r="U792" s="18"/>
      <c r="V792" s="18"/>
      <c r="W792" s="18"/>
      <c r="X792" s="18"/>
      <c r="Y792" s="18"/>
      <c r="Z792" s="18"/>
      <c r="AA792" s="18"/>
      <c r="AB792" s="18"/>
    </row>
    <row r="793" spans="1:28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69"/>
      <c r="U793" s="18"/>
      <c r="V793" s="18"/>
      <c r="W793" s="18"/>
      <c r="X793" s="18"/>
      <c r="Y793" s="18"/>
      <c r="Z793" s="18"/>
      <c r="AA793" s="18"/>
      <c r="AB793" s="18"/>
    </row>
    <row r="794" spans="1:28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69"/>
      <c r="U794" s="18"/>
      <c r="V794" s="18"/>
      <c r="W794" s="18"/>
      <c r="X794" s="18"/>
      <c r="Y794" s="18"/>
      <c r="Z794" s="18"/>
      <c r="AA794" s="18"/>
      <c r="AB794" s="18"/>
    </row>
    <row r="795" spans="1:28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69"/>
      <c r="U795" s="18"/>
      <c r="V795" s="18"/>
      <c r="W795" s="18"/>
      <c r="X795" s="18"/>
      <c r="Y795" s="18"/>
      <c r="Z795" s="18"/>
      <c r="AA795" s="18"/>
      <c r="AB795" s="18"/>
    </row>
    <row r="796" spans="1:28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69"/>
      <c r="U796" s="18"/>
      <c r="V796" s="18"/>
      <c r="W796" s="18"/>
      <c r="X796" s="18"/>
      <c r="Y796" s="18"/>
      <c r="Z796" s="18"/>
      <c r="AA796" s="18"/>
      <c r="AB796" s="18"/>
    </row>
    <row r="797" spans="1:28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69"/>
      <c r="U797" s="18"/>
      <c r="V797" s="18"/>
      <c r="W797" s="18"/>
      <c r="X797" s="18"/>
      <c r="Y797" s="18"/>
      <c r="Z797" s="18"/>
      <c r="AA797" s="18"/>
      <c r="AB797" s="18"/>
    </row>
    <row r="798" spans="1:28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69"/>
      <c r="U798" s="18"/>
      <c r="V798" s="18"/>
      <c r="W798" s="18"/>
      <c r="X798" s="18"/>
      <c r="Y798" s="18"/>
      <c r="Z798" s="18"/>
      <c r="AA798" s="18"/>
      <c r="AB798" s="18"/>
    </row>
    <row r="799" spans="1:28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69"/>
      <c r="U799" s="18"/>
      <c r="V799" s="18"/>
      <c r="W799" s="18"/>
      <c r="X799" s="18"/>
      <c r="Y799" s="18"/>
      <c r="Z799" s="18"/>
      <c r="AA799" s="18"/>
      <c r="AB799" s="18"/>
    </row>
    <row r="800" spans="1:28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69"/>
      <c r="U800" s="18"/>
      <c r="V800" s="18"/>
      <c r="W800" s="18"/>
      <c r="X800" s="18"/>
      <c r="Y800" s="18"/>
      <c r="Z800" s="18"/>
      <c r="AA800" s="18"/>
      <c r="AB800" s="18"/>
    </row>
    <row r="801" spans="1:28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69"/>
      <c r="U801" s="18"/>
      <c r="V801" s="18"/>
      <c r="W801" s="18"/>
      <c r="X801" s="18"/>
      <c r="Y801" s="18"/>
      <c r="Z801" s="18"/>
      <c r="AA801" s="18"/>
      <c r="AB801" s="18"/>
    </row>
    <row r="802" spans="1:28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69"/>
      <c r="U802" s="18"/>
      <c r="V802" s="18"/>
      <c r="W802" s="18"/>
      <c r="X802" s="18"/>
      <c r="Y802" s="18"/>
      <c r="Z802" s="18"/>
      <c r="AA802" s="18"/>
      <c r="AB802" s="18"/>
    </row>
    <row r="803" spans="1:28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69"/>
      <c r="U803" s="18"/>
      <c r="V803" s="18"/>
      <c r="W803" s="18"/>
      <c r="X803" s="18"/>
      <c r="Y803" s="18"/>
      <c r="Z803" s="18"/>
      <c r="AA803" s="18"/>
      <c r="AB803" s="18"/>
    </row>
    <row r="804" spans="1:28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69"/>
      <c r="U804" s="18"/>
      <c r="V804" s="18"/>
      <c r="W804" s="18"/>
      <c r="X804" s="18"/>
      <c r="Y804" s="18"/>
      <c r="Z804" s="18"/>
      <c r="AA804" s="18"/>
      <c r="AB804" s="18"/>
    </row>
    <row r="805" spans="1:28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69"/>
      <c r="U805" s="18"/>
      <c r="V805" s="18"/>
      <c r="W805" s="18"/>
      <c r="X805" s="18"/>
      <c r="Y805" s="18"/>
      <c r="Z805" s="18"/>
      <c r="AA805" s="18"/>
      <c r="AB805" s="18"/>
    </row>
    <row r="806" spans="1:28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69"/>
      <c r="U806" s="18"/>
      <c r="V806" s="18"/>
      <c r="W806" s="18"/>
      <c r="X806" s="18"/>
      <c r="Y806" s="18"/>
      <c r="Z806" s="18"/>
      <c r="AA806" s="18"/>
      <c r="AB806" s="18"/>
    </row>
    <row r="807" spans="1:28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69"/>
      <c r="U807" s="18"/>
      <c r="V807" s="18"/>
      <c r="W807" s="18"/>
      <c r="X807" s="18"/>
      <c r="Y807" s="18"/>
      <c r="Z807" s="18"/>
      <c r="AA807" s="18"/>
      <c r="AB807" s="18"/>
    </row>
    <row r="808" spans="1:28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69"/>
      <c r="U808" s="18"/>
      <c r="V808" s="18"/>
      <c r="W808" s="18"/>
      <c r="X808" s="18"/>
      <c r="Y808" s="18"/>
      <c r="Z808" s="18"/>
      <c r="AA808" s="18"/>
      <c r="AB808" s="18"/>
    </row>
    <row r="809" spans="1:28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69"/>
      <c r="U809" s="18"/>
      <c r="V809" s="18"/>
      <c r="W809" s="18"/>
      <c r="X809" s="18"/>
      <c r="Y809" s="18"/>
      <c r="Z809" s="18"/>
      <c r="AA809" s="18"/>
      <c r="AB809" s="18"/>
    </row>
    <row r="810" spans="1:28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69"/>
      <c r="U810" s="18"/>
      <c r="V810" s="18"/>
      <c r="W810" s="18"/>
      <c r="X810" s="18"/>
      <c r="Y810" s="18"/>
      <c r="Z810" s="18"/>
      <c r="AA810" s="18"/>
      <c r="AB810" s="18"/>
    </row>
    <row r="811" spans="1:28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69"/>
      <c r="U811" s="18"/>
      <c r="V811" s="18"/>
      <c r="W811" s="18"/>
      <c r="X811" s="18"/>
      <c r="Y811" s="18"/>
      <c r="Z811" s="18"/>
      <c r="AA811" s="18"/>
      <c r="AB811" s="18"/>
    </row>
    <row r="812" spans="1:28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69"/>
      <c r="U812" s="18"/>
      <c r="V812" s="18"/>
      <c r="W812" s="18"/>
      <c r="X812" s="18"/>
      <c r="Y812" s="18"/>
      <c r="Z812" s="18"/>
      <c r="AA812" s="18"/>
      <c r="AB812" s="18"/>
    </row>
    <row r="813" spans="1:28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69"/>
      <c r="U813" s="18"/>
      <c r="V813" s="18"/>
      <c r="W813" s="18"/>
      <c r="X813" s="18"/>
      <c r="Y813" s="18"/>
      <c r="Z813" s="18"/>
      <c r="AA813" s="18"/>
      <c r="AB813" s="18"/>
    </row>
    <row r="814" spans="1:28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69"/>
      <c r="U814" s="18"/>
      <c r="V814" s="18"/>
      <c r="W814" s="18"/>
      <c r="X814" s="18"/>
      <c r="Y814" s="18"/>
      <c r="Z814" s="18"/>
      <c r="AA814" s="18"/>
      <c r="AB814" s="18"/>
    </row>
    <row r="815" spans="1:28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69"/>
      <c r="U815" s="18"/>
      <c r="V815" s="18"/>
      <c r="W815" s="18"/>
      <c r="X815" s="18"/>
      <c r="Y815" s="18"/>
      <c r="Z815" s="18"/>
      <c r="AA815" s="18"/>
      <c r="AB815" s="18"/>
    </row>
    <row r="816" spans="1:28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69"/>
      <c r="U816" s="18"/>
      <c r="V816" s="18"/>
      <c r="W816" s="18"/>
      <c r="X816" s="18"/>
      <c r="Y816" s="18"/>
      <c r="Z816" s="18"/>
      <c r="AA816" s="18"/>
      <c r="AB816" s="18"/>
    </row>
    <row r="817" spans="1:28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69"/>
      <c r="U817" s="18"/>
      <c r="V817" s="18"/>
      <c r="W817" s="18"/>
      <c r="X817" s="18"/>
      <c r="Y817" s="18"/>
      <c r="Z817" s="18"/>
      <c r="AA817" s="18"/>
      <c r="AB817" s="18"/>
    </row>
    <row r="818" spans="1:28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69"/>
      <c r="U818" s="18"/>
      <c r="V818" s="18"/>
      <c r="W818" s="18"/>
      <c r="X818" s="18"/>
      <c r="Y818" s="18"/>
      <c r="Z818" s="18"/>
      <c r="AA818" s="18"/>
      <c r="AB818" s="18"/>
    </row>
    <row r="819" spans="1:28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69"/>
      <c r="U819" s="18"/>
      <c r="V819" s="18"/>
      <c r="W819" s="18"/>
      <c r="X819" s="18"/>
      <c r="Y819" s="18"/>
      <c r="Z819" s="18"/>
      <c r="AA819" s="18"/>
      <c r="AB819" s="18"/>
    </row>
    <row r="820" spans="1:28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69"/>
      <c r="U820" s="18"/>
      <c r="V820" s="18"/>
      <c r="W820" s="18"/>
      <c r="X820" s="18"/>
      <c r="Y820" s="18"/>
      <c r="Z820" s="18"/>
      <c r="AA820" s="18"/>
      <c r="AB820" s="18"/>
    </row>
    <row r="821" spans="1:28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69"/>
      <c r="U821" s="18"/>
      <c r="V821" s="18"/>
      <c r="W821" s="18"/>
      <c r="X821" s="18"/>
      <c r="Y821" s="18"/>
      <c r="Z821" s="18"/>
      <c r="AA821" s="18"/>
      <c r="AB821" s="18"/>
    </row>
    <row r="822" spans="1:28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69"/>
      <c r="U822" s="18"/>
      <c r="V822" s="18"/>
      <c r="W822" s="18"/>
      <c r="X822" s="18"/>
      <c r="Y822" s="18"/>
      <c r="Z822" s="18"/>
      <c r="AA822" s="18"/>
      <c r="AB822" s="18"/>
    </row>
    <row r="823" spans="1:28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69"/>
      <c r="U823" s="18"/>
      <c r="V823" s="18"/>
      <c r="W823" s="18"/>
      <c r="X823" s="18"/>
      <c r="Y823" s="18"/>
      <c r="Z823" s="18"/>
      <c r="AA823" s="18"/>
      <c r="AB823" s="18"/>
    </row>
    <row r="824" spans="1:28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69"/>
      <c r="U824" s="18"/>
      <c r="V824" s="18"/>
      <c r="W824" s="18"/>
      <c r="X824" s="18"/>
      <c r="Y824" s="18"/>
      <c r="Z824" s="18"/>
      <c r="AA824" s="18"/>
      <c r="AB824" s="18"/>
    </row>
    <row r="825" spans="1:28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69"/>
      <c r="U825" s="18"/>
      <c r="V825" s="18"/>
      <c r="W825" s="18"/>
      <c r="X825" s="18"/>
      <c r="Y825" s="18"/>
      <c r="Z825" s="18"/>
      <c r="AA825" s="18"/>
      <c r="AB825" s="18"/>
    </row>
    <row r="826" spans="1:28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69"/>
      <c r="U826" s="18"/>
      <c r="V826" s="18"/>
      <c r="W826" s="18"/>
      <c r="X826" s="18"/>
      <c r="Y826" s="18"/>
      <c r="Z826" s="18"/>
      <c r="AA826" s="18"/>
      <c r="AB826" s="18"/>
    </row>
    <row r="827" spans="1:28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69"/>
      <c r="U827" s="18"/>
      <c r="V827" s="18"/>
      <c r="W827" s="18"/>
      <c r="X827" s="18"/>
      <c r="Y827" s="18"/>
      <c r="Z827" s="18"/>
      <c r="AA827" s="18"/>
      <c r="AB827" s="18"/>
    </row>
    <row r="828" spans="1:28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69"/>
      <c r="U828" s="18"/>
      <c r="V828" s="18"/>
      <c r="W828" s="18"/>
      <c r="X828" s="18"/>
      <c r="Y828" s="18"/>
      <c r="Z828" s="18"/>
      <c r="AA828" s="18"/>
      <c r="AB828" s="18"/>
    </row>
    <row r="829" spans="1:28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69"/>
      <c r="U829" s="18"/>
      <c r="V829" s="18"/>
      <c r="W829" s="18"/>
      <c r="X829" s="18"/>
      <c r="Y829" s="18"/>
      <c r="Z829" s="18"/>
      <c r="AA829" s="18"/>
      <c r="AB829" s="18"/>
    </row>
    <row r="830" spans="1:28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69"/>
      <c r="U830" s="18"/>
      <c r="V830" s="18"/>
      <c r="W830" s="18"/>
      <c r="X830" s="18"/>
      <c r="Y830" s="18"/>
      <c r="Z830" s="18"/>
      <c r="AA830" s="18"/>
      <c r="AB830" s="18"/>
    </row>
    <row r="831" spans="1:28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69"/>
      <c r="U831" s="18"/>
      <c r="V831" s="18"/>
      <c r="W831" s="18"/>
      <c r="X831" s="18"/>
      <c r="Y831" s="18"/>
      <c r="Z831" s="18"/>
      <c r="AA831" s="18"/>
      <c r="AB831" s="18"/>
    </row>
    <row r="832" spans="1:28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69"/>
      <c r="U832" s="18"/>
      <c r="V832" s="18"/>
      <c r="W832" s="18"/>
      <c r="X832" s="18"/>
      <c r="Y832" s="18"/>
      <c r="Z832" s="18"/>
      <c r="AA832" s="18"/>
      <c r="AB832" s="18"/>
    </row>
    <row r="833" spans="1:28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69"/>
      <c r="U833" s="18"/>
      <c r="V833" s="18"/>
      <c r="W833" s="18"/>
      <c r="X833" s="18"/>
      <c r="Y833" s="18"/>
      <c r="Z833" s="18"/>
      <c r="AA833" s="18"/>
      <c r="AB833" s="18"/>
    </row>
    <row r="834" spans="1:28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69"/>
      <c r="U834" s="18"/>
      <c r="V834" s="18"/>
      <c r="W834" s="18"/>
      <c r="X834" s="18"/>
      <c r="Y834" s="18"/>
      <c r="Z834" s="18"/>
      <c r="AA834" s="18"/>
      <c r="AB834" s="18"/>
    </row>
    <row r="835" spans="1:28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69"/>
      <c r="U835" s="18"/>
      <c r="V835" s="18"/>
      <c r="W835" s="18"/>
      <c r="X835" s="18"/>
      <c r="Y835" s="18"/>
      <c r="Z835" s="18"/>
      <c r="AA835" s="18"/>
      <c r="AB835" s="18"/>
    </row>
    <row r="836" spans="1:28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69"/>
      <c r="U836" s="18"/>
      <c r="V836" s="18"/>
      <c r="W836" s="18"/>
      <c r="X836" s="18"/>
      <c r="Y836" s="18"/>
      <c r="Z836" s="18"/>
      <c r="AA836" s="18"/>
      <c r="AB836" s="18"/>
    </row>
    <row r="837" spans="1:28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69"/>
      <c r="U837" s="18"/>
      <c r="V837" s="18"/>
      <c r="W837" s="18"/>
      <c r="X837" s="18"/>
      <c r="Y837" s="18"/>
      <c r="Z837" s="18"/>
      <c r="AA837" s="18"/>
      <c r="AB837" s="18"/>
    </row>
    <row r="838" spans="1:28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69"/>
      <c r="U838" s="18"/>
      <c r="V838" s="18"/>
      <c r="W838" s="18"/>
      <c r="X838" s="18"/>
      <c r="Y838" s="18"/>
      <c r="Z838" s="18"/>
      <c r="AA838" s="18"/>
      <c r="AB838" s="18"/>
    </row>
    <row r="839" spans="1:28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69"/>
      <c r="U839" s="18"/>
      <c r="V839" s="18"/>
      <c r="W839" s="18"/>
      <c r="X839" s="18"/>
      <c r="Y839" s="18"/>
      <c r="Z839" s="18"/>
      <c r="AA839" s="18"/>
      <c r="AB839" s="18"/>
    </row>
    <row r="840" spans="1:28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69"/>
      <c r="U840" s="18"/>
      <c r="V840" s="18"/>
      <c r="W840" s="18"/>
      <c r="X840" s="18"/>
      <c r="Y840" s="18"/>
      <c r="Z840" s="18"/>
      <c r="AA840" s="18"/>
      <c r="AB840" s="18"/>
    </row>
    <row r="841" spans="1:28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69"/>
      <c r="U841" s="18"/>
      <c r="V841" s="18"/>
      <c r="W841" s="18"/>
      <c r="X841" s="18"/>
      <c r="Y841" s="18"/>
      <c r="Z841" s="18"/>
      <c r="AA841" s="18"/>
      <c r="AB841" s="18"/>
    </row>
    <row r="842" spans="1:28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69"/>
      <c r="U842" s="18"/>
      <c r="V842" s="18"/>
      <c r="W842" s="18"/>
      <c r="X842" s="18"/>
      <c r="Y842" s="18"/>
      <c r="Z842" s="18"/>
      <c r="AA842" s="18"/>
      <c r="AB842" s="18"/>
    </row>
    <row r="843" spans="1:28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69"/>
      <c r="U843" s="18"/>
      <c r="V843" s="18"/>
      <c r="W843" s="18"/>
      <c r="X843" s="18"/>
      <c r="Y843" s="18"/>
      <c r="Z843" s="18"/>
      <c r="AA843" s="18"/>
      <c r="AB843" s="18"/>
    </row>
    <row r="844" spans="1:28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69"/>
      <c r="U844" s="18"/>
      <c r="V844" s="18"/>
      <c r="W844" s="18"/>
      <c r="X844" s="18"/>
      <c r="Y844" s="18"/>
      <c r="Z844" s="18"/>
      <c r="AA844" s="18"/>
      <c r="AB844" s="18"/>
    </row>
    <row r="845" spans="1:28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69"/>
      <c r="U845" s="18"/>
      <c r="V845" s="18"/>
      <c r="W845" s="18"/>
      <c r="X845" s="18"/>
      <c r="Y845" s="18"/>
      <c r="Z845" s="18"/>
      <c r="AA845" s="18"/>
      <c r="AB845" s="18"/>
    </row>
    <row r="846" spans="1:28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69"/>
      <c r="U846" s="18"/>
      <c r="V846" s="18"/>
      <c r="W846" s="18"/>
      <c r="X846" s="18"/>
      <c r="Y846" s="18"/>
      <c r="Z846" s="18"/>
      <c r="AA846" s="18"/>
      <c r="AB846" s="18"/>
    </row>
    <row r="847" spans="1:28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69"/>
      <c r="U847" s="18"/>
      <c r="V847" s="18"/>
      <c r="W847" s="18"/>
      <c r="X847" s="18"/>
      <c r="Y847" s="18"/>
      <c r="Z847" s="18"/>
      <c r="AA847" s="18"/>
      <c r="AB847" s="18"/>
    </row>
    <row r="848" spans="1:28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69"/>
      <c r="U848" s="18"/>
      <c r="V848" s="18"/>
      <c r="W848" s="18"/>
      <c r="X848" s="18"/>
      <c r="Y848" s="18"/>
      <c r="Z848" s="18"/>
      <c r="AA848" s="18"/>
      <c r="AB848" s="18"/>
    </row>
    <row r="849" spans="1:28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69"/>
      <c r="U849" s="18"/>
      <c r="V849" s="18"/>
      <c r="W849" s="18"/>
      <c r="X849" s="18"/>
      <c r="Y849" s="18"/>
      <c r="Z849" s="18"/>
      <c r="AA849" s="18"/>
      <c r="AB849" s="18"/>
    </row>
    <row r="850" spans="1:28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69"/>
      <c r="U850" s="18"/>
      <c r="V850" s="18"/>
      <c r="W850" s="18"/>
      <c r="X850" s="18"/>
      <c r="Y850" s="18"/>
      <c r="Z850" s="18"/>
      <c r="AA850" s="18"/>
      <c r="AB850" s="18"/>
    </row>
    <row r="851" spans="1:28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69"/>
      <c r="U851" s="18"/>
      <c r="V851" s="18"/>
      <c r="W851" s="18"/>
      <c r="X851" s="18"/>
      <c r="Y851" s="18"/>
      <c r="Z851" s="18"/>
      <c r="AA851" s="18"/>
      <c r="AB851" s="18"/>
    </row>
    <row r="852" spans="1:28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69"/>
      <c r="U852" s="18"/>
      <c r="V852" s="18"/>
      <c r="W852" s="18"/>
      <c r="X852" s="18"/>
      <c r="Y852" s="18"/>
      <c r="Z852" s="18"/>
      <c r="AA852" s="18"/>
      <c r="AB852" s="18"/>
    </row>
    <row r="853" spans="1:28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69"/>
      <c r="U853" s="18"/>
      <c r="V853" s="18"/>
      <c r="W853" s="18"/>
      <c r="X853" s="18"/>
      <c r="Y853" s="18"/>
      <c r="Z853" s="18"/>
      <c r="AA853" s="18"/>
      <c r="AB853" s="18"/>
    </row>
    <row r="854" spans="1:28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69"/>
      <c r="U854" s="18"/>
      <c r="V854" s="18"/>
      <c r="W854" s="18"/>
      <c r="X854" s="18"/>
      <c r="Y854" s="18"/>
      <c r="Z854" s="18"/>
      <c r="AA854" s="18"/>
      <c r="AB854" s="18"/>
    </row>
    <row r="855" spans="1:28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69"/>
      <c r="U855" s="18"/>
      <c r="V855" s="18"/>
      <c r="W855" s="18"/>
      <c r="X855" s="18"/>
      <c r="Y855" s="18"/>
      <c r="Z855" s="18"/>
      <c r="AA855" s="18"/>
      <c r="AB855" s="18"/>
    </row>
    <row r="856" spans="1:28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69"/>
      <c r="U856" s="18"/>
      <c r="V856" s="18"/>
      <c r="W856" s="18"/>
      <c r="X856" s="18"/>
      <c r="Y856" s="18"/>
      <c r="Z856" s="18"/>
      <c r="AA856" s="18"/>
      <c r="AB856" s="18"/>
    </row>
    <row r="857" spans="1:28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69"/>
      <c r="U857" s="18"/>
      <c r="V857" s="18"/>
      <c r="W857" s="18"/>
      <c r="X857" s="18"/>
      <c r="Y857" s="18"/>
      <c r="Z857" s="18"/>
      <c r="AA857" s="18"/>
      <c r="AB857" s="18"/>
    </row>
    <row r="858" spans="1:28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69"/>
      <c r="U858" s="18"/>
      <c r="V858" s="18"/>
      <c r="W858" s="18"/>
      <c r="X858" s="18"/>
      <c r="Y858" s="18"/>
      <c r="Z858" s="18"/>
      <c r="AA858" s="18"/>
      <c r="AB858" s="18"/>
    </row>
    <row r="859" spans="1:28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69"/>
      <c r="U859" s="18"/>
      <c r="V859" s="18"/>
      <c r="W859" s="18"/>
      <c r="X859" s="18"/>
      <c r="Y859" s="18"/>
      <c r="Z859" s="18"/>
      <c r="AA859" s="18"/>
      <c r="AB859" s="18"/>
    </row>
    <row r="860" spans="1:28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69"/>
      <c r="U860" s="18"/>
      <c r="V860" s="18"/>
      <c r="W860" s="18"/>
      <c r="X860" s="18"/>
      <c r="Y860" s="18"/>
      <c r="Z860" s="18"/>
      <c r="AA860" s="18"/>
      <c r="AB860" s="18"/>
    </row>
    <row r="861" spans="1:28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69"/>
      <c r="U861" s="18"/>
      <c r="V861" s="18"/>
      <c r="W861" s="18"/>
      <c r="X861" s="18"/>
      <c r="Y861" s="18"/>
      <c r="Z861" s="18"/>
      <c r="AA861" s="18"/>
      <c r="AB861" s="18"/>
    </row>
    <row r="862" spans="1:28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69"/>
      <c r="U862" s="18"/>
      <c r="V862" s="18"/>
      <c r="W862" s="18"/>
      <c r="X862" s="18"/>
      <c r="Y862" s="18"/>
      <c r="Z862" s="18"/>
      <c r="AA862" s="18"/>
      <c r="AB862" s="18"/>
    </row>
    <row r="863" spans="1:28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69"/>
      <c r="U863" s="18"/>
      <c r="V863" s="18"/>
      <c r="W863" s="18"/>
      <c r="X863" s="18"/>
      <c r="Y863" s="18"/>
      <c r="Z863" s="18"/>
      <c r="AA863" s="18"/>
      <c r="AB863" s="18"/>
    </row>
    <row r="864" spans="1:28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69"/>
      <c r="U864" s="18"/>
      <c r="V864" s="18"/>
      <c r="W864" s="18"/>
      <c r="X864" s="18"/>
      <c r="Y864" s="18"/>
      <c r="Z864" s="18"/>
      <c r="AA864" s="18"/>
      <c r="AB864" s="18"/>
    </row>
    <row r="865" spans="1:28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69"/>
      <c r="U865" s="18"/>
      <c r="V865" s="18"/>
      <c r="W865" s="18"/>
      <c r="X865" s="18"/>
      <c r="Y865" s="18"/>
      <c r="Z865" s="18"/>
      <c r="AA865" s="18"/>
      <c r="AB865" s="18"/>
    </row>
    <row r="866" spans="1:28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69"/>
      <c r="U866" s="18"/>
      <c r="V866" s="18"/>
      <c r="W866" s="18"/>
      <c r="X866" s="18"/>
      <c r="Y866" s="18"/>
      <c r="Z866" s="18"/>
      <c r="AA866" s="18"/>
      <c r="AB866" s="18"/>
    </row>
    <row r="867" spans="1:28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69"/>
      <c r="U867" s="18"/>
      <c r="V867" s="18"/>
      <c r="W867" s="18"/>
      <c r="X867" s="18"/>
      <c r="Y867" s="18"/>
      <c r="Z867" s="18"/>
      <c r="AA867" s="18"/>
      <c r="AB867" s="18"/>
    </row>
    <row r="868" spans="1:28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69"/>
      <c r="U868" s="18"/>
      <c r="V868" s="18"/>
      <c r="W868" s="18"/>
      <c r="X868" s="18"/>
      <c r="Y868" s="18"/>
      <c r="Z868" s="18"/>
      <c r="AA868" s="18"/>
      <c r="AB868" s="18"/>
    </row>
    <row r="869" spans="1:28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69"/>
      <c r="U869" s="18"/>
      <c r="V869" s="18"/>
      <c r="W869" s="18"/>
      <c r="X869" s="18"/>
      <c r="Y869" s="18"/>
      <c r="Z869" s="18"/>
      <c r="AA869" s="18"/>
      <c r="AB869" s="18"/>
    </row>
    <row r="870" spans="1:28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69"/>
      <c r="U870" s="18"/>
      <c r="V870" s="18"/>
      <c r="W870" s="18"/>
      <c r="X870" s="18"/>
      <c r="Y870" s="18"/>
      <c r="Z870" s="18"/>
      <c r="AA870" s="18"/>
      <c r="AB870" s="18"/>
    </row>
    <row r="871" spans="1:28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69"/>
      <c r="U871" s="18"/>
      <c r="V871" s="18"/>
      <c r="W871" s="18"/>
      <c r="X871" s="18"/>
      <c r="Y871" s="18"/>
      <c r="Z871" s="18"/>
      <c r="AA871" s="18"/>
      <c r="AB871" s="18"/>
    </row>
    <row r="872" spans="1:28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69"/>
      <c r="U872" s="18"/>
      <c r="V872" s="18"/>
      <c r="W872" s="18"/>
      <c r="X872" s="18"/>
      <c r="Y872" s="18"/>
      <c r="Z872" s="18"/>
      <c r="AA872" s="18"/>
      <c r="AB872" s="18"/>
    </row>
    <row r="873" spans="1:28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69"/>
      <c r="U873" s="18"/>
      <c r="V873" s="18"/>
      <c r="W873" s="18"/>
      <c r="X873" s="18"/>
      <c r="Y873" s="18"/>
      <c r="Z873" s="18"/>
      <c r="AA873" s="18"/>
      <c r="AB873" s="18"/>
    </row>
    <row r="874" spans="1:28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69"/>
      <c r="U874" s="18"/>
      <c r="V874" s="18"/>
      <c r="W874" s="18"/>
      <c r="X874" s="18"/>
      <c r="Y874" s="18"/>
      <c r="Z874" s="18"/>
      <c r="AA874" s="18"/>
      <c r="AB874" s="18"/>
    </row>
    <row r="875" spans="1:28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69"/>
      <c r="U875" s="18"/>
      <c r="V875" s="18"/>
      <c r="W875" s="18"/>
      <c r="X875" s="18"/>
      <c r="Y875" s="18"/>
      <c r="Z875" s="18"/>
      <c r="AA875" s="18"/>
      <c r="AB875" s="18"/>
    </row>
    <row r="876" spans="1:28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69"/>
      <c r="U876" s="18"/>
      <c r="V876" s="18"/>
      <c r="W876" s="18"/>
      <c r="X876" s="18"/>
      <c r="Y876" s="18"/>
      <c r="Z876" s="18"/>
      <c r="AA876" s="18"/>
      <c r="AB876" s="18"/>
    </row>
    <row r="877" spans="1:28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69"/>
      <c r="U877" s="18"/>
      <c r="V877" s="18"/>
      <c r="W877" s="18"/>
      <c r="X877" s="18"/>
      <c r="Y877" s="18"/>
      <c r="Z877" s="18"/>
      <c r="AA877" s="18"/>
      <c r="AB877" s="18"/>
    </row>
    <row r="878" spans="1:28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69"/>
      <c r="U878" s="18"/>
      <c r="V878" s="18"/>
      <c r="W878" s="18"/>
      <c r="X878" s="18"/>
      <c r="Y878" s="18"/>
      <c r="Z878" s="18"/>
      <c r="AA878" s="18"/>
      <c r="AB878" s="18"/>
    </row>
    <row r="879" spans="1:28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69"/>
      <c r="U879" s="18"/>
      <c r="V879" s="18"/>
      <c r="W879" s="18"/>
      <c r="X879" s="18"/>
      <c r="Y879" s="18"/>
      <c r="Z879" s="18"/>
      <c r="AA879" s="18"/>
      <c r="AB879" s="18"/>
    </row>
    <row r="880" spans="1:28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69"/>
      <c r="U880" s="18"/>
      <c r="V880" s="18"/>
      <c r="W880" s="18"/>
      <c r="X880" s="18"/>
      <c r="Y880" s="18"/>
      <c r="Z880" s="18"/>
      <c r="AA880" s="18"/>
      <c r="AB880" s="18"/>
    </row>
    <row r="881" spans="1:28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69"/>
      <c r="U881" s="18"/>
      <c r="V881" s="18"/>
      <c r="W881" s="18"/>
      <c r="X881" s="18"/>
      <c r="Y881" s="18"/>
      <c r="Z881" s="18"/>
      <c r="AA881" s="18"/>
      <c r="AB881" s="18"/>
    </row>
    <row r="882" spans="1:28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69"/>
      <c r="U882" s="18"/>
      <c r="V882" s="18"/>
      <c r="W882" s="18"/>
      <c r="X882" s="18"/>
      <c r="Y882" s="18"/>
      <c r="Z882" s="18"/>
      <c r="AA882" s="18"/>
      <c r="AB882" s="18"/>
    </row>
    <row r="883" spans="1:28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69"/>
      <c r="U883" s="18"/>
      <c r="V883" s="18"/>
      <c r="W883" s="18"/>
      <c r="X883" s="18"/>
      <c r="Y883" s="18"/>
      <c r="Z883" s="18"/>
      <c r="AA883" s="18"/>
      <c r="AB883" s="18"/>
    </row>
    <row r="884" spans="1:28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69"/>
      <c r="U884" s="18"/>
      <c r="V884" s="18"/>
      <c r="W884" s="18"/>
      <c r="X884" s="18"/>
      <c r="Y884" s="18"/>
      <c r="Z884" s="18"/>
      <c r="AA884" s="18"/>
      <c r="AB884" s="18"/>
    </row>
    <row r="885" spans="1:28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69"/>
      <c r="U885" s="18"/>
      <c r="V885" s="18"/>
      <c r="W885" s="18"/>
      <c r="X885" s="18"/>
      <c r="Y885" s="18"/>
      <c r="Z885" s="18"/>
      <c r="AA885" s="18"/>
      <c r="AB885" s="18"/>
    </row>
    <row r="886" spans="1:28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69"/>
      <c r="U886" s="18"/>
      <c r="V886" s="18"/>
      <c r="W886" s="18"/>
      <c r="X886" s="18"/>
      <c r="Y886" s="18"/>
      <c r="Z886" s="18"/>
      <c r="AA886" s="18"/>
      <c r="AB886" s="18"/>
    </row>
    <row r="887" spans="1:28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69"/>
      <c r="U887" s="18"/>
      <c r="V887" s="18"/>
      <c r="W887" s="18"/>
      <c r="X887" s="18"/>
      <c r="Y887" s="18"/>
      <c r="Z887" s="18"/>
      <c r="AA887" s="18"/>
      <c r="AB887" s="18"/>
    </row>
    <row r="888" spans="1:28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69"/>
      <c r="U888" s="18"/>
      <c r="V888" s="18"/>
      <c r="W888" s="18"/>
      <c r="X888" s="18"/>
      <c r="Y888" s="18"/>
      <c r="Z888" s="18"/>
      <c r="AA888" s="18"/>
      <c r="AB888" s="18"/>
    </row>
    <row r="889" spans="1:28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69"/>
      <c r="U889" s="18"/>
      <c r="V889" s="18"/>
      <c r="W889" s="18"/>
      <c r="X889" s="18"/>
      <c r="Y889" s="18"/>
      <c r="Z889" s="18"/>
      <c r="AA889" s="18"/>
      <c r="AB889" s="18"/>
    </row>
    <row r="890" spans="1:28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69"/>
      <c r="U890" s="18"/>
      <c r="V890" s="18"/>
      <c r="W890" s="18"/>
      <c r="X890" s="18"/>
      <c r="Y890" s="18"/>
      <c r="Z890" s="18"/>
      <c r="AA890" s="18"/>
      <c r="AB890" s="18"/>
    </row>
    <row r="891" spans="1:28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69"/>
      <c r="U891" s="18"/>
      <c r="V891" s="18"/>
      <c r="W891" s="18"/>
      <c r="X891" s="18"/>
      <c r="Y891" s="18"/>
      <c r="Z891" s="18"/>
      <c r="AA891" s="18"/>
      <c r="AB891" s="18"/>
    </row>
    <row r="892" spans="1:28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69"/>
      <c r="U892" s="18"/>
      <c r="V892" s="18"/>
      <c r="W892" s="18"/>
      <c r="X892" s="18"/>
      <c r="Y892" s="18"/>
      <c r="Z892" s="18"/>
      <c r="AA892" s="18"/>
      <c r="AB892" s="18"/>
    </row>
    <row r="893" spans="1:28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69"/>
      <c r="U893" s="18"/>
      <c r="V893" s="18"/>
      <c r="W893" s="18"/>
      <c r="X893" s="18"/>
      <c r="Y893" s="18"/>
      <c r="Z893" s="18"/>
      <c r="AA893" s="18"/>
      <c r="AB893" s="18"/>
    </row>
    <row r="894" spans="1:28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69"/>
      <c r="U894" s="18"/>
      <c r="V894" s="18"/>
      <c r="W894" s="18"/>
      <c r="X894" s="18"/>
      <c r="Y894" s="18"/>
      <c r="Z894" s="18"/>
      <c r="AA894" s="18"/>
      <c r="AB894" s="18"/>
    </row>
    <row r="895" spans="1:28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69"/>
      <c r="U895" s="18"/>
      <c r="V895" s="18"/>
      <c r="W895" s="18"/>
      <c r="X895" s="18"/>
      <c r="Y895" s="18"/>
      <c r="Z895" s="18"/>
      <c r="AA895" s="18"/>
      <c r="AB895" s="18"/>
    </row>
    <row r="896" spans="1:28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69"/>
      <c r="U896" s="18"/>
      <c r="V896" s="18"/>
      <c r="W896" s="18"/>
      <c r="X896" s="18"/>
      <c r="Y896" s="18"/>
      <c r="Z896" s="18"/>
      <c r="AA896" s="18"/>
      <c r="AB896" s="18"/>
    </row>
    <row r="897" spans="1:28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69"/>
      <c r="U897" s="18"/>
      <c r="V897" s="18"/>
      <c r="W897" s="18"/>
      <c r="X897" s="18"/>
      <c r="Y897" s="18"/>
      <c r="Z897" s="18"/>
      <c r="AA897" s="18"/>
      <c r="AB897" s="18"/>
    </row>
    <row r="898" spans="1:28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69"/>
      <c r="U898" s="18"/>
      <c r="V898" s="18"/>
      <c r="W898" s="18"/>
      <c r="X898" s="18"/>
      <c r="Y898" s="18"/>
      <c r="Z898" s="18"/>
      <c r="AA898" s="18"/>
      <c r="AB898" s="18"/>
    </row>
    <row r="899" spans="1:28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69"/>
      <c r="U899" s="18"/>
      <c r="V899" s="18"/>
      <c r="W899" s="18"/>
      <c r="X899" s="18"/>
      <c r="Y899" s="18"/>
      <c r="Z899" s="18"/>
      <c r="AA899" s="18"/>
      <c r="AB899" s="18"/>
    </row>
    <row r="900" spans="1:28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69"/>
      <c r="U900" s="18"/>
      <c r="V900" s="18"/>
      <c r="W900" s="18"/>
      <c r="X900" s="18"/>
      <c r="Y900" s="18"/>
      <c r="Z900" s="18"/>
      <c r="AA900" s="18"/>
      <c r="AB900" s="18"/>
    </row>
    <row r="901" spans="1:28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69"/>
      <c r="U901" s="18"/>
      <c r="V901" s="18"/>
      <c r="W901" s="18"/>
      <c r="X901" s="18"/>
      <c r="Y901" s="18"/>
      <c r="Z901" s="18"/>
      <c r="AA901" s="18"/>
      <c r="AB901" s="18"/>
    </row>
    <row r="902" spans="1:28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69"/>
      <c r="U902" s="18"/>
      <c r="V902" s="18"/>
      <c r="W902" s="18"/>
      <c r="X902" s="18"/>
      <c r="Y902" s="18"/>
      <c r="Z902" s="18"/>
      <c r="AA902" s="18"/>
      <c r="AB902" s="18"/>
    </row>
    <row r="903" spans="1:28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69"/>
      <c r="U903" s="18"/>
      <c r="V903" s="18"/>
      <c r="W903" s="18"/>
      <c r="X903" s="18"/>
      <c r="Y903" s="18"/>
      <c r="Z903" s="18"/>
      <c r="AA903" s="18"/>
      <c r="AB903" s="18"/>
    </row>
    <row r="904" spans="1:28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69"/>
      <c r="U904" s="18"/>
      <c r="V904" s="18"/>
      <c r="W904" s="18"/>
      <c r="X904" s="18"/>
      <c r="Y904" s="18"/>
      <c r="Z904" s="18"/>
      <c r="AA904" s="18"/>
      <c r="AB904" s="18"/>
    </row>
    <row r="905" spans="1:28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69"/>
      <c r="U905" s="18"/>
      <c r="V905" s="18"/>
      <c r="W905" s="18"/>
      <c r="X905" s="18"/>
      <c r="Y905" s="18"/>
      <c r="Z905" s="18"/>
      <c r="AA905" s="18"/>
      <c r="AB905" s="18"/>
    </row>
    <row r="906" spans="1:28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69"/>
      <c r="U906" s="18"/>
      <c r="V906" s="18"/>
      <c r="W906" s="18"/>
      <c r="X906" s="18"/>
      <c r="Y906" s="18"/>
      <c r="Z906" s="18"/>
      <c r="AA906" s="18"/>
      <c r="AB906" s="18"/>
    </row>
    <row r="907" spans="1:28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69"/>
      <c r="U907" s="18"/>
      <c r="V907" s="18"/>
      <c r="W907" s="18"/>
      <c r="X907" s="18"/>
      <c r="Y907" s="18"/>
      <c r="Z907" s="18"/>
      <c r="AA907" s="18"/>
      <c r="AB907" s="18"/>
    </row>
    <row r="908" spans="1:28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69"/>
      <c r="U908" s="18"/>
      <c r="V908" s="18"/>
      <c r="W908" s="18"/>
      <c r="X908" s="18"/>
      <c r="Y908" s="18"/>
      <c r="Z908" s="18"/>
      <c r="AA908" s="18"/>
      <c r="AB908" s="18"/>
    </row>
    <row r="909" spans="1:28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69"/>
      <c r="U909" s="18"/>
      <c r="V909" s="18"/>
      <c r="W909" s="18"/>
      <c r="X909" s="18"/>
      <c r="Y909" s="18"/>
      <c r="Z909" s="18"/>
      <c r="AA909" s="18"/>
      <c r="AB909" s="18"/>
    </row>
    <row r="910" spans="1:28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69"/>
      <c r="U910" s="18"/>
      <c r="V910" s="18"/>
      <c r="W910" s="18"/>
      <c r="X910" s="18"/>
      <c r="Y910" s="18"/>
      <c r="Z910" s="18"/>
      <c r="AA910" s="18"/>
      <c r="AB910" s="18"/>
    </row>
    <row r="911" spans="1:28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69"/>
      <c r="U911" s="18"/>
      <c r="V911" s="18"/>
      <c r="W911" s="18"/>
      <c r="X911" s="18"/>
      <c r="Y911" s="18"/>
      <c r="Z911" s="18"/>
      <c r="AA911" s="18"/>
      <c r="AB911" s="18"/>
    </row>
    <row r="912" spans="1:28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69"/>
      <c r="U912" s="18"/>
      <c r="V912" s="18"/>
      <c r="W912" s="18"/>
      <c r="X912" s="18"/>
      <c r="Y912" s="18"/>
      <c r="Z912" s="18"/>
      <c r="AA912" s="18"/>
      <c r="AB912" s="18"/>
    </row>
    <row r="913" spans="1:28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69"/>
      <c r="U913" s="18"/>
      <c r="V913" s="18"/>
      <c r="W913" s="18"/>
      <c r="X913" s="18"/>
      <c r="Y913" s="18"/>
      <c r="Z913" s="18"/>
      <c r="AA913" s="18"/>
      <c r="AB913" s="18"/>
    </row>
    <row r="914" spans="1:28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69"/>
      <c r="U914" s="18"/>
      <c r="V914" s="18"/>
      <c r="W914" s="18"/>
      <c r="X914" s="18"/>
      <c r="Y914" s="18"/>
      <c r="Z914" s="18"/>
      <c r="AA914" s="18"/>
      <c r="AB914" s="18"/>
    </row>
    <row r="915" spans="1:28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69"/>
      <c r="U915" s="18"/>
      <c r="V915" s="18"/>
      <c r="W915" s="18"/>
      <c r="X915" s="18"/>
      <c r="Y915" s="18"/>
      <c r="Z915" s="18"/>
      <c r="AA915" s="18"/>
      <c r="AB915" s="18"/>
    </row>
    <row r="916" spans="1:28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69"/>
      <c r="U916" s="18"/>
      <c r="V916" s="18"/>
      <c r="W916" s="18"/>
      <c r="X916" s="18"/>
      <c r="Y916" s="18"/>
      <c r="Z916" s="18"/>
      <c r="AA916" s="18"/>
      <c r="AB916" s="18"/>
    </row>
    <row r="917" spans="1:28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69"/>
      <c r="U917" s="18"/>
      <c r="V917" s="18"/>
      <c r="W917" s="18"/>
      <c r="X917" s="18"/>
      <c r="Y917" s="18"/>
      <c r="Z917" s="18"/>
      <c r="AA917" s="18"/>
      <c r="AB917" s="18"/>
    </row>
    <row r="918" spans="1:28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69"/>
      <c r="U918" s="18"/>
      <c r="V918" s="18"/>
      <c r="W918" s="18"/>
      <c r="X918" s="18"/>
      <c r="Y918" s="18"/>
      <c r="Z918" s="18"/>
      <c r="AA918" s="18"/>
      <c r="AB918" s="18"/>
    </row>
    <row r="919" spans="1:28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69"/>
      <c r="U919" s="18"/>
      <c r="V919" s="18"/>
      <c r="W919" s="18"/>
      <c r="X919" s="18"/>
      <c r="Y919" s="18"/>
      <c r="Z919" s="18"/>
      <c r="AA919" s="18"/>
      <c r="AB919" s="18"/>
    </row>
    <row r="920" spans="1:28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69"/>
      <c r="U920" s="18"/>
      <c r="V920" s="18"/>
      <c r="W920" s="18"/>
      <c r="X920" s="18"/>
      <c r="Y920" s="18"/>
      <c r="Z920" s="18"/>
      <c r="AA920" s="18"/>
      <c r="AB920" s="18"/>
    </row>
    <row r="921" spans="1:28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69"/>
      <c r="U921" s="18"/>
      <c r="V921" s="18"/>
      <c r="W921" s="18"/>
      <c r="X921" s="18"/>
      <c r="Y921" s="18"/>
      <c r="Z921" s="18"/>
      <c r="AA921" s="18"/>
      <c r="AB921" s="18"/>
    </row>
    <row r="922" spans="1:28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69"/>
      <c r="U922" s="18"/>
      <c r="V922" s="18"/>
      <c r="W922" s="18"/>
      <c r="X922" s="18"/>
      <c r="Y922" s="18"/>
      <c r="Z922" s="18"/>
      <c r="AA922" s="18"/>
      <c r="AB922" s="18"/>
    </row>
    <row r="923" spans="1:28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69"/>
      <c r="U923" s="18"/>
      <c r="V923" s="18"/>
      <c r="W923" s="18"/>
      <c r="X923" s="18"/>
      <c r="Y923" s="18"/>
      <c r="Z923" s="18"/>
      <c r="AA923" s="18"/>
      <c r="AB923" s="18"/>
    </row>
    <row r="924" spans="1:28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69"/>
      <c r="U924" s="18"/>
      <c r="V924" s="18"/>
      <c r="W924" s="18"/>
      <c r="X924" s="18"/>
      <c r="Y924" s="18"/>
      <c r="Z924" s="18"/>
      <c r="AA924" s="18"/>
      <c r="AB924" s="18"/>
    </row>
    <row r="925" spans="1:28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69"/>
      <c r="U925" s="18"/>
      <c r="V925" s="18"/>
      <c r="W925" s="18"/>
      <c r="X925" s="18"/>
      <c r="Y925" s="18"/>
      <c r="Z925" s="18"/>
      <c r="AA925" s="18"/>
      <c r="AB925" s="18"/>
    </row>
    <row r="926" spans="1:28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69"/>
      <c r="U926" s="18"/>
      <c r="V926" s="18"/>
      <c r="W926" s="18"/>
      <c r="X926" s="18"/>
      <c r="Y926" s="18"/>
      <c r="Z926" s="18"/>
      <c r="AA926" s="18"/>
      <c r="AB926" s="18"/>
    </row>
    <row r="927" spans="1:28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69"/>
      <c r="U927" s="18"/>
      <c r="V927" s="18"/>
      <c r="W927" s="18"/>
      <c r="X927" s="18"/>
      <c r="Y927" s="18"/>
      <c r="Z927" s="18"/>
      <c r="AA927" s="18"/>
      <c r="AB927" s="18"/>
    </row>
    <row r="928" spans="1:28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69"/>
      <c r="U928" s="18"/>
      <c r="V928" s="18"/>
      <c r="W928" s="18"/>
      <c r="X928" s="18"/>
      <c r="Y928" s="18"/>
      <c r="Z928" s="18"/>
      <c r="AA928" s="18"/>
      <c r="AB928" s="18"/>
    </row>
    <row r="929" spans="1:28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69"/>
      <c r="U929" s="18"/>
      <c r="V929" s="18"/>
      <c r="W929" s="18"/>
      <c r="X929" s="18"/>
      <c r="Y929" s="18"/>
      <c r="Z929" s="18"/>
      <c r="AA929" s="18"/>
      <c r="AB929" s="18"/>
    </row>
    <row r="930" spans="1:28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69"/>
      <c r="U930" s="18"/>
      <c r="V930" s="18"/>
      <c r="W930" s="18"/>
      <c r="X930" s="18"/>
      <c r="Y930" s="18"/>
      <c r="Z930" s="18"/>
      <c r="AA930" s="18"/>
      <c r="AB930" s="18"/>
    </row>
    <row r="931" spans="1:28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69"/>
      <c r="U931" s="18"/>
      <c r="V931" s="18"/>
      <c r="W931" s="18"/>
      <c r="X931" s="18"/>
      <c r="Y931" s="18"/>
      <c r="Z931" s="18"/>
      <c r="AA931" s="18"/>
      <c r="AB931" s="18"/>
    </row>
    <row r="932" spans="1:28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69"/>
      <c r="U932" s="18"/>
      <c r="V932" s="18"/>
      <c r="W932" s="18"/>
      <c r="X932" s="18"/>
      <c r="Y932" s="18"/>
      <c r="Z932" s="18"/>
      <c r="AA932" s="18"/>
      <c r="AB932" s="18"/>
    </row>
    <row r="933" spans="1:28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69"/>
      <c r="U933" s="18"/>
      <c r="V933" s="18"/>
      <c r="W933" s="18"/>
      <c r="X933" s="18"/>
      <c r="Y933" s="18"/>
      <c r="Z933" s="18"/>
      <c r="AA933" s="18"/>
      <c r="AB933" s="18"/>
    </row>
    <row r="934" spans="1:28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69"/>
      <c r="U934" s="18"/>
      <c r="V934" s="18"/>
      <c r="W934" s="18"/>
      <c r="X934" s="18"/>
      <c r="Y934" s="18"/>
      <c r="Z934" s="18"/>
      <c r="AA934" s="18"/>
      <c r="AB934" s="18"/>
    </row>
    <row r="935" spans="1:28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69"/>
      <c r="U935" s="18"/>
      <c r="V935" s="18"/>
      <c r="W935" s="18"/>
      <c r="X935" s="18"/>
      <c r="Y935" s="18"/>
      <c r="Z935" s="18"/>
      <c r="AA935" s="18"/>
      <c r="AB935" s="18"/>
    </row>
    <row r="936" spans="1:28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69"/>
      <c r="U936" s="18"/>
      <c r="V936" s="18"/>
      <c r="W936" s="18"/>
      <c r="X936" s="18"/>
      <c r="Y936" s="18"/>
      <c r="Z936" s="18"/>
      <c r="AA936" s="18"/>
      <c r="AB936" s="18"/>
    </row>
    <row r="937" spans="1:28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69"/>
      <c r="U937" s="18"/>
      <c r="V937" s="18"/>
      <c r="W937" s="18"/>
      <c r="X937" s="18"/>
      <c r="Y937" s="18"/>
      <c r="Z937" s="18"/>
      <c r="AA937" s="18"/>
      <c r="AB937" s="18"/>
    </row>
    <row r="938" spans="1:28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69"/>
      <c r="U938" s="18"/>
      <c r="V938" s="18"/>
      <c r="W938" s="18"/>
      <c r="X938" s="18"/>
      <c r="Y938" s="18"/>
      <c r="Z938" s="18"/>
      <c r="AA938" s="18"/>
      <c r="AB938" s="18"/>
    </row>
    <row r="939" spans="1:28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69"/>
      <c r="U939" s="18"/>
      <c r="V939" s="18"/>
      <c r="W939" s="18"/>
      <c r="X939" s="18"/>
      <c r="Y939" s="18"/>
      <c r="Z939" s="18"/>
      <c r="AA939" s="18"/>
      <c r="AB939" s="18"/>
    </row>
    <row r="940" spans="1:28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69"/>
      <c r="U940" s="18"/>
      <c r="V940" s="18"/>
      <c r="W940" s="18"/>
      <c r="X940" s="18"/>
      <c r="Y940" s="18"/>
      <c r="Z940" s="18"/>
      <c r="AA940" s="18"/>
      <c r="AB940" s="18"/>
    </row>
    <row r="941" spans="1:28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69"/>
      <c r="U941" s="18"/>
      <c r="V941" s="18"/>
      <c r="W941" s="18"/>
      <c r="X941" s="18"/>
      <c r="Y941" s="18"/>
      <c r="Z941" s="18"/>
      <c r="AA941" s="18"/>
      <c r="AB941" s="18"/>
    </row>
    <row r="942" spans="1:28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69"/>
      <c r="U942" s="18"/>
      <c r="V942" s="18"/>
      <c r="W942" s="18"/>
      <c r="X942" s="18"/>
      <c r="Y942" s="18"/>
      <c r="Z942" s="18"/>
      <c r="AA942" s="18"/>
      <c r="AB942" s="18"/>
    </row>
    <row r="943" spans="1:28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69"/>
      <c r="U943" s="18"/>
      <c r="V943" s="18"/>
      <c r="W943" s="18"/>
      <c r="X943" s="18"/>
      <c r="Y943" s="18"/>
      <c r="Z943" s="18"/>
      <c r="AA943" s="18"/>
      <c r="AB943" s="18"/>
    </row>
    <row r="944" spans="1:28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69"/>
      <c r="U944" s="18"/>
      <c r="V944" s="18"/>
      <c r="W944" s="18"/>
      <c r="X944" s="18"/>
      <c r="Y944" s="18"/>
      <c r="Z944" s="18"/>
      <c r="AA944" s="18"/>
      <c r="AB944" s="18"/>
    </row>
    <row r="945" spans="1:28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69"/>
      <c r="U945" s="18"/>
      <c r="V945" s="18"/>
      <c r="W945" s="18"/>
      <c r="X945" s="18"/>
      <c r="Y945" s="18"/>
      <c r="Z945" s="18"/>
      <c r="AA945" s="18"/>
      <c r="AB945" s="18"/>
    </row>
    <row r="946" spans="1:28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69"/>
      <c r="U946" s="18"/>
      <c r="V946" s="18"/>
      <c r="W946" s="18"/>
      <c r="X946" s="18"/>
      <c r="Y946" s="18"/>
      <c r="Z946" s="18"/>
      <c r="AA946" s="18"/>
      <c r="AB946" s="18"/>
    </row>
    <row r="947" spans="1:28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69"/>
      <c r="U947" s="18"/>
      <c r="V947" s="18"/>
      <c r="W947" s="18"/>
      <c r="X947" s="18"/>
      <c r="Y947" s="18"/>
      <c r="Z947" s="18"/>
      <c r="AA947" s="18"/>
      <c r="AB947" s="18"/>
    </row>
    <row r="948" spans="1:28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69"/>
      <c r="U948" s="18"/>
      <c r="V948" s="18"/>
      <c r="W948" s="18"/>
      <c r="X948" s="18"/>
      <c r="Y948" s="18"/>
      <c r="Z948" s="18"/>
      <c r="AA948" s="18"/>
      <c r="AB948" s="18"/>
    </row>
    <row r="949" spans="1:28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69"/>
      <c r="U949" s="18"/>
      <c r="V949" s="18"/>
      <c r="W949" s="18"/>
      <c r="X949" s="18"/>
      <c r="Y949" s="18"/>
      <c r="Z949" s="18"/>
      <c r="AA949" s="18"/>
      <c r="AB949" s="18"/>
    </row>
    <row r="950" spans="1:28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69"/>
      <c r="U950" s="18"/>
      <c r="V950" s="18"/>
      <c r="W950" s="18"/>
      <c r="X950" s="18"/>
      <c r="Y950" s="18"/>
      <c r="Z950" s="18"/>
      <c r="AA950" s="18"/>
      <c r="AB950" s="18"/>
    </row>
  </sheetData>
  <mergeCells count="1">
    <mergeCell ref="T7:T16"/>
  </mergeCells>
  <conditionalFormatting sqref="D69:O69 D76:O76 D92:O92">
    <cfRule type="cellIs" dxfId="3" priority="1" operator="lessThan">
      <formula>0</formula>
    </cfRule>
    <cfRule type="cellIs" dxfId="2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2CB7-0438-42CD-A52D-258759CCA679}">
  <sheetPr>
    <outlinePr summaryBelow="0" summaryRight="0"/>
  </sheetPr>
  <dimension ref="A1:AB950"/>
  <sheetViews>
    <sheetView tabSelected="1" zoomScale="85" zoomScaleNormal="85" workbookViewId="0">
      <pane xSplit="3" ySplit="3" topLeftCell="D4" activePane="bottomRight" state="frozen"/>
      <selection pane="topRight" activeCell="B1" sqref="B1"/>
      <selection pane="bottomLeft" activeCell="A4" sqref="A4"/>
      <selection pane="bottomRight" activeCell="D2" sqref="D2"/>
    </sheetView>
  </sheetViews>
  <sheetFormatPr defaultColWidth="12.6640625" defaultRowHeight="15.75" customHeight="1" x14ac:dyDescent="0.25"/>
  <cols>
    <col min="1" max="1" width="8.77734375" customWidth="1"/>
    <col min="2" max="2" width="9.109375" customWidth="1"/>
    <col min="3" max="3" width="26.88671875" customWidth="1"/>
    <col min="16" max="16" width="1.33203125" customWidth="1"/>
    <col min="17" max="17" width="14.44140625" customWidth="1"/>
    <col min="18" max="18" width="5.33203125" customWidth="1"/>
    <col min="19" max="19" width="9.33203125" customWidth="1"/>
    <col min="21" max="21" width="13.109375" customWidth="1"/>
  </cols>
  <sheetData>
    <row r="1" spans="1:28" ht="15.6" x14ac:dyDescent="0.3">
      <c r="A1" s="1"/>
      <c r="B1" s="1"/>
      <c r="C1" s="80" t="s">
        <v>0</v>
      </c>
      <c r="D1" s="80"/>
      <c r="E1" s="80"/>
      <c r="F1" s="81"/>
      <c r="G1" s="81"/>
      <c r="H1" s="81"/>
      <c r="I1" s="81"/>
      <c r="J1" s="81"/>
      <c r="K1" s="81"/>
      <c r="L1" s="81"/>
      <c r="M1" s="81"/>
      <c r="N1" s="80" t="s">
        <v>1</v>
      </c>
      <c r="O1" s="80">
        <v>2022</v>
      </c>
      <c r="P1" s="2"/>
      <c r="Q1" s="3"/>
      <c r="R1" s="3"/>
      <c r="S1" s="3"/>
      <c r="T1" s="4"/>
      <c r="U1" s="2"/>
      <c r="V1" s="5"/>
      <c r="W1" s="5"/>
      <c r="X1" s="5"/>
      <c r="Y1" s="5"/>
      <c r="Z1" s="5"/>
      <c r="AA1" s="5"/>
      <c r="AB1" s="5"/>
    </row>
    <row r="2" spans="1:28" ht="15" x14ac:dyDescent="0.25">
      <c r="A2" s="6"/>
      <c r="B2" s="6"/>
      <c r="C2" s="79"/>
      <c r="D2" s="79"/>
      <c r="E2" s="79"/>
      <c r="F2" s="82"/>
      <c r="G2" s="82"/>
      <c r="H2" s="82"/>
      <c r="I2" s="82"/>
      <c r="J2" s="82"/>
      <c r="K2" s="82"/>
      <c r="L2" s="82"/>
      <c r="M2" s="82"/>
      <c r="N2" s="82"/>
      <c r="O2" s="82"/>
      <c r="P2" s="7"/>
      <c r="Q2" s="7"/>
      <c r="R2" s="7"/>
      <c r="S2" s="7"/>
      <c r="T2" s="8"/>
      <c r="U2" s="9"/>
      <c r="V2" s="10"/>
      <c r="W2" s="10"/>
      <c r="X2" s="10"/>
      <c r="Y2" s="10"/>
      <c r="Z2" s="10"/>
      <c r="AA2" s="10"/>
      <c r="AB2" s="10"/>
    </row>
    <row r="3" spans="1:28" ht="15.6" x14ac:dyDescent="0.3">
      <c r="A3" s="11"/>
      <c r="B3" s="11"/>
      <c r="C3" s="11"/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3"/>
      <c r="Q3" s="7"/>
      <c r="R3" s="7"/>
      <c r="S3" s="7"/>
      <c r="T3" s="8"/>
      <c r="U3" s="13"/>
      <c r="V3" s="14"/>
      <c r="W3" s="14"/>
      <c r="X3" s="14"/>
      <c r="Y3" s="14"/>
      <c r="Z3" s="14"/>
      <c r="AA3" s="14"/>
      <c r="AB3" s="14"/>
    </row>
    <row r="4" spans="1:28" ht="15" x14ac:dyDescent="0.25">
      <c r="A4" s="15"/>
      <c r="B4" s="15"/>
      <c r="C4" s="15" t="s">
        <v>14</v>
      </c>
      <c r="D4" s="16">
        <v>10</v>
      </c>
      <c r="E4" s="16" t="str">
        <f t="shared" ref="E4:O4" si="0">IF(D76&gt;0,D76,"0")</f>
        <v>0</v>
      </c>
      <c r="F4" s="16" t="str">
        <f t="shared" si="0"/>
        <v>0</v>
      </c>
      <c r="G4" s="16" t="str">
        <f t="shared" si="0"/>
        <v>0</v>
      </c>
      <c r="H4" s="16" t="str">
        <f t="shared" si="0"/>
        <v>0</v>
      </c>
      <c r="I4" s="16">
        <f t="shared" si="0"/>
        <v>46.649999999999636</v>
      </c>
      <c r="J4" s="16">
        <f t="shared" si="0"/>
        <v>131.07999999999947</v>
      </c>
      <c r="K4" s="16">
        <f t="shared" si="0"/>
        <v>124.46999999999935</v>
      </c>
      <c r="L4" s="16">
        <f t="shared" si="0"/>
        <v>375.58999999999924</v>
      </c>
      <c r="M4" s="16">
        <f t="shared" si="0"/>
        <v>907.29999999999927</v>
      </c>
      <c r="N4" s="16">
        <f t="shared" si="0"/>
        <v>1376.8499999999992</v>
      </c>
      <c r="O4" s="16">
        <f t="shared" si="0"/>
        <v>1782.8399999999995</v>
      </c>
      <c r="P4" s="17"/>
      <c r="Q4" s="7"/>
      <c r="R4" s="7"/>
      <c r="S4" s="7"/>
      <c r="T4" s="8"/>
      <c r="U4" s="17"/>
      <c r="V4" s="18"/>
      <c r="W4" s="18"/>
      <c r="X4" s="18"/>
      <c r="Y4" s="18"/>
      <c r="Z4" s="18"/>
      <c r="AA4" s="18"/>
      <c r="AB4" s="18"/>
    </row>
    <row r="5" spans="1:28" ht="15" x14ac:dyDescent="0.25">
      <c r="A5" s="6"/>
      <c r="B5" s="6"/>
      <c r="C5" s="83" t="s">
        <v>88</v>
      </c>
      <c r="D5" s="85">
        <v>44927</v>
      </c>
      <c r="E5" s="85">
        <v>44958</v>
      </c>
      <c r="F5" s="85">
        <v>44987</v>
      </c>
      <c r="G5" s="85">
        <v>45018</v>
      </c>
      <c r="H5" s="85">
        <v>45048</v>
      </c>
      <c r="I5" s="85">
        <v>45079</v>
      </c>
      <c r="J5" s="85">
        <v>45110</v>
      </c>
      <c r="K5" s="85">
        <v>45140</v>
      </c>
      <c r="L5" s="85">
        <v>45171</v>
      </c>
      <c r="M5" s="85">
        <v>45201</v>
      </c>
      <c r="N5" s="85">
        <v>45232</v>
      </c>
      <c r="O5" s="85">
        <v>45262</v>
      </c>
      <c r="P5" s="6"/>
      <c r="Q5" s="6"/>
      <c r="R5" s="6"/>
      <c r="S5" s="6"/>
      <c r="T5" s="8"/>
      <c r="U5" s="6"/>
      <c r="V5" s="10"/>
      <c r="W5" s="10"/>
      <c r="X5" s="10"/>
      <c r="Y5" s="10"/>
      <c r="Z5" s="10"/>
      <c r="AA5" s="10"/>
      <c r="AB5" s="10"/>
    </row>
    <row r="6" spans="1:28" ht="15" x14ac:dyDescent="0.25">
      <c r="A6" s="19"/>
      <c r="B6" s="19"/>
      <c r="C6" s="19" t="s">
        <v>15</v>
      </c>
      <c r="D6" s="20" t="s">
        <v>2</v>
      </c>
      <c r="E6" s="20" t="s">
        <v>3</v>
      </c>
      <c r="F6" s="20" t="s">
        <v>4</v>
      </c>
      <c r="G6" s="20" t="s">
        <v>5</v>
      </c>
      <c r="H6" s="20" t="s">
        <v>6</v>
      </c>
      <c r="I6" s="20" t="s">
        <v>7</v>
      </c>
      <c r="J6" s="20" t="s">
        <v>8</v>
      </c>
      <c r="K6" s="20" t="s">
        <v>9</v>
      </c>
      <c r="L6" s="20" t="s">
        <v>10</v>
      </c>
      <c r="M6" s="20" t="s">
        <v>11</v>
      </c>
      <c r="N6" s="20" t="s">
        <v>12</v>
      </c>
      <c r="O6" s="20" t="s">
        <v>13</v>
      </c>
      <c r="P6" s="6"/>
      <c r="Q6" s="75" t="s">
        <v>16</v>
      </c>
      <c r="R6" s="21" t="s">
        <v>17</v>
      </c>
      <c r="S6" s="20"/>
      <c r="T6" s="22"/>
      <c r="U6" s="6"/>
      <c r="V6" s="14"/>
      <c r="W6" s="14"/>
      <c r="X6" s="14"/>
      <c r="Y6" s="14"/>
      <c r="Z6" s="14"/>
      <c r="AA6" s="14"/>
      <c r="AB6" s="14"/>
    </row>
    <row r="7" spans="1:28" ht="15" x14ac:dyDescent="0.25">
      <c r="A7" s="23" t="s">
        <v>15</v>
      </c>
      <c r="B7" s="23" t="s">
        <v>74</v>
      </c>
      <c r="C7" s="23" t="s">
        <v>55</v>
      </c>
      <c r="D7" s="25">
        <v>900</v>
      </c>
      <c r="E7" s="25">
        <v>900</v>
      </c>
      <c r="F7" s="25">
        <v>900</v>
      </c>
      <c r="G7" s="25">
        <v>900</v>
      </c>
      <c r="H7" s="24">
        <v>900</v>
      </c>
      <c r="I7" s="24">
        <v>900</v>
      </c>
      <c r="J7" s="24">
        <v>900</v>
      </c>
      <c r="K7" s="24">
        <f t="shared" ref="K7:O7" si="1">900</f>
        <v>900</v>
      </c>
      <c r="L7" s="24">
        <f t="shared" si="1"/>
        <v>900</v>
      </c>
      <c r="M7" s="24">
        <f t="shared" si="1"/>
        <v>900</v>
      </c>
      <c r="N7" s="24">
        <f t="shared" si="1"/>
        <v>900</v>
      </c>
      <c r="O7" s="24">
        <f t="shared" si="1"/>
        <v>900</v>
      </c>
      <c r="P7" s="6"/>
      <c r="Q7" s="25">
        <f t="shared" ref="Q7:Q15" si="2">SUM(D7:O7)</f>
        <v>10800</v>
      </c>
      <c r="R7" s="26" t="str">
        <f ca="1">IFERROR(__xludf.DUMMYFUNCTION("iferror(SPARKLINE(B7:M7))"),"")</f>
        <v/>
      </c>
      <c r="S7" s="27">
        <v>0.1260360707</v>
      </c>
      <c r="T7" s="87" t="s">
        <v>18</v>
      </c>
      <c r="U7" s="6"/>
      <c r="V7" s="18"/>
      <c r="W7" s="18"/>
      <c r="X7" s="18"/>
      <c r="Y7" s="18"/>
      <c r="Z7" s="18"/>
      <c r="AA7" s="18"/>
      <c r="AB7" s="18"/>
    </row>
    <row r="8" spans="1:28" ht="15" x14ac:dyDescent="0.25">
      <c r="A8" s="23" t="s">
        <v>15</v>
      </c>
      <c r="B8" s="23" t="s">
        <v>74</v>
      </c>
      <c r="C8" s="23" t="s">
        <v>55</v>
      </c>
      <c r="D8" s="25">
        <v>1350</v>
      </c>
      <c r="E8" s="25">
        <v>1350</v>
      </c>
      <c r="F8" s="25">
        <v>1350</v>
      </c>
      <c r="G8" s="25">
        <v>1350</v>
      </c>
      <c r="H8" s="25">
        <v>1350</v>
      </c>
      <c r="I8" s="24">
        <v>1350</v>
      </c>
      <c r="J8" s="25">
        <v>1350</v>
      </c>
      <c r="K8" s="25">
        <v>1350</v>
      </c>
      <c r="L8" s="25">
        <v>1350</v>
      </c>
      <c r="M8" s="25">
        <v>1350</v>
      </c>
      <c r="N8" s="25">
        <v>1350</v>
      </c>
      <c r="O8" s="25">
        <v>1350</v>
      </c>
      <c r="P8" s="6"/>
      <c r="Q8" s="25">
        <f t="shared" si="2"/>
        <v>16200</v>
      </c>
      <c r="R8" s="26" t="str">
        <f ca="1">IFERROR(__xludf.DUMMYFUNCTION("iferror(SPARKLINE(B8:M8))"),"")</f>
        <v/>
      </c>
      <c r="S8" s="27">
        <v>0.34177042140000002</v>
      </c>
      <c r="T8" s="88"/>
      <c r="U8" s="6"/>
      <c r="V8" s="18"/>
      <c r="W8" s="18"/>
      <c r="X8" s="18"/>
      <c r="Y8" s="18"/>
      <c r="Z8" s="18"/>
      <c r="AA8" s="18"/>
      <c r="AB8" s="18"/>
    </row>
    <row r="9" spans="1:28" ht="15" x14ac:dyDescent="0.25">
      <c r="A9" s="77" t="s">
        <v>15</v>
      </c>
      <c r="B9" s="77" t="s">
        <v>74</v>
      </c>
      <c r="C9" s="77" t="s">
        <v>73</v>
      </c>
      <c r="D9" s="25">
        <v>150</v>
      </c>
      <c r="E9" s="25">
        <v>150</v>
      </c>
      <c r="F9" s="25">
        <v>150</v>
      </c>
      <c r="G9" s="25">
        <v>150</v>
      </c>
      <c r="H9" s="25">
        <v>150</v>
      </c>
      <c r="I9" s="24">
        <v>150</v>
      </c>
      <c r="J9" s="25">
        <v>150</v>
      </c>
      <c r="K9" s="25">
        <v>150</v>
      </c>
      <c r="L9" s="25">
        <v>150</v>
      </c>
      <c r="M9" s="25">
        <v>150</v>
      </c>
      <c r="N9" s="25">
        <v>150</v>
      </c>
      <c r="O9" s="25">
        <v>150</v>
      </c>
      <c r="P9" s="6"/>
      <c r="Q9" s="25">
        <f t="shared" si="2"/>
        <v>1800</v>
      </c>
      <c r="R9" s="26" t="str">
        <f ca="1">IFERROR(__xludf.DUMMYFUNCTION("iferror(SPARKLINE(B9:M9))"),"")</f>
        <v/>
      </c>
      <c r="S9" s="27">
        <v>0.1149361269</v>
      </c>
      <c r="T9" s="88"/>
      <c r="U9" s="6"/>
      <c r="V9" s="18"/>
      <c r="W9" s="18"/>
      <c r="X9" s="18"/>
      <c r="Y9" s="18"/>
      <c r="Z9" s="18"/>
      <c r="AA9" s="18"/>
      <c r="AB9" s="18"/>
    </row>
    <row r="10" spans="1:28" ht="15" x14ac:dyDescent="0.25">
      <c r="A10" s="23" t="s">
        <v>15</v>
      </c>
      <c r="B10" s="23" t="s">
        <v>74</v>
      </c>
      <c r="C10" s="23" t="s">
        <v>56</v>
      </c>
      <c r="D10" s="25"/>
      <c r="E10" s="25"/>
      <c r="F10" s="25"/>
      <c r="G10" s="25"/>
      <c r="H10" s="25"/>
      <c r="I10" s="24"/>
      <c r="J10" s="25"/>
      <c r="K10" s="25"/>
      <c r="L10" s="25"/>
      <c r="M10" s="25"/>
      <c r="N10" s="25"/>
      <c r="O10" s="25"/>
      <c r="P10" s="6"/>
      <c r="Q10" s="25">
        <f t="shared" si="2"/>
        <v>0</v>
      </c>
      <c r="R10" s="26" t="str">
        <f ca="1">IFERROR(__xludf.DUMMYFUNCTION("iferror(SPARKLINE(B10:M10))"),"")</f>
        <v/>
      </c>
      <c r="S10" s="27">
        <v>9.1567257890000003E-2</v>
      </c>
      <c r="T10" s="88"/>
      <c r="U10" s="6"/>
      <c r="V10" s="18"/>
      <c r="W10" s="18"/>
      <c r="X10" s="18"/>
      <c r="Y10" s="18"/>
      <c r="Z10" s="18"/>
      <c r="AA10" s="18"/>
      <c r="AB10" s="18"/>
    </row>
    <row r="11" spans="1:28" ht="15" x14ac:dyDescent="0.25">
      <c r="A11" s="23" t="s">
        <v>15</v>
      </c>
      <c r="B11" s="23" t="s">
        <v>74</v>
      </c>
      <c r="C11" s="23" t="s">
        <v>57</v>
      </c>
      <c r="D11" s="25">
        <v>100</v>
      </c>
      <c r="E11" s="25">
        <v>0.98</v>
      </c>
      <c r="F11" s="25"/>
      <c r="G11" s="25">
        <v>97</v>
      </c>
      <c r="H11" s="25"/>
      <c r="I11" s="24"/>
      <c r="J11" s="25">
        <v>256.77</v>
      </c>
      <c r="K11" s="25">
        <v>45</v>
      </c>
      <c r="L11" s="25"/>
      <c r="M11" s="25">
        <v>20</v>
      </c>
      <c r="N11" s="25">
        <v>45</v>
      </c>
      <c r="O11" s="25">
        <v>45</v>
      </c>
      <c r="P11" s="6"/>
      <c r="Q11" s="25">
        <f t="shared" si="2"/>
        <v>609.75</v>
      </c>
      <c r="R11" s="26" t="str">
        <f ca="1">IFERROR(__xludf.DUMMYFUNCTION("iferror(SPARKLINE(B11:M11))"),"")</f>
        <v/>
      </c>
      <c r="S11" s="27">
        <v>2.1360651340000002E-2</v>
      </c>
      <c r="T11" s="88"/>
      <c r="U11" s="6"/>
      <c r="V11" s="18"/>
      <c r="W11" s="18"/>
      <c r="X11" s="18"/>
      <c r="Y11" s="18"/>
      <c r="Z11" s="18"/>
      <c r="AA11" s="18"/>
      <c r="AB11" s="18"/>
    </row>
    <row r="12" spans="1:28" ht="15" x14ac:dyDescent="0.25">
      <c r="A12" s="23" t="s">
        <v>15</v>
      </c>
      <c r="B12" s="23" t="s">
        <v>74</v>
      </c>
      <c r="C12" s="23"/>
      <c r="D12" s="25"/>
      <c r="E12" s="24"/>
      <c r="F12" s="25"/>
      <c r="G12" s="25"/>
      <c r="H12" s="25"/>
      <c r="I12" s="25"/>
      <c r="J12" s="25"/>
      <c r="K12" s="25"/>
      <c r="L12" s="24"/>
      <c r="M12" s="24"/>
      <c r="N12" s="24"/>
      <c r="O12" s="24"/>
      <c r="P12" s="6"/>
      <c r="Q12" s="25">
        <f t="shared" si="2"/>
        <v>0</v>
      </c>
      <c r="R12" s="26" t="str">
        <f ca="1">IFERROR(__xludf.DUMMYFUNCTION("iferror(SPARKLINE(B12:M12))"),"")</f>
        <v/>
      </c>
      <c r="S12" s="27">
        <v>0.1005080354</v>
      </c>
      <c r="T12" s="88"/>
      <c r="U12" s="6"/>
      <c r="V12" s="18"/>
      <c r="W12" s="18"/>
      <c r="X12" s="18"/>
      <c r="Y12" s="18"/>
      <c r="Z12" s="18"/>
      <c r="AA12" s="18"/>
      <c r="AB12" s="18"/>
    </row>
    <row r="13" spans="1:28" ht="15" x14ac:dyDescent="0.25">
      <c r="A13" s="23" t="s">
        <v>15</v>
      </c>
      <c r="B13" s="23" t="s">
        <v>74</v>
      </c>
      <c r="C13" s="23"/>
      <c r="D13" s="25"/>
      <c r="E13" s="24"/>
      <c r="F13" s="25"/>
      <c r="G13" s="25"/>
      <c r="H13" s="25"/>
      <c r="I13" s="25"/>
      <c r="J13" s="25"/>
      <c r="K13" s="25"/>
      <c r="L13" s="24"/>
      <c r="M13" s="24"/>
      <c r="N13" s="24"/>
      <c r="O13" s="24"/>
      <c r="P13" s="6"/>
      <c r="Q13" s="25">
        <f t="shared" si="2"/>
        <v>0</v>
      </c>
      <c r="R13" s="26"/>
      <c r="S13" s="27">
        <v>2.1360651340000002E-2</v>
      </c>
      <c r="T13" s="88"/>
      <c r="U13" s="6"/>
      <c r="V13" s="18"/>
      <c r="W13" s="18"/>
      <c r="X13" s="18"/>
      <c r="Y13" s="18"/>
      <c r="Z13" s="18"/>
      <c r="AA13" s="18"/>
      <c r="AB13" s="18"/>
    </row>
    <row r="14" spans="1:28" ht="15" x14ac:dyDescent="0.25">
      <c r="A14" s="23" t="s">
        <v>15</v>
      </c>
      <c r="B14" s="23" t="s">
        <v>74</v>
      </c>
      <c r="C14" s="23"/>
      <c r="D14" s="25"/>
      <c r="E14" s="24"/>
      <c r="F14" s="25"/>
      <c r="G14" s="25"/>
      <c r="H14" s="25"/>
      <c r="I14" s="25"/>
      <c r="J14" s="25"/>
      <c r="K14" s="25"/>
      <c r="L14" s="24"/>
      <c r="M14" s="24"/>
      <c r="N14" s="24"/>
      <c r="O14" s="24"/>
      <c r="P14" s="6"/>
      <c r="Q14" s="25">
        <f t="shared" si="2"/>
        <v>0</v>
      </c>
      <c r="R14" s="26"/>
      <c r="S14" s="27">
        <v>2.1360651340000002E-2</v>
      </c>
      <c r="T14" s="88"/>
      <c r="U14" s="6"/>
      <c r="V14" s="18"/>
      <c r="W14" s="18"/>
      <c r="X14" s="18"/>
      <c r="Y14" s="18"/>
      <c r="Z14" s="18"/>
      <c r="AA14" s="18"/>
      <c r="AB14" s="18"/>
    </row>
    <row r="15" spans="1:28" ht="15" x14ac:dyDescent="0.25">
      <c r="A15" s="23" t="s">
        <v>15</v>
      </c>
      <c r="B15" s="23" t="s">
        <v>74</v>
      </c>
      <c r="C15" s="23"/>
      <c r="D15" s="25"/>
      <c r="E15" s="24"/>
      <c r="F15" s="25"/>
      <c r="G15" s="25"/>
      <c r="H15" s="25"/>
      <c r="I15" s="25"/>
      <c r="J15" s="25"/>
      <c r="K15" s="25"/>
      <c r="L15" s="24"/>
      <c r="M15" s="24"/>
      <c r="N15" s="24"/>
      <c r="O15" s="24"/>
      <c r="P15" s="6"/>
      <c r="Q15" s="25">
        <f t="shared" si="2"/>
        <v>0</v>
      </c>
      <c r="R15" s="26"/>
      <c r="S15" s="27">
        <v>2.1360651340000002E-2</v>
      </c>
      <c r="T15" s="88"/>
      <c r="U15" s="6"/>
      <c r="V15" s="18"/>
      <c r="W15" s="18"/>
      <c r="X15" s="18"/>
      <c r="Y15" s="18"/>
      <c r="Z15" s="18"/>
      <c r="AA15" s="18"/>
      <c r="AB15" s="18"/>
    </row>
    <row r="16" spans="1:28" ht="15" x14ac:dyDescent="0.25">
      <c r="A16" s="23" t="s">
        <v>15</v>
      </c>
      <c r="B16" s="23" t="s">
        <v>74</v>
      </c>
      <c r="C16" s="23" t="s">
        <v>19</v>
      </c>
      <c r="D16" s="25"/>
      <c r="E16" s="24"/>
      <c r="F16" s="25"/>
      <c r="G16" s="24"/>
      <c r="H16" s="24"/>
      <c r="I16" s="24"/>
      <c r="J16" s="24"/>
      <c r="K16" s="24"/>
      <c r="L16" s="24"/>
      <c r="M16" s="24"/>
      <c r="N16" s="24"/>
      <c r="O16" s="24"/>
      <c r="P16" s="6"/>
      <c r="Q16" s="25">
        <f>SUM(D16:O16)</f>
        <v>0</v>
      </c>
      <c r="R16" s="26" t="str">
        <f ca="1">IFERROR(__xludf.DUMMYFUNCTION("iferror(SPARKLINE(B16:M16))"),"")</f>
        <v/>
      </c>
      <c r="S16" s="27">
        <v>0.20382143629999999</v>
      </c>
      <c r="T16" s="89"/>
      <c r="U16" s="6"/>
      <c r="V16" s="18"/>
      <c r="W16" s="18"/>
      <c r="X16" s="18"/>
      <c r="Y16" s="18"/>
      <c r="Z16" s="18"/>
      <c r="AA16" s="18"/>
      <c r="AB16" s="18"/>
    </row>
    <row r="17" spans="1:28" ht="15" x14ac:dyDescent="0.25">
      <c r="A17" s="28"/>
      <c r="B17" s="28"/>
      <c r="C17" s="28" t="s">
        <v>20</v>
      </c>
      <c r="D17" s="29">
        <f t="shared" ref="D17:O17" si="3">SUM(D7:D16)</f>
        <v>2500</v>
      </c>
      <c r="E17" s="29">
        <f t="shared" si="3"/>
        <v>2400.98</v>
      </c>
      <c r="F17" s="29">
        <f t="shared" si="3"/>
        <v>2400</v>
      </c>
      <c r="G17" s="29">
        <f t="shared" si="3"/>
        <v>2497</v>
      </c>
      <c r="H17" s="29">
        <f t="shared" si="3"/>
        <v>2400</v>
      </c>
      <c r="I17" s="29">
        <f t="shared" si="3"/>
        <v>2400</v>
      </c>
      <c r="J17" s="29">
        <f t="shared" si="3"/>
        <v>2656.77</v>
      </c>
      <c r="K17" s="29">
        <f t="shared" si="3"/>
        <v>2445</v>
      </c>
      <c r="L17" s="29">
        <f t="shared" si="3"/>
        <v>2400</v>
      </c>
      <c r="M17" s="29">
        <f t="shared" si="3"/>
        <v>2420</v>
      </c>
      <c r="N17" s="29">
        <f t="shared" si="3"/>
        <v>2445</v>
      </c>
      <c r="O17" s="29">
        <f t="shared" si="3"/>
        <v>2445</v>
      </c>
      <c r="P17" s="6"/>
      <c r="Q17" s="30">
        <f>SUM(Q7:Q16)</f>
        <v>29409.75</v>
      </c>
      <c r="R17" s="31"/>
      <c r="S17" s="30"/>
      <c r="T17" s="6"/>
      <c r="U17" s="6"/>
      <c r="V17" s="18"/>
      <c r="W17" s="18"/>
      <c r="X17" s="18"/>
      <c r="Y17" s="18"/>
      <c r="Z17" s="18"/>
      <c r="AA17" s="18"/>
      <c r="AB17" s="18"/>
    </row>
    <row r="18" spans="1:28" ht="15" x14ac:dyDescent="0.25">
      <c r="A18" s="6"/>
      <c r="B18" s="6"/>
      <c r="C18" s="6"/>
      <c r="D18" s="6"/>
      <c r="E18" s="6"/>
      <c r="F18" s="7"/>
      <c r="G18" s="7"/>
      <c r="H18" s="7"/>
      <c r="I18" s="7"/>
      <c r="J18" s="7"/>
      <c r="K18" s="7"/>
      <c r="L18" s="7"/>
      <c r="M18" s="7"/>
      <c r="N18" s="6"/>
      <c r="O18" s="6"/>
      <c r="P18" s="6"/>
      <c r="Q18" s="76"/>
      <c r="R18" s="6"/>
      <c r="S18" s="6"/>
      <c r="T18" s="6"/>
      <c r="U18" s="6"/>
      <c r="V18" s="10"/>
      <c r="W18" s="10"/>
      <c r="X18" s="10"/>
      <c r="Y18" s="10"/>
      <c r="Z18" s="10"/>
      <c r="AA18" s="10"/>
      <c r="AB18" s="10"/>
    </row>
    <row r="19" spans="1:28" ht="15" x14ac:dyDescent="0.25">
      <c r="A19" s="32"/>
      <c r="B19" s="32"/>
      <c r="C19" s="32" t="s">
        <v>21</v>
      </c>
      <c r="D19" s="33" t="s">
        <v>2</v>
      </c>
      <c r="E19" s="33" t="s">
        <v>3</v>
      </c>
      <c r="F19" s="33" t="s">
        <v>4</v>
      </c>
      <c r="G19" s="33" t="s">
        <v>5</v>
      </c>
      <c r="H19" s="33" t="s">
        <v>6</v>
      </c>
      <c r="I19" s="33" t="s">
        <v>7</v>
      </c>
      <c r="J19" s="33" t="s">
        <v>8</v>
      </c>
      <c r="K19" s="33" t="s">
        <v>9</v>
      </c>
      <c r="L19" s="33" t="s">
        <v>10</v>
      </c>
      <c r="M19" s="33" t="s">
        <v>11</v>
      </c>
      <c r="N19" s="33" t="s">
        <v>12</v>
      </c>
      <c r="O19" s="33" t="s">
        <v>13</v>
      </c>
      <c r="P19" s="6"/>
      <c r="Q19" s="74" t="s">
        <v>16</v>
      </c>
      <c r="R19" s="35" t="s">
        <v>17</v>
      </c>
      <c r="S19" s="33"/>
      <c r="T19" s="6"/>
      <c r="U19" s="6"/>
      <c r="V19" s="14"/>
      <c r="W19" s="14"/>
      <c r="X19" s="14"/>
      <c r="Y19" s="14"/>
      <c r="Z19" s="14"/>
      <c r="AA19" s="14"/>
      <c r="AB19" s="14"/>
    </row>
    <row r="20" spans="1:28" ht="15" x14ac:dyDescent="0.25">
      <c r="A20" s="23" t="s">
        <v>21</v>
      </c>
      <c r="B20" s="23" t="s">
        <v>75</v>
      </c>
      <c r="C20" s="23" t="s">
        <v>22</v>
      </c>
      <c r="D20" s="24">
        <v>420.84</v>
      </c>
      <c r="E20" s="24">
        <v>390.17</v>
      </c>
      <c r="F20" s="24">
        <v>390.17</v>
      </c>
      <c r="G20" s="24">
        <v>456.78</v>
      </c>
      <c r="H20" s="24">
        <v>390.17</v>
      </c>
      <c r="I20" s="24">
        <v>390.17</v>
      </c>
      <c r="J20" s="24">
        <v>404.12</v>
      </c>
      <c r="K20" s="24">
        <v>390.17</v>
      </c>
      <c r="L20" s="24">
        <v>330</v>
      </c>
      <c r="M20" s="24">
        <v>332.15</v>
      </c>
      <c r="N20" s="24">
        <v>390.17</v>
      </c>
      <c r="O20" s="24">
        <v>390.17</v>
      </c>
      <c r="P20" s="6"/>
      <c r="Q20" s="25">
        <f t="shared" ref="Q20:Q26" si="4">SUM(D20:O20)</f>
        <v>4675.08</v>
      </c>
      <c r="R20" s="36" t="str">
        <f ca="1">IFERROR(__xludf.DUMMYFUNCTION("iferror(SPARKLINE(B20:M20))"),"")</f>
        <v/>
      </c>
      <c r="S20" s="27">
        <v>0.30171265959999999</v>
      </c>
      <c r="T20" s="6"/>
      <c r="U20" s="6"/>
      <c r="V20" s="18"/>
      <c r="W20" s="18"/>
      <c r="X20" s="18"/>
      <c r="Y20" s="18"/>
      <c r="Z20" s="18"/>
      <c r="AA20" s="18"/>
      <c r="AB20" s="18"/>
    </row>
    <row r="21" spans="1:28" ht="15" x14ac:dyDescent="0.25">
      <c r="A21" s="23" t="s">
        <v>21</v>
      </c>
      <c r="B21" s="23" t="s">
        <v>76</v>
      </c>
      <c r="C21" s="23" t="s">
        <v>23</v>
      </c>
      <c r="D21" s="24">
        <v>66.599999999999994</v>
      </c>
      <c r="E21" s="24">
        <v>73.45</v>
      </c>
      <c r="F21" s="24">
        <v>71.099999999999994</v>
      </c>
      <c r="G21" s="24">
        <v>71.099999999999994</v>
      </c>
      <c r="H21" s="24">
        <v>71.099999999999994</v>
      </c>
      <c r="I21" s="24">
        <v>97</v>
      </c>
      <c r="J21" s="24">
        <v>72</v>
      </c>
      <c r="K21" s="24">
        <v>72</v>
      </c>
      <c r="L21" s="24">
        <v>72</v>
      </c>
      <c r="M21" s="24">
        <v>72</v>
      </c>
      <c r="N21" s="24">
        <v>72</v>
      </c>
      <c r="O21" s="24">
        <v>72</v>
      </c>
      <c r="P21" s="6"/>
      <c r="Q21" s="25">
        <f t="shared" si="4"/>
        <v>882.35</v>
      </c>
      <c r="R21" s="36" t="str">
        <f ca="1">IFERROR(__xludf.DUMMYFUNCTION("iferror(SPARKLINE(B21:M21))"),"")</f>
        <v/>
      </c>
      <c r="S21" s="27">
        <v>6.7822067489999999E-2</v>
      </c>
      <c r="T21" s="6"/>
      <c r="U21" s="6"/>
      <c r="V21" s="18"/>
      <c r="W21" s="18"/>
      <c r="X21" s="18"/>
      <c r="Y21" s="18"/>
      <c r="Z21" s="18"/>
      <c r="AA21" s="18"/>
      <c r="AB21" s="18"/>
    </row>
    <row r="22" spans="1:28" ht="15" x14ac:dyDescent="0.25">
      <c r="A22" s="23" t="s">
        <v>21</v>
      </c>
      <c r="B22" s="23" t="s">
        <v>77</v>
      </c>
      <c r="C22" s="23" t="s">
        <v>24</v>
      </c>
      <c r="D22" s="24">
        <v>49.99</v>
      </c>
      <c r="E22" s="24">
        <v>92.98</v>
      </c>
      <c r="F22" s="24">
        <v>85.14</v>
      </c>
      <c r="G22" s="24">
        <v>57.98</v>
      </c>
      <c r="H22" s="24">
        <v>60.98</v>
      </c>
      <c r="I22" s="24">
        <v>62.06</v>
      </c>
      <c r="J22" s="24">
        <v>60.98</v>
      </c>
      <c r="K22" s="24">
        <v>60.98</v>
      </c>
      <c r="L22" s="24">
        <v>57.84</v>
      </c>
      <c r="M22" s="24">
        <v>57.84</v>
      </c>
      <c r="N22" s="24">
        <v>57.84</v>
      </c>
      <c r="O22" s="24">
        <v>57.84</v>
      </c>
      <c r="P22" s="6"/>
      <c r="Q22" s="25">
        <f t="shared" si="4"/>
        <v>762.45000000000016</v>
      </c>
      <c r="R22" s="36" t="str">
        <f ca="1">IFERROR(__xludf.DUMMYFUNCTION("iferror(SPARKLINE(B22:M22))"),"")</f>
        <v/>
      </c>
      <c r="S22" s="27">
        <v>4.9850148750000003E-2</v>
      </c>
      <c r="T22" s="6"/>
      <c r="U22" s="6"/>
      <c r="V22" s="18"/>
      <c r="W22" s="18"/>
      <c r="X22" s="18"/>
      <c r="Y22" s="18"/>
      <c r="Z22" s="18"/>
      <c r="AA22" s="18"/>
      <c r="AB22" s="18"/>
    </row>
    <row r="23" spans="1:28" ht="15" x14ac:dyDescent="0.25">
      <c r="A23" s="23" t="s">
        <v>21</v>
      </c>
      <c r="B23" s="23" t="s">
        <v>77</v>
      </c>
      <c r="C23" s="23" t="s">
        <v>58</v>
      </c>
      <c r="D23" s="24">
        <v>30.79</v>
      </c>
      <c r="E23" s="24">
        <v>30.79</v>
      </c>
      <c r="F23" s="24">
        <v>33.979999999999997</v>
      </c>
      <c r="G23" s="24">
        <v>33.979999999999997</v>
      </c>
      <c r="H23" s="24">
        <v>33.979999999999997</v>
      </c>
      <c r="I23" s="24">
        <v>33.979999999999997</v>
      </c>
      <c r="J23" s="24">
        <v>43.88</v>
      </c>
      <c r="K23" s="24">
        <v>33.979999999999997</v>
      </c>
      <c r="L23" s="24">
        <v>33.979999999999997</v>
      </c>
      <c r="M23" s="24">
        <v>33.979999999999997</v>
      </c>
      <c r="N23" s="24">
        <v>33.979999999999997</v>
      </c>
      <c r="O23" s="24">
        <v>33.979999999999997</v>
      </c>
      <c r="P23" s="6"/>
      <c r="Q23" s="25">
        <f t="shared" si="4"/>
        <v>411.28000000000003</v>
      </c>
      <c r="R23" s="36" t="str">
        <f ca="1">IFERROR(__xludf.DUMMYFUNCTION("iferror(SPARKLINE(B23:M23))"),"")</f>
        <v/>
      </c>
      <c r="S23" s="27">
        <v>1.6710202140000002E-2</v>
      </c>
      <c r="T23" s="6"/>
      <c r="U23" s="6"/>
      <c r="V23" s="18"/>
      <c r="W23" s="18"/>
      <c r="X23" s="18"/>
      <c r="Y23" s="18"/>
      <c r="Z23" s="18"/>
      <c r="AA23" s="18"/>
      <c r="AB23" s="18"/>
    </row>
    <row r="24" spans="1:28" ht="15" x14ac:dyDescent="0.25">
      <c r="A24" s="23" t="s">
        <v>21</v>
      </c>
      <c r="B24" s="23" t="s">
        <v>78</v>
      </c>
      <c r="C24" s="23" t="s">
        <v>59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6"/>
      <c r="Q24" s="25">
        <f t="shared" si="4"/>
        <v>0</v>
      </c>
      <c r="R24" s="36" t="str">
        <f ca="1">IFERROR(__xludf.DUMMYFUNCTION("iferror(SPARKLINE(B24:M24))"),"")</f>
        <v/>
      </c>
      <c r="S24" s="27">
        <v>0.25771853080000001</v>
      </c>
      <c r="T24" s="6"/>
      <c r="U24" s="6"/>
      <c r="V24" s="18"/>
      <c r="W24" s="18"/>
      <c r="X24" s="18"/>
      <c r="Y24" s="18"/>
      <c r="Z24" s="18"/>
      <c r="AA24" s="18"/>
      <c r="AB24" s="18"/>
    </row>
    <row r="25" spans="1:28" ht="15" x14ac:dyDescent="0.25">
      <c r="A25" s="23" t="s">
        <v>21</v>
      </c>
      <c r="B25" s="23" t="s">
        <v>78</v>
      </c>
      <c r="C25" s="23" t="s">
        <v>60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6"/>
      <c r="Q25" s="25">
        <f t="shared" si="4"/>
        <v>0</v>
      </c>
      <c r="R25" s="36" t="str">
        <f ca="1">IFERROR(__xludf.DUMMYFUNCTION("iferror(SPARKLINE(B25:M25))"),"")</f>
        <v/>
      </c>
      <c r="S25" s="27">
        <v>9.2571598690000007E-2</v>
      </c>
      <c r="T25" s="6"/>
      <c r="U25" s="6"/>
      <c r="V25" s="18"/>
      <c r="W25" s="18"/>
      <c r="X25" s="18"/>
      <c r="Y25" s="18"/>
      <c r="Z25" s="18"/>
      <c r="AA25" s="18"/>
      <c r="AB25" s="18"/>
    </row>
    <row r="26" spans="1:28" ht="15" x14ac:dyDescent="0.25">
      <c r="A26" s="23" t="s">
        <v>21</v>
      </c>
      <c r="B26" s="23" t="s">
        <v>75</v>
      </c>
      <c r="C26" s="23" t="s">
        <v>61</v>
      </c>
      <c r="D26" s="24">
        <v>150</v>
      </c>
      <c r="E26" s="24"/>
      <c r="F26" s="24">
        <v>300</v>
      </c>
      <c r="G26" s="24">
        <v>150</v>
      </c>
      <c r="H26" s="24"/>
      <c r="I26" s="24"/>
      <c r="J26" s="24">
        <v>150</v>
      </c>
      <c r="K26" s="24">
        <v>150</v>
      </c>
      <c r="L26" s="24" t="s">
        <v>89</v>
      </c>
      <c r="M26" s="24"/>
      <c r="N26" s="24">
        <v>150</v>
      </c>
      <c r="O26" s="24">
        <v>150</v>
      </c>
      <c r="P26" s="6"/>
      <c r="Q26" s="25">
        <f t="shared" si="4"/>
        <v>1200</v>
      </c>
      <c r="R26" s="36" t="s">
        <v>54</v>
      </c>
      <c r="S26" s="27">
        <v>9.2571598690000007E-2</v>
      </c>
      <c r="T26" s="6"/>
      <c r="U26" s="6"/>
      <c r="V26" s="18"/>
      <c r="W26" s="18"/>
      <c r="X26" s="18"/>
      <c r="Y26" s="18"/>
      <c r="Z26" s="18"/>
      <c r="AA26" s="18"/>
      <c r="AB26" s="18"/>
    </row>
    <row r="27" spans="1:28" ht="15" x14ac:dyDescent="0.25">
      <c r="A27" s="23" t="s">
        <v>21</v>
      </c>
      <c r="B27" s="23" t="s">
        <v>79</v>
      </c>
      <c r="C27" s="23" t="s">
        <v>62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6"/>
      <c r="Q27" s="25">
        <f t="shared" ref="Q27:Q29" si="5">SUM(D27:O27)</f>
        <v>0</v>
      </c>
      <c r="R27" s="36" t="str">
        <f ca="1">IFERROR(__xludf.DUMMYFUNCTION("iferror(SPARKLINE(B27:M27))"),"")</f>
        <v/>
      </c>
      <c r="S27" s="27">
        <v>8.5687700330000005E-2</v>
      </c>
      <c r="T27" s="6"/>
      <c r="U27" s="6"/>
      <c r="V27" s="18"/>
      <c r="W27" s="18"/>
      <c r="X27" s="18"/>
      <c r="Y27" s="18"/>
      <c r="Z27" s="18"/>
      <c r="AA27" s="18"/>
      <c r="AB27" s="18"/>
    </row>
    <row r="28" spans="1:28" ht="15" x14ac:dyDescent="0.25">
      <c r="A28" s="23" t="s">
        <v>21</v>
      </c>
      <c r="B28" s="23" t="s">
        <v>79</v>
      </c>
      <c r="C28" s="23" t="s">
        <v>63</v>
      </c>
      <c r="D28" s="24">
        <v>244.44</v>
      </c>
      <c r="E28" s="24">
        <v>268.23</v>
      </c>
      <c r="F28" s="24">
        <v>301.69</v>
      </c>
      <c r="G28" s="24">
        <v>231.54</v>
      </c>
      <c r="H28" s="24">
        <v>359.81</v>
      </c>
      <c r="I28" s="24">
        <v>212.2</v>
      </c>
      <c r="J28" s="24">
        <v>421.08</v>
      </c>
      <c r="K28" s="24">
        <v>150</v>
      </c>
      <c r="L28" s="24">
        <v>244.44</v>
      </c>
      <c r="M28" s="24">
        <v>268.23</v>
      </c>
      <c r="N28" s="24">
        <v>212.2</v>
      </c>
      <c r="O28" s="24">
        <v>150</v>
      </c>
      <c r="P28" s="6"/>
      <c r="Q28" s="25">
        <f t="shared" si="5"/>
        <v>3063.8599999999997</v>
      </c>
      <c r="R28" s="36" t="str">
        <f ca="1">IFERROR(__xludf.DUMMYFUNCTION("iferror(SPARKLINE(B28:M28))"),"")</f>
        <v/>
      </c>
      <c r="S28" s="27">
        <v>2.8868624480000001E-2</v>
      </c>
      <c r="T28" s="6"/>
      <c r="U28" s="6"/>
      <c r="V28" s="18"/>
      <c r="W28" s="18"/>
      <c r="X28" s="18"/>
      <c r="Y28" s="18"/>
      <c r="Z28" s="18"/>
      <c r="AA28" s="18"/>
      <c r="AB28" s="18"/>
    </row>
    <row r="29" spans="1:28" ht="15" x14ac:dyDescent="0.25">
      <c r="A29" s="23" t="s">
        <v>21</v>
      </c>
      <c r="B29" s="23" t="s">
        <v>80</v>
      </c>
      <c r="C29" s="23" t="s">
        <v>64</v>
      </c>
      <c r="D29" s="24">
        <v>104.4</v>
      </c>
      <c r="E29" s="24">
        <v>25.4</v>
      </c>
      <c r="F29" s="24">
        <v>60</v>
      </c>
      <c r="G29" s="24">
        <v>69.400000000000006</v>
      </c>
      <c r="H29" s="24">
        <v>87.7</v>
      </c>
      <c r="I29" s="24">
        <v>142.4</v>
      </c>
      <c r="J29" s="24">
        <v>64.7</v>
      </c>
      <c r="K29" s="24">
        <v>64.7</v>
      </c>
      <c r="L29" s="24">
        <v>87.7</v>
      </c>
      <c r="M29" s="24">
        <v>142.4</v>
      </c>
      <c r="N29" s="24">
        <v>64.7</v>
      </c>
      <c r="O29" s="24">
        <v>64.7</v>
      </c>
      <c r="P29" s="6"/>
      <c r="Q29" s="25">
        <f t="shared" si="5"/>
        <v>978.20000000000027</v>
      </c>
      <c r="R29" s="36" t="str">
        <f ca="1">IFERROR(__xludf.DUMMYFUNCTION("iferror(SPARKLINE(B29:M29))"),"")</f>
        <v/>
      </c>
      <c r="S29" s="27">
        <v>9.9058467760000005E-2</v>
      </c>
      <c r="T29" s="6"/>
      <c r="U29" s="6"/>
      <c r="V29" s="18"/>
      <c r="W29" s="18"/>
      <c r="X29" s="18"/>
      <c r="Y29" s="18"/>
      <c r="Z29" s="18"/>
      <c r="AA29" s="18"/>
      <c r="AB29" s="18"/>
    </row>
    <row r="30" spans="1:28" ht="15" x14ac:dyDescent="0.25">
      <c r="A30" s="23" t="s">
        <v>21</v>
      </c>
      <c r="B30" s="23" t="s">
        <v>80</v>
      </c>
      <c r="C30" s="23" t="s">
        <v>65</v>
      </c>
      <c r="D30" s="24">
        <v>190.67</v>
      </c>
      <c r="E30" s="24">
        <v>156.65</v>
      </c>
      <c r="F30" s="24">
        <v>200.59</v>
      </c>
      <c r="G30" s="24">
        <v>155.44999999999999</v>
      </c>
      <c r="H30" s="24">
        <v>161.38999999999999</v>
      </c>
      <c r="I30" s="24">
        <v>119.86</v>
      </c>
      <c r="J30" s="24">
        <v>99.59</v>
      </c>
      <c r="K30" s="24">
        <v>121.26</v>
      </c>
      <c r="L30" s="24">
        <v>161.38999999999999</v>
      </c>
      <c r="M30" s="24">
        <v>119.86</v>
      </c>
      <c r="N30" s="24">
        <v>99.59</v>
      </c>
      <c r="O30" s="24">
        <v>121.26</v>
      </c>
      <c r="P30" s="6"/>
      <c r="Q30" s="25">
        <f t="shared" ref="Q30:Q31" si="6">SUM(D30:O30)</f>
        <v>1707.5599999999997</v>
      </c>
      <c r="R30" s="36" t="s">
        <v>54</v>
      </c>
      <c r="S30" s="27">
        <v>9.2571598690000007E-2</v>
      </c>
      <c r="T30" s="6"/>
      <c r="U30" s="6"/>
      <c r="V30" s="18"/>
      <c r="W30" s="18"/>
      <c r="X30" s="18"/>
      <c r="Y30" s="18"/>
      <c r="Z30" s="18"/>
      <c r="AA30" s="18"/>
      <c r="AB30" s="18"/>
    </row>
    <row r="31" spans="1:28" ht="15" x14ac:dyDescent="0.25">
      <c r="A31" s="23" t="s">
        <v>21</v>
      </c>
      <c r="B31" s="23" t="s">
        <v>81</v>
      </c>
      <c r="C31" s="23" t="s">
        <v>27</v>
      </c>
      <c r="D31" s="24">
        <v>330</v>
      </c>
      <c r="E31" s="24">
        <v>330</v>
      </c>
      <c r="F31" s="24">
        <v>330</v>
      </c>
      <c r="G31" s="24">
        <v>330</v>
      </c>
      <c r="H31" s="24">
        <v>330</v>
      </c>
      <c r="I31" s="24">
        <v>330</v>
      </c>
      <c r="J31" s="24">
        <v>330</v>
      </c>
      <c r="K31" s="24">
        <v>330</v>
      </c>
      <c r="L31" s="24">
        <v>330</v>
      </c>
      <c r="M31" s="24">
        <v>330</v>
      </c>
      <c r="N31" s="24">
        <v>330</v>
      </c>
      <c r="O31" s="24">
        <v>330</v>
      </c>
      <c r="P31" s="6"/>
      <c r="Q31" s="25">
        <f t="shared" si="6"/>
        <v>3960</v>
      </c>
      <c r="R31" s="36" t="s">
        <v>54</v>
      </c>
      <c r="S31" s="27">
        <v>0</v>
      </c>
      <c r="T31" s="4"/>
      <c r="U31" s="6"/>
      <c r="V31" s="18"/>
      <c r="W31" s="18"/>
      <c r="X31" s="18"/>
      <c r="Y31" s="18"/>
      <c r="Z31" s="18"/>
      <c r="AA31" s="18"/>
      <c r="AB31" s="18"/>
    </row>
    <row r="32" spans="1:28" ht="15" x14ac:dyDescent="0.25">
      <c r="A32" s="23" t="s">
        <v>21</v>
      </c>
      <c r="B32" s="23" t="s">
        <v>79</v>
      </c>
      <c r="C32" s="23" t="s">
        <v>67</v>
      </c>
      <c r="D32" s="24">
        <v>28.29</v>
      </c>
      <c r="E32" s="24">
        <v>49.87</v>
      </c>
      <c r="F32" s="24">
        <v>58.4</v>
      </c>
      <c r="G32" s="24">
        <v>123.37</v>
      </c>
      <c r="H32" s="24">
        <v>59.76</v>
      </c>
      <c r="I32" s="24">
        <v>79.900000000000006</v>
      </c>
      <c r="J32" s="24"/>
      <c r="K32" s="24"/>
      <c r="L32" s="24">
        <v>79.900000000000006</v>
      </c>
      <c r="M32" s="24">
        <v>28.29</v>
      </c>
      <c r="N32" s="24">
        <v>49.87</v>
      </c>
      <c r="O32" s="24"/>
      <c r="P32" s="6"/>
      <c r="Q32" s="25">
        <f t="shared" ref="Q32" si="7">SUM(D32:O32)</f>
        <v>557.65</v>
      </c>
      <c r="R32" s="36"/>
      <c r="S32" s="27"/>
      <c r="T32" s="4"/>
      <c r="U32" s="6"/>
      <c r="V32" s="18"/>
      <c r="W32" s="18"/>
      <c r="X32" s="18"/>
      <c r="Y32" s="18"/>
      <c r="Z32" s="18"/>
      <c r="AA32" s="18"/>
      <c r="AB32" s="18"/>
    </row>
    <row r="33" spans="1:28" ht="15" x14ac:dyDescent="0.25">
      <c r="A33" s="23" t="s">
        <v>21</v>
      </c>
      <c r="B33" s="23" t="s">
        <v>81</v>
      </c>
      <c r="C33" s="23" t="s">
        <v>28</v>
      </c>
      <c r="D33" s="24">
        <v>185</v>
      </c>
      <c r="E33" s="24">
        <v>185</v>
      </c>
      <c r="F33" s="24">
        <v>185</v>
      </c>
      <c r="G33" s="24">
        <v>185</v>
      </c>
      <c r="H33" s="24">
        <v>185</v>
      </c>
      <c r="I33" s="24">
        <v>185</v>
      </c>
      <c r="J33" s="24">
        <v>185</v>
      </c>
      <c r="K33" s="24">
        <v>185</v>
      </c>
      <c r="L33" s="24">
        <v>185</v>
      </c>
      <c r="M33" s="24">
        <v>185</v>
      </c>
      <c r="N33" s="24">
        <v>185</v>
      </c>
      <c r="O33" s="24">
        <v>185</v>
      </c>
      <c r="P33" s="6"/>
      <c r="Q33" s="25">
        <f t="shared" ref="Q31:Q33" si="8">SUM(D33:O33)</f>
        <v>2220</v>
      </c>
      <c r="R33" s="36" t="s">
        <v>54</v>
      </c>
      <c r="S33" s="27">
        <v>0</v>
      </c>
      <c r="T33" s="4"/>
      <c r="U33" s="6"/>
      <c r="V33" s="18"/>
      <c r="W33" s="18"/>
      <c r="X33" s="18"/>
      <c r="Y33" s="18"/>
      <c r="Z33" s="18"/>
      <c r="AA33" s="18"/>
      <c r="AB33" s="18"/>
    </row>
    <row r="34" spans="1:28" ht="15" x14ac:dyDescent="0.25">
      <c r="A34" s="38"/>
      <c r="B34" s="38"/>
      <c r="C34" s="38" t="s">
        <v>25</v>
      </c>
      <c r="D34" s="39">
        <f>SUM(D20:D33)</f>
        <v>1801.02</v>
      </c>
      <c r="E34" s="39">
        <f>SUM(E20:E33)</f>
        <v>1602.54</v>
      </c>
      <c r="F34" s="39">
        <f>SUM(F20:F33)</f>
        <v>2016.07</v>
      </c>
      <c r="G34" s="39">
        <f>SUM(G20:G33)</f>
        <v>1864.6</v>
      </c>
      <c r="H34" s="39">
        <f>SUM(H20:H33)</f>
        <v>1739.89</v>
      </c>
      <c r="I34" s="39">
        <f>SUM(I20:I33)</f>
        <v>1652.5700000000002</v>
      </c>
      <c r="J34" s="39">
        <f>SUM(J20:J33)</f>
        <v>1831.35</v>
      </c>
      <c r="K34" s="39">
        <f>SUM(K20:K33)</f>
        <v>1558.0900000000001</v>
      </c>
      <c r="L34" s="39">
        <f>SUM(L20:L33)</f>
        <v>1582.25</v>
      </c>
      <c r="M34" s="39">
        <f>SUM(M20:M33)</f>
        <v>1569.75</v>
      </c>
      <c r="N34" s="39">
        <f>SUM(N20:N33)</f>
        <v>1645.35</v>
      </c>
      <c r="O34" s="39">
        <f>SUM(O20:O33)</f>
        <v>1554.95</v>
      </c>
      <c r="P34" s="6"/>
      <c r="Q34" s="40">
        <f>SUM(Q20:Q33)</f>
        <v>20418.43</v>
      </c>
      <c r="R34" s="41"/>
      <c r="S34" s="40"/>
      <c r="T34" s="4"/>
      <c r="U34" s="6"/>
      <c r="V34" s="18"/>
      <c r="W34" s="18"/>
      <c r="X34" s="18"/>
      <c r="Y34" s="18"/>
      <c r="Z34" s="18"/>
      <c r="AA34" s="18"/>
      <c r="AB34" s="18"/>
    </row>
    <row r="35" spans="1:28" ht="15" x14ac:dyDescent="0.25">
      <c r="A35" s="6"/>
      <c r="B35" s="6"/>
      <c r="C35" s="6"/>
      <c r="D35" s="6"/>
      <c r="E35" s="6"/>
      <c r="F35" s="7"/>
      <c r="G35" s="7"/>
      <c r="H35" s="7"/>
      <c r="I35" s="7"/>
      <c r="J35" s="7"/>
      <c r="K35" s="7"/>
      <c r="L35" s="7"/>
      <c r="M35" s="7"/>
      <c r="N35" s="7"/>
      <c r="O35" s="6"/>
      <c r="P35" s="6"/>
      <c r="Q35" s="6"/>
      <c r="R35" s="6"/>
      <c r="S35" s="6"/>
      <c r="T35" s="4"/>
      <c r="U35" s="6"/>
      <c r="V35" s="10"/>
      <c r="W35" s="10"/>
      <c r="X35" s="10"/>
      <c r="Y35" s="10"/>
      <c r="Z35" s="10"/>
      <c r="AA35" s="10"/>
      <c r="AB35" s="10"/>
    </row>
    <row r="36" spans="1:28" ht="15" x14ac:dyDescent="0.25">
      <c r="A36" s="42"/>
      <c r="B36" s="42"/>
      <c r="C36" s="42" t="s">
        <v>26</v>
      </c>
      <c r="D36" s="33" t="s">
        <v>2</v>
      </c>
      <c r="E36" s="33" t="s">
        <v>3</v>
      </c>
      <c r="F36" s="33" t="s">
        <v>4</v>
      </c>
      <c r="G36" s="33" t="s">
        <v>5</v>
      </c>
      <c r="H36" s="33" t="s">
        <v>6</v>
      </c>
      <c r="I36" s="33" t="s">
        <v>7</v>
      </c>
      <c r="J36" s="33" t="s">
        <v>8</v>
      </c>
      <c r="K36" s="33" t="s">
        <v>9</v>
      </c>
      <c r="L36" s="33" t="s">
        <v>10</v>
      </c>
      <c r="M36" s="33" t="s">
        <v>11</v>
      </c>
      <c r="N36" s="33" t="s">
        <v>12</v>
      </c>
      <c r="O36" s="33" t="s">
        <v>13</v>
      </c>
      <c r="P36" s="6"/>
      <c r="Q36" s="34" t="s">
        <v>16</v>
      </c>
      <c r="R36" s="35"/>
      <c r="S36" s="33"/>
      <c r="T36" s="4"/>
      <c r="U36" s="6"/>
      <c r="V36" s="14"/>
      <c r="W36" s="14"/>
      <c r="X36" s="14"/>
      <c r="Y36" s="14"/>
      <c r="Z36" s="14"/>
      <c r="AA36" s="14"/>
      <c r="AB36" s="14"/>
    </row>
    <row r="37" spans="1:28" ht="15" x14ac:dyDescent="0.25">
      <c r="A37" s="23" t="s">
        <v>26</v>
      </c>
      <c r="B37" s="23"/>
      <c r="C37" s="23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6"/>
      <c r="Q37" s="25">
        <f t="shared" ref="Q37:Q43" si="9">SUM(D37:O37)</f>
        <v>0</v>
      </c>
      <c r="R37" s="36"/>
      <c r="S37" s="27">
        <v>0</v>
      </c>
      <c r="T37" s="4"/>
      <c r="U37" s="6"/>
      <c r="V37" s="18"/>
      <c r="W37" s="18"/>
      <c r="X37" s="18"/>
      <c r="Y37" s="18"/>
      <c r="Z37" s="18"/>
      <c r="AA37" s="18"/>
      <c r="AB37" s="18"/>
    </row>
    <row r="38" spans="1:28" ht="15" x14ac:dyDescent="0.25">
      <c r="A38" s="23" t="s">
        <v>26</v>
      </c>
      <c r="B38" s="23"/>
      <c r="C38" s="23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6"/>
      <c r="Q38" s="25">
        <f t="shared" si="9"/>
        <v>0</v>
      </c>
      <c r="R38" s="36"/>
      <c r="S38" s="27">
        <v>0</v>
      </c>
      <c r="T38" s="43"/>
      <c r="U38" s="6"/>
      <c r="V38" s="18"/>
      <c r="W38" s="18"/>
      <c r="X38" s="18"/>
      <c r="Y38" s="18"/>
      <c r="Z38" s="18"/>
      <c r="AA38" s="18"/>
      <c r="AB38" s="18"/>
    </row>
    <row r="39" spans="1:28" ht="15" x14ac:dyDescent="0.25">
      <c r="A39" s="23" t="s">
        <v>26</v>
      </c>
      <c r="B39" s="23" t="s">
        <v>81</v>
      </c>
      <c r="C39" s="23" t="s">
        <v>66</v>
      </c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6"/>
      <c r="Q39" s="25">
        <f t="shared" si="9"/>
        <v>0</v>
      </c>
      <c r="R39" s="36"/>
      <c r="S39" s="27">
        <v>0</v>
      </c>
      <c r="T39" s="6"/>
      <c r="U39" s="6"/>
      <c r="V39" s="18"/>
      <c r="W39" s="18"/>
      <c r="X39" s="18"/>
      <c r="Y39" s="18"/>
      <c r="Z39" s="18"/>
      <c r="AA39" s="18"/>
      <c r="AB39" s="18"/>
    </row>
    <row r="40" spans="1:28" ht="15" x14ac:dyDescent="0.25">
      <c r="A40" s="23" t="s">
        <v>26</v>
      </c>
      <c r="B40" s="23"/>
      <c r="C40" s="23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6"/>
      <c r="Q40" s="25">
        <f t="shared" si="9"/>
        <v>0</v>
      </c>
      <c r="R40" s="36"/>
      <c r="S40" s="27">
        <v>3.0975134400000002E-4</v>
      </c>
      <c r="T40" s="6"/>
      <c r="U40" s="6"/>
      <c r="V40" s="18"/>
      <c r="W40" s="18"/>
      <c r="X40" s="18"/>
      <c r="Y40" s="18"/>
      <c r="Z40" s="18"/>
      <c r="AA40" s="18"/>
      <c r="AB40" s="18"/>
    </row>
    <row r="41" spans="1:28" ht="15" x14ac:dyDescent="0.25">
      <c r="A41" s="23" t="s">
        <v>26</v>
      </c>
      <c r="B41" s="23"/>
      <c r="C41" s="23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6"/>
      <c r="Q41" s="25">
        <f t="shared" si="9"/>
        <v>0</v>
      </c>
      <c r="R41" s="36"/>
      <c r="S41" s="27">
        <v>0</v>
      </c>
      <c r="T41" s="6"/>
      <c r="U41" s="6"/>
      <c r="V41" s="18"/>
      <c r="W41" s="18"/>
      <c r="X41" s="18"/>
      <c r="Y41" s="18"/>
      <c r="Z41" s="18"/>
      <c r="AA41" s="18"/>
      <c r="AB41" s="18"/>
    </row>
    <row r="42" spans="1:28" ht="15" x14ac:dyDescent="0.25">
      <c r="A42" s="23" t="s">
        <v>26</v>
      </c>
      <c r="B42" s="23"/>
      <c r="C42" s="23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6"/>
      <c r="Q42" s="25">
        <f t="shared" si="9"/>
        <v>0</v>
      </c>
      <c r="R42" s="36"/>
      <c r="S42" s="27">
        <v>0</v>
      </c>
      <c r="T42" s="6"/>
      <c r="U42" s="6"/>
      <c r="V42" s="18"/>
      <c r="W42" s="18"/>
      <c r="X42" s="18"/>
      <c r="Y42" s="18"/>
      <c r="Z42" s="18"/>
      <c r="AA42" s="18"/>
      <c r="AB42" s="18"/>
    </row>
    <row r="43" spans="1:28" ht="15" x14ac:dyDescent="0.25">
      <c r="A43" s="23" t="s">
        <v>26</v>
      </c>
      <c r="B43" s="23"/>
      <c r="C43" s="23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6"/>
      <c r="Q43" s="25">
        <f t="shared" si="9"/>
        <v>0</v>
      </c>
      <c r="R43" s="36"/>
      <c r="S43" s="27">
        <v>0</v>
      </c>
      <c r="T43" s="6"/>
      <c r="U43" s="6"/>
      <c r="V43" s="18"/>
      <c r="W43" s="18"/>
      <c r="X43" s="18"/>
      <c r="Y43" s="18"/>
      <c r="Z43" s="18"/>
      <c r="AA43" s="18"/>
      <c r="AB43" s="18"/>
    </row>
    <row r="44" spans="1:28" ht="15" x14ac:dyDescent="0.25">
      <c r="A44" s="23" t="s">
        <v>26</v>
      </c>
      <c r="B44" s="23" t="s">
        <v>75</v>
      </c>
      <c r="C44" s="23" t="s">
        <v>30</v>
      </c>
      <c r="D44" s="24">
        <v>261.2</v>
      </c>
      <c r="E44" s="24">
        <v>45.55</v>
      </c>
      <c r="F44" s="24">
        <v>70.55</v>
      </c>
      <c r="G44" s="24">
        <v>35.9</v>
      </c>
      <c r="H44" s="24">
        <v>216.89</v>
      </c>
      <c r="I44" s="24">
        <v>20.25</v>
      </c>
      <c r="J44" s="24">
        <v>59.15</v>
      </c>
      <c r="K44" s="24"/>
      <c r="L44" s="24">
        <v>70.55</v>
      </c>
      <c r="M44" s="24">
        <v>35.9</v>
      </c>
      <c r="N44" s="24"/>
      <c r="O44" s="24">
        <v>45.55</v>
      </c>
      <c r="P44" s="6"/>
      <c r="Q44" s="25">
        <f t="shared" ref="Q44:Q46" si="10">SUM(D44:O44)</f>
        <v>861.48999999999978</v>
      </c>
      <c r="R44" s="36"/>
      <c r="S44" s="27">
        <v>0</v>
      </c>
      <c r="T44" s="6"/>
      <c r="U44" s="6"/>
      <c r="V44" s="18"/>
      <c r="W44" s="18"/>
      <c r="X44" s="18"/>
      <c r="Y44" s="18"/>
      <c r="Z44" s="18"/>
      <c r="AA44" s="18"/>
      <c r="AB44" s="18"/>
    </row>
    <row r="45" spans="1:28" ht="15" x14ac:dyDescent="0.25">
      <c r="A45" s="23" t="s">
        <v>26</v>
      </c>
      <c r="B45" s="23"/>
      <c r="C45" s="23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6"/>
      <c r="Q45" s="25">
        <f t="shared" si="10"/>
        <v>0</v>
      </c>
      <c r="R45" s="36"/>
      <c r="S45" s="27">
        <v>0</v>
      </c>
      <c r="T45" s="6"/>
      <c r="U45" s="6"/>
      <c r="V45" s="18"/>
      <c r="W45" s="18"/>
      <c r="X45" s="18"/>
      <c r="Y45" s="18"/>
      <c r="Z45" s="18"/>
      <c r="AA45" s="18"/>
      <c r="AB45" s="18"/>
    </row>
    <row r="46" spans="1:28" ht="15" x14ac:dyDescent="0.25">
      <c r="A46" s="23" t="s">
        <v>26</v>
      </c>
      <c r="B46" s="23" t="s">
        <v>79</v>
      </c>
      <c r="C46" s="23" t="s">
        <v>31</v>
      </c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6"/>
      <c r="Q46" s="25">
        <f t="shared" si="10"/>
        <v>0</v>
      </c>
      <c r="R46" s="36"/>
      <c r="S46" s="27">
        <v>6.5283193259999997E-2</v>
      </c>
      <c r="T46" s="43"/>
      <c r="U46" s="6"/>
      <c r="V46" s="18"/>
      <c r="W46" s="18"/>
      <c r="X46" s="18"/>
      <c r="Y46" s="18"/>
      <c r="Z46" s="18"/>
      <c r="AA46" s="18"/>
      <c r="AB46" s="18"/>
    </row>
    <row r="47" spans="1:28" ht="15" x14ac:dyDescent="0.25">
      <c r="A47" s="23" t="s">
        <v>26</v>
      </c>
      <c r="B47" s="86"/>
      <c r="C47" s="23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6"/>
      <c r="Q47" s="25">
        <f t="shared" ref="Q47" si="11">SUM(D47:O47)</f>
        <v>0</v>
      </c>
      <c r="R47" s="36"/>
      <c r="S47" s="27">
        <v>6.5952256170000003E-3</v>
      </c>
      <c r="T47" s="43"/>
      <c r="U47" s="6"/>
      <c r="V47" s="18"/>
      <c r="W47" s="18"/>
      <c r="X47" s="18"/>
      <c r="Y47" s="18"/>
      <c r="Z47" s="18"/>
      <c r="AA47" s="18"/>
      <c r="AB47" s="18"/>
    </row>
    <row r="48" spans="1:28" ht="15" x14ac:dyDescent="0.25">
      <c r="A48" s="23" t="s">
        <v>26</v>
      </c>
      <c r="B48" s="23" t="s">
        <v>75</v>
      </c>
      <c r="C48" s="23" t="s">
        <v>68</v>
      </c>
      <c r="D48" s="24"/>
      <c r="E48" s="24"/>
      <c r="F48" s="24"/>
      <c r="G48" s="24">
        <v>161</v>
      </c>
      <c r="H48" s="24"/>
      <c r="I48" s="24"/>
      <c r="J48" s="24"/>
      <c r="K48" s="24"/>
      <c r="L48" s="24"/>
      <c r="M48" s="24"/>
      <c r="N48" s="24"/>
      <c r="O48" s="24"/>
      <c r="P48" s="6"/>
      <c r="Q48" s="25">
        <f t="shared" ref="Q48:Q54" si="12">SUM(D48:O48)</f>
        <v>161</v>
      </c>
      <c r="R48" s="36"/>
      <c r="S48" s="27">
        <v>1.492505876E-2</v>
      </c>
      <c r="T48" s="43"/>
      <c r="U48" s="6"/>
      <c r="V48" s="18"/>
      <c r="W48" s="18"/>
      <c r="X48" s="18"/>
      <c r="Y48" s="18"/>
      <c r="Z48" s="18"/>
      <c r="AA48" s="18"/>
      <c r="AB48" s="18"/>
    </row>
    <row r="49" spans="1:28" ht="15" x14ac:dyDescent="0.25">
      <c r="A49" s="23" t="s">
        <v>26</v>
      </c>
      <c r="B49" s="23" t="s">
        <v>75</v>
      </c>
      <c r="C49" s="23" t="s">
        <v>29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6"/>
      <c r="Q49" s="25">
        <f t="shared" si="12"/>
        <v>0</v>
      </c>
      <c r="R49" s="36"/>
      <c r="S49" s="27">
        <v>0</v>
      </c>
      <c r="T49" s="43"/>
      <c r="U49" s="6"/>
      <c r="V49" s="18"/>
      <c r="W49" s="18"/>
      <c r="X49" s="18"/>
      <c r="Y49" s="18"/>
      <c r="Z49" s="18"/>
      <c r="AA49" s="18"/>
      <c r="AB49" s="18"/>
    </row>
    <row r="50" spans="1:28" ht="15" x14ac:dyDescent="0.25">
      <c r="A50" s="23" t="s">
        <v>26</v>
      </c>
      <c r="B50" s="23"/>
      <c r="C50" s="23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6"/>
      <c r="Q50" s="25">
        <f t="shared" si="12"/>
        <v>0</v>
      </c>
      <c r="R50" s="36"/>
      <c r="S50" s="27">
        <v>2.2425997310000001E-2</v>
      </c>
      <c r="T50" s="43"/>
      <c r="U50" s="6"/>
      <c r="V50" s="18"/>
      <c r="W50" s="18"/>
      <c r="X50" s="18"/>
      <c r="Y50" s="18"/>
      <c r="Z50" s="18"/>
      <c r="AA50" s="18"/>
      <c r="AB50" s="18"/>
    </row>
    <row r="51" spans="1:28" ht="15" x14ac:dyDescent="0.25">
      <c r="A51" s="23" t="s">
        <v>26</v>
      </c>
      <c r="B51" s="23" t="s">
        <v>82</v>
      </c>
      <c r="C51" s="23" t="s">
        <v>32</v>
      </c>
      <c r="D51" s="24">
        <v>345</v>
      </c>
      <c r="E51" s="24"/>
      <c r="F51" s="24"/>
      <c r="G51" s="24"/>
      <c r="H51" s="24"/>
      <c r="I51" s="24">
        <v>40</v>
      </c>
      <c r="J51" s="24">
        <v>345</v>
      </c>
      <c r="K51" s="24" t="s">
        <v>85</v>
      </c>
      <c r="L51" s="24"/>
      <c r="M51" s="24"/>
      <c r="N51" s="24"/>
      <c r="O51" s="24">
        <v>345</v>
      </c>
      <c r="P51" s="6"/>
      <c r="Q51" s="25">
        <f t="shared" si="12"/>
        <v>1075</v>
      </c>
      <c r="R51" s="36"/>
      <c r="S51" s="27">
        <v>3.6891385069999999E-3</v>
      </c>
      <c r="T51" s="43"/>
      <c r="U51" s="6"/>
      <c r="V51" s="18"/>
      <c r="W51" s="18"/>
      <c r="X51" s="18"/>
      <c r="Y51" s="18"/>
      <c r="Z51" s="18"/>
      <c r="AA51" s="18"/>
      <c r="AB51" s="18"/>
    </row>
    <row r="52" spans="1:28" ht="15" x14ac:dyDescent="0.25">
      <c r="A52" s="23" t="s">
        <v>26</v>
      </c>
      <c r="B52" s="23" t="s">
        <v>82</v>
      </c>
      <c r="C52" s="23" t="s">
        <v>33</v>
      </c>
      <c r="D52" s="24">
        <v>81.599999999999994</v>
      </c>
      <c r="E52" s="24">
        <v>156.19999999999999</v>
      </c>
      <c r="F52" s="24">
        <v>114.55</v>
      </c>
      <c r="G52" s="24">
        <v>115.35</v>
      </c>
      <c r="H52" s="24">
        <v>18.489999999999998</v>
      </c>
      <c r="I52" s="24">
        <v>163.12</v>
      </c>
      <c r="J52" s="24">
        <v>152.12</v>
      </c>
      <c r="K52" s="24">
        <v>139.12</v>
      </c>
      <c r="L52" s="24">
        <v>18.489999999999998</v>
      </c>
      <c r="M52" s="24"/>
      <c r="N52" s="24"/>
      <c r="O52" s="24"/>
      <c r="P52" s="6"/>
      <c r="Q52" s="25">
        <f t="shared" si="12"/>
        <v>959.04</v>
      </c>
      <c r="R52" s="36"/>
      <c r="S52" s="27">
        <v>4.503784542E-2</v>
      </c>
      <c r="T52" s="43"/>
      <c r="U52" s="6"/>
      <c r="V52" s="18"/>
      <c r="W52" s="18"/>
      <c r="X52" s="18"/>
      <c r="Y52" s="18"/>
      <c r="Z52" s="18"/>
      <c r="AA52" s="18"/>
      <c r="AB52" s="18"/>
    </row>
    <row r="53" spans="1:28" ht="15" x14ac:dyDescent="0.25">
      <c r="A53" s="23" t="s">
        <v>26</v>
      </c>
      <c r="B53" s="23" t="s">
        <v>83</v>
      </c>
      <c r="C53" s="23" t="s">
        <v>35</v>
      </c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6"/>
      <c r="Q53" s="25">
        <f t="shared" si="12"/>
        <v>0</v>
      </c>
      <c r="R53" s="36"/>
      <c r="S53" s="27">
        <v>4.237708137E-2</v>
      </c>
      <c r="T53" s="43"/>
      <c r="U53" s="6"/>
      <c r="V53" s="18"/>
      <c r="W53" s="18"/>
      <c r="X53" s="18"/>
      <c r="Y53" s="18"/>
      <c r="Z53" s="18"/>
      <c r="AA53" s="18"/>
      <c r="AB53" s="18"/>
    </row>
    <row r="54" spans="1:28" ht="15" x14ac:dyDescent="0.25">
      <c r="A54" s="23" t="s">
        <v>26</v>
      </c>
      <c r="B54" s="23" t="s">
        <v>83</v>
      </c>
      <c r="C54" s="23" t="s">
        <v>36</v>
      </c>
      <c r="D54" s="24">
        <v>138.4</v>
      </c>
      <c r="E54" s="24">
        <v>409.9</v>
      </c>
      <c r="F54" s="24">
        <v>244.12</v>
      </c>
      <c r="G54" s="24">
        <v>62.8</v>
      </c>
      <c r="H54" s="24">
        <v>95</v>
      </c>
      <c r="I54" s="24">
        <v>94.07</v>
      </c>
      <c r="J54" s="24"/>
      <c r="K54" s="24">
        <v>201.01</v>
      </c>
      <c r="L54" s="24"/>
      <c r="M54" s="24">
        <v>62.8</v>
      </c>
      <c r="N54" s="24">
        <v>95</v>
      </c>
      <c r="O54" s="24">
        <v>94.07</v>
      </c>
      <c r="P54" s="6"/>
      <c r="Q54" s="25">
        <f t="shared" si="12"/>
        <v>1497.1699999999998</v>
      </c>
      <c r="R54" s="36"/>
      <c r="S54" s="27">
        <v>9.9120430080000006E-3</v>
      </c>
      <c r="T54" s="43"/>
      <c r="U54" s="44"/>
      <c r="V54" s="18"/>
      <c r="W54" s="18"/>
      <c r="X54" s="18"/>
      <c r="Y54" s="18"/>
      <c r="Z54" s="18"/>
      <c r="AA54" s="18"/>
      <c r="AB54" s="18"/>
    </row>
    <row r="55" spans="1:28" ht="15" x14ac:dyDescent="0.25">
      <c r="A55" s="23" t="s">
        <v>26</v>
      </c>
      <c r="B55" s="23" t="s">
        <v>84</v>
      </c>
      <c r="C55" s="23" t="s">
        <v>34</v>
      </c>
      <c r="D55" s="24"/>
      <c r="E55" s="24"/>
      <c r="F55" s="24"/>
      <c r="G55" s="24"/>
      <c r="H55" s="24"/>
      <c r="I55" s="24" t="s">
        <v>87</v>
      </c>
      <c r="J55" s="24"/>
      <c r="K55" s="24"/>
      <c r="L55" s="24"/>
      <c r="M55" s="24"/>
      <c r="N55" s="24"/>
      <c r="O55" s="24"/>
      <c r="P55" s="6"/>
      <c r="Q55" s="25">
        <f t="shared" ref="Q55:Q57" si="13">SUM(D55:O55)</f>
        <v>0</v>
      </c>
      <c r="R55" s="36"/>
      <c r="S55" s="27">
        <v>1.6772415780000001E-2</v>
      </c>
      <c r="T55" s="43"/>
      <c r="U55" s="44"/>
      <c r="V55" s="18"/>
      <c r="W55" s="18"/>
      <c r="X55" s="18"/>
      <c r="Y55" s="18"/>
      <c r="Z55" s="18"/>
      <c r="AA55" s="18"/>
      <c r="AB55" s="18"/>
    </row>
    <row r="56" spans="1:28" ht="15" x14ac:dyDescent="0.25">
      <c r="A56" s="23" t="s">
        <v>26</v>
      </c>
      <c r="B56" s="23" t="s">
        <v>84</v>
      </c>
      <c r="C56" s="23" t="s">
        <v>37</v>
      </c>
      <c r="D56" s="24"/>
      <c r="E56" s="24">
        <v>16.059999999999999</v>
      </c>
      <c r="F56" s="24"/>
      <c r="G56" s="24">
        <v>81.7</v>
      </c>
      <c r="H56" s="24"/>
      <c r="I56" s="24">
        <v>8.66</v>
      </c>
      <c r="J56" s="24">
        <v>26.26</v>
      </c>
      <c r="K56" s="24">
        <v>8.66</v>
      </c>
      <c r="L56" s="24"/>
      <c r="M56" s="24"/>
      <c r="N56" s="24">
        <v>8.66</v>
      </c>
      <c r="O56" s="24">
        <v>26.26</v>
      </c>
      <c r="P56" s="6"/>
      <c r="Q56" s="25">
        <f t="shared" si="13"/>
        <v>176.26</v>
      </c>
      <c r="R56" s="36"/>
      <c r="S56" s="27">
        <v>2.0379160430000001E-2</v>
      </c>
      <c r="T56" s="43"/>
      <c r="U56" s="44"/>
      <c r="V56" s="18"/>
      <c r="W56" s="18"/>
      <c r="X56" s="18"/>
      <c r="Y56" s="18"/>
      <c r="Z56" s="18"/>
      <c r="AA56" s="18"/>
      <c r="AB56" s="18"/>
    </row>
    <row r="57" spans="1:28" ht="15" x14ac:dyDescent="0.25">
      <c r="A57" s="23" t="s">
        <v>26</v>
      </c>
      <c r="B57" s="23" t="s">
        <v>84</v>
      </c>
      <c r="C57" s="23" t="s">
        <v>38</v>
      </c>
      <c r="D57" s="24"/>
      <c r="E57" s="24"/>
      <c r="F57" s="24"/>
      <c r="G57" s="24"/>
      <c r="H57" s="24">
        <v>30</v>
      </c>
      <c r="I57" s="24">
        <v>139.9</v>
      </c>
      <c r="J57" s="24">
        <v>52.5</v>
      </c>
      <c r="K57" s="24">
        <v>90</v>
      </c>
      <c r="L57" s="24"/>
      <c r="M57" s="24"/>
      <c r="N57" s="24"/>
      <c r="O57" s="24"/>
      <c r="P57" s="6"/>
      <c r="Q57" s="25">
        <f t="shared" si="13"/>
        <v>312.39999999999998</v>
      </c>
      <c r="R57" s="36"/>
      <c r="S57" s="27">
        <v>0.2620217594</v>
      </c>
      <c r="T57" s="43"/>
      <c r="U57" s="44"/>
      <c r="V57" s="18"/>
      <c r="W57" s="18"/>
      <c r="X57" s="18"/>
      <c r="Y57" s="18"/>
      <c r="Z57" s="18"/>
      <c r="AA57" s="18"/>
      <c r="AB57" s="18"/>
    </row>
    <row r="58" spans="1:28" ht="15" x14ac:dyDescent="0.25">
      <c r="A58" s="23" t="s">
        <v>26</v>
      </c>
      <c r="B58" s="23"/>
      <c r="C58" s="23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6"/>
      <c r="Q58" s="25">
        <f t="shared" ref="Q58:Q62" si="14">SUM(D58:O58)</f>
        <v>0</v>
      </c>
      <c r="R58" s="36"/>
      <c r="S58" s="27">
        <v>2.6514715049999998E-2</v>
      </c>
      <c r="T58" s="43"/>
      <c r="U58" s="44"/>
      <c r="V58" s="18"/>
      <c r="W58" s="18"/>
      <c r="X58" s="18"/>
      <c r="Y58" s="18"/>
      <c r="Z58" s="18"/>
      <c r="AA58" s="18"/>
      <c r="AB58" s="18"/>
    </row>
    <row r="59" spans="1:28" ht="15" x14ac:dyDescent="0.25">
      <c r="A59" s="23" t="s">
        <v>26</v>
      </c>
      <c r="B59" s="23" t="s">
        <v>78</v>
      </c>
      <c r="C59" s="23" t="s">
        <v>69</v>
      </c>
      <c r="D59" s="24">
        <v>197</v>
      </c>
      <c r="E59" s="24">
        <v>197</v>
      </c>
      <c r="F59" s="24">
        <v>197</v>
      </c>
      <c r="G59" s="24">
        <v>197</v>
      </c>
      <c r="H59" s="24">
        <v>197</v>
      </c>
      <c r="I59" s="24">
        <v>197</v>
      </c>
      <c r="J59" s="24">
        <v>197</v>
      </c>
      <c r="K59" s="24">
        <v>197</v>
      </c>
      <c r="L59" s="24">
        <v>197</v>
      </c>
      <c r="M59" s="24">
        <v>197</v>
      </c>
      <c r="N59" s="24">
        <v>197</v>
      </c>
      <c r="O59" s="24">
        <v>197</v>
      </c>
      <c r="P59" s="6"/>
      <c r="Q59" s="25">
        <f>SUM(D59:O59)</f>
        <v>2364</v>
      </c>
      <c r="R59" s="36"/>
      <c r="S59" s="27">
        <v>8.3378247279999998E-2</v>
      </c>
      <c r="T59" s="43"/>
      <c r="U59" s="44"/>
      <c r="V59" s="18"/>
      <c r="W59" s="18"/>
      <c r="X59" s="18"/>
      <c r="Y59" s="18"/>
      <c r="Z59" s="18"/>
      <c r="AA59" s="18"/>
      <c r="AB59" s="18"/>
    </row>
    <row r="60" spans="1:28" ht="15" x14ac:dyDescent="0.25">
      <c r="A60" s="23" t="s">
        <v>26</v>
      </c>
      <c r="B60" s="23"/>
      <c r="C60" s="23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6"/>
      <c r="Q60" s="25">
        <f t="shared" si="14"/>
        <v>0</v>
      </c>
      <c r="R60" s="36"/>
      <c r="S60" s="27">
        <v>0.29907173720000002</v>
      </c>
      <c r="T60" s="43"/>
      <c r="U60" s="44"/>
      <c r="V60" s="18"/>
      <c r="W60" s="18"/>
      <c r="X60" s="18"/>
      <c r="Y60" s="18"/>
      <c r="Z60" s="18"/>
      <c r="AA60" s="18"/>
      <c r="AB60" s="18"/>
    </row>
    <row r="61" spans="1:28" ht="15" x14ac:dyDescent="0.25">
      <c r="A61" s="23" t="s">
        <v>26</v>
      </c>
      <c r="B61" s="23"/>
      <c r="C61" s="23"/>
      <c r="D61" s="24"/>
      <c r="E61" s="24"/>
      <c r="F61" s="24"/>
      <c r="G61" s="37"/>
      <c r="H61" s="24"/>
      <c r="I61" s="78"/>
      <c r="J61" s="24"/>
      <c r="K61" s="37"/>
      <c r="L61" s="24"/>
      <c r="M61" s="24"/>
      <c r="N61" s="37"/>
      <c r="O61" s="24"/>
      <c r="P61" s="6"/>
      <c r="Q61" s="25">
        <f t="shared" ref="Q59:Q63" si="15">SUM(D61:O61)</f>
        <v>0</v>
      </c>
      <c r="R61" s="36"/>
      <c r="S61" s="27">
        <v>0</v>
      </c>
      <c r="T61" s="43"/>
      <c r="U61" s="44"/>
      <c r="V61" s="18"/>
      <c r="W61" s="18"/>
      <c r="X61" s="18"/>
      <c r="Y61" s="18"/>
      <c r="Z61" s="18"/>
      <c r="AA61" s="18"/>
      <c r="AB61" s="18"/>
    </row>
    <row r="62" spans="1:28" ht="15" x14ac:dyDescent="0.25">
      <c r="A62" s="23" t="s">
        <v>26</v>
      </c>
      <c r="B62" s="23" t="s">
        <v>84</v>
      </c>
      <c r="C62" s="23" t="s">
        <v>39</v>
      </c>
      <c r="D62" s="24"/>
      <c r="E62" s="24"/>
      <c r="F62" s="24"/>
      <c r="G62" s="24"/>
      <c r="H62" s="24">
        <v>56.08</v>
      </c>
      <c r="I62" s="24"/>
      <c r="J62" s="24"/>
      <c r="K62" s="24"/>
      <c r="L62" s="24"/>
      <c r="M62" s="24">
        <v>85</v>
      </c>
      <c r="N62" s="24">
        <v>93</v>
      </c>
      <c r="O62" s="24"/>
      <c r="P62" s="6"/>
      <c r="Q62" s="25">
        <f t="shared" si="14"/>
        <v>234.07999999999998</v>
      </c>
      <c r="R62" s="36"/>
      <c r="S62" s="27">
        <v>1.183559885E-2</v>
      </c>
      <c r="T62" s="43"/>
      <c r="U62" s="44"/>
      <c r="V62" s="18"/>
      <c r="W62" s="18"/>
      <c r="X62" s="18"/>
      <c r="Y62" s="18"/>
      <c r="Z62" s="18"/>
      <c r="AA62" s="18"/>
      <c r="AB62" s="18"/>
    </row>
    <row r="63" spans="1:28" ht="15" x14ac:dyDescent="0.25">
      <c r="A63" s="23" t="s">
        <v>26</v>
      </c>
      <c r="B63" s="23"/>
      <c r="C63" s="23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6"/>
      <c r="Q63" s="25">
        <f t="shared" si="15"/>
        <v>0</v>
      </c>
      <c r="R63" s="36"/>
      <c r="S63" s="27">
        <v>6.9471031429999996E-2</v>
      </c>
      <c r="T63" s="43"/>
      <c r="U63" s="44"/>
      <c r="V63" s="18"/>
      <c r="W63" s="18"/>
      <c r="X63" s="18"/>
      <c r="Y63" s="18"/>
      <c r="Z63" s="18"/>
      <c r="AA63" s="18"/>
      <c r="AB63" s="18"/>
    </row>
    <row r="64" spans="1:28" ht="15" x14ac:dyDescent="0.25">
      <c r="A64" s="45"/>
      <c r="B64" s="45"/>
      <c r="C64" s="45" t="s">
        <v>40</v>
      </c>
      <c r="D64" s="46">
        <f t="shared" ref="D64:O64" si="16">SUM(D37:D63)</f>
        <v>1023.2</v>
      </c>
      <c r="E64" s="46">
        <f t="shared" si="16"/>
        <v>824.70999999999992</v>
      </c>
      <c r="F64" s="46">
        <f t="shared" si="16"/>
        <v>626.22</v>
      </c>
      <c r="G64" s="46">
        <f t="shared" si="16"/>
        <v>653.75</v>
      </c>
      <c r="H64" s="46">
        <f t="shared" si="16"/>
        <v>613.46</v>
      </c>
      <c r="I64" s="46">
        <f t="shared" si="16"/>
        <v>663</v>
      </c>
      <c r="J64" s="46">
        <f t="shared" si="16"/>
        <v>832.03</v>
      </c>
      <c r="K64" s="46">
        <f t="shared" si="16"/>
        <v>635.79</v>
      </c>
      <c r="L64" s="46">
        <f t="shared" si="16"/>
        <v>286.03999999999996</v>
      </c>
      <c r="M64" s="46">
        <f t="shared" si="16"/>
        <v>380.7</v>
      </c>
      <c r="N64" s="46">
        <f t="shared" si="16"/>
        <v>393.65999999999997</v>
      </c>
      <c r="O64" s="46">
        <f t="shared" si="16"/>
        <v>707.88</v>
      </c>
      <c r="P64" s="6"/>
      <c r="Q64" s="47">
        <f>SUM(Q37:Q63)</f>
        <v>7640.44</v>
      </c>
      <c r="R64" s="41"/>
      <c r="S64" s="47"/>
      <c r="T64" s="43"/>
      <c r="U64" s="44"/>
      <c r="V64" s="18"/>
      <c r="W64" s="18"/>
      <c r="X64" s="18"/>
      <c r="Y64" s="18"/>
      <c r="Z64" s="18"/>
      <c r="AA64" s="18"/>
      <c r="AB64" s="18"/>
    </row>
    <row r="65" spans="1:28" ht="15" x14ac:dyDescent="0.25">
      <c r="A65" s="6"/>
      <c r="B65" s="6"/>
      <c r="C65" s="6"/>
      <c r="D65" s="6"/>
      <c r="E65" s="6"/>
      <c r="F65" s="7"/>
      <c r="G65" s="7"/>
      <c r="H65" s="7"/>
      <c r="I65" s="7"/>
      <c r="J65" s="7"/>
      <c r="K65" s="7"/>
      <c r="L65" s="7"/>
      <c r="M65" s="7"/>
      <c r="N65" s="6"/>
      <c r="O65" s="6"/>
      <c r="P65" s="6"/>
      <c r="Q65" s="6"/>
      <c r="R65" s="6"/>
      <c r="S65" s="6"/>
      <c r="T65" s="43"/>
      <c r="U65" s="44"/>
      <c r="V65" s="10"/>
      <c r="W65" s="10"/>
      <c r="X65" s="10"/>
      <c r="Y65" s="10"/>
      <c r="Z65" s="10"/>
      <c r="AA65" s="10"/>
      <c r="AB65" s="10"/>
    </row>
    <row r="66" spans="1:28" ht="15" x14ac:dyDescent="0.25">
      <c r="A66" s="6"/>
      <c r="B66" s="6"/>
      <c r="C66" s="48" t="s">
        <v>41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43"/>
      <c r="U66" s="44"/>
      <c r="V66" s="14"/>
      <c r="W66" s="14"/>
      <c r="X66" s="14"/>
      <c r="Y66" s="14"/>
      <c r="Z66" s="14"/>
      <c r="AA66" s="14"/>
      <c r="AB66" s="14"/>
    </row>
    <row r="67" spans="1:28" ht="15" x14ac:dyDescent="0.25">
      <c r="A67" s="6"/>
      <c r="B67" s="6"/>
      <c r="C67" s="49" t="s">
        <v>42</v>
      </c>
      <c r="D67" s="50">
        <f t="shared" ref="D67:O67" si="17">D17</f>
        <v>2500</v>
      </c>
      <c r="E67" s="50">
        <f t="shared" si="17"/>
        <v>2400.98</v>
      </c>
      <c r="F67" s="50">
        <f t="shared" si="17"/>
        <v>2400</v>
      </c>
      <c r="G67" s="50">
        <f t="shared" si="17"/>
        <v>2497</v>
      </c>
      <c r="H67" s="50">
        <f t="shared" si="17"/>
        <v>2400</v>
      </c>
      <c r="I67" s="50">
        <f t="shared" si="17"/>
        <v>2400</v>
      </c>
      <c r="J67" s="50">
        <f t="shared" si="17"/>
        <v>2656.77</v>
      </c>
      <c r="K67" s="50">
        <f t="shared" si="17"/>
        <v>2445</v>
      </c>
      <c r="L67" s="50">
        <f t="shared" si="17"/>
        <v>2400</v>
      </c>
      <c r="M67" s="50">
        <f t="shared" si="17"/>
        <v>2420</v>
      </c>
      <c r="N67" s="50">
        <f t="shared" si="17"/>
        <v>2445</v>
      </c>
      <c r="O67" s="50">
        <f t="shared" si="17"/>
        <v>2445</v>
      </c>
      <c r="P67" s="6"/>
      <c r="Q67" s="6"/>
      <c r="R67" s="6"/>
      <c r="S67" s="6"/>
      <c r="T67" s="43"/>
      <c r="U67" s="6"/>
      <c r="V67" s="18"/>
      <c r="W67" s="18"/>
      <c r="X67" s="18"/>
      <c r="Y67" s="18"/>
      <c r="Z67" s="18"/>
      <c r="AA67" s="18"/>
      <c r="AB67" s="18"/>
    </row>
    <row r="68" spans="1:28" ht="15" x14ac:dyDescent="0.25">
      <c r="A68" s="6"/>
      <c r="B68" s="6"/>
      <c r="C68" s="51" t="s">
        <v>43</v>
      </c>
      <c r="D68" s="52">
        <f t="shared" ref="D68:O68" si="18">D34+D64</f>
        <v>2824.2200000000003</v>
      </c>
      <c r="E68" s="52">
        <f t="shared" si="18"/>
        <v>2427.25</v>
      </c>
      <c r="F68" s="52">
        <f t="shared" si="18"/>
        <v>2642.29</v>
      </c>
      <c r="G68" s="52">
        <f t="shared" si="18"/>
        <v>2518.35</v>
      </c>
      <c r="H68" s="52">
        <f t="shared" si="18"/>
        <v>2353.3500000000004</v>
      </c>
      <c r="I68" s="52">
        <f t="shared" si="18"/>
        <v>2315.5700000000002</v>
      </c>
      <c r="J68" s="52">
        <f t="shared" si="18"/>
        <v>2663.38</v>
      </c>
      <c r="K68" s="52">
        <f t="shared" si="18"/>
        <v>2193.88</v>
      </c>
      <c r="L68" s="52">
        <f t="shared" si="18"/>
        <v>1868.29</v>
      </c>
      <c r="M68" s="52">
        <f t="shared" si="18"/>
        <v>1950.45</v>
      </c>
      <c r="N68" s="52">
        <f t="shared" si="18"/>
        <v>2039.0099999999998</v>
      </c>
      <c r="O68" s="52">
        <f t="shared" si="18"/>
        <v>2262.83</v>
      </c>
      <c r="P68" s="6"/>
      <c r="Q68" s="6"/>
      <c r="R68" s="36"/>
      <c r="S68" s="6"/>
      <c r="T68" s="43"/>
      <c r="U68" s="6"/>
      <c r="V68" s="18"/>
      <c r="W68" s="18"/>
      <c r="X68" s="18"/>
      <c r="Y68" s="18"/>
      <c r="Z68" s="18"/>
      <c r="AA68" s="18"/>
      <c r="AB68" s="18"/>
    </row>
    <row r="69" spans="1:28" ht="15" x14ac:dyDescent="0.25">
      <c r="A69" s="6"/>
      <c r="B69" s="6"/>
      <c r="C69" s="53" t="s">
        <v>44</v>
      </c>
      <c r="D69" s="54">
        <f t="shared" ref="D69:O69" si="19">IF(D67&lt;&gt;0,D67-D68,"")</f>
        <v>-324.22000000000025</v>
      </c>
      <c r="E69" s="54">
        <f t="shared" si="19"/>
        <v>-26.269999999999982</v>
      </c>
      <c r="F69" s="54">
        <f t="shared" si="19"/>
        <v>-242.28999999999996</v>
      </c>
      <c r="G69" s="54">
        <f t="shared" si="19"/>
        <v>-21.349999999999909</v>
      </c>
      <c r="H69" s="54">
        <f t="shared" si="19"/>
        <v>46.649999999999636</v>
      </c>
      <c r="I69" s="54">
        <f t="shared" si="19"/>
        <v>84.429999999999836</v>
      </c>
      <c r="J69" s="54">
        <f t="shared" si="19"/>
        <v>-6.6100000000001273</v>
      </c>
      <c r="K69" s="54">
        <f t="shared" si="19"/>
        <v>251.11999999999989</v>
      </c>
      <c r="L69" s="54">
        <f t="shared" si="19"/>
        <v>531.71</v>
      </c>
      <c r="M69" s="54">
        <f t="shared" si="19"/>
        <v>469.54999999999995</v>
      </c>
      <c r="N69" s="54">
        <f t="shared" si="19"/>
        <v>405.99000000000024</v>
      </c>
      <c r="O69" s="54">
        <f t="shared" si="19"/>
        <v>182.17000000000007</v>
      </c>
      <c r="P69" s="55"/>
      <c r="Q69" s="6"/>
      <c r="R69" s="36"/>
      <c r="S69" s="6"/>
      <c r="T69" s="43"/>
      <c r="U69" s="6"/>
      <c r="V69" s="18"/>
      <c r="W69" s="18"/>
      <c r="X69" s="18"/>
      <c r="Y69" s="18"/>
      <c r="Z69" s="18"/>
      <c r="AA69" s="18"/>
      <c r="AB69" s="18"/>
    </row>
    <row r="70" spans="1:28" ht="15" x14ac:dyDescent="0.25">
      <c r="A70" s="6"/>
      <c r="B70" s="6"/>
      <c r="C70" s="56" t="s">
        <v>45</v>
      </c>
      <c r="D70" s="57">
        <f t="shared" ref="D70:O70" si="20">D4+D69</f>
        <v>-314.22000000000025</v>
      </c>
      <c r="E70" s="57">
        <f t="shared" si="20"/>
        <v>-26.269999999999982</v>
      </c>
      <c r="F70" s="57">
        <f t="shared" si="20"/>
        <v>-242.28999999999996</v>
      </c>
      <c r="G70" s="57">
        <f t="shared" si="20"/>
        <v>-21.349999999999909</v>
      </c>
      <c r="H70" s="57">
        <f t="shared" si="20"/>
        <v>46.649999999999636</v>
      </c>
      <c r="I70" s="57">
        <f t="shared" si="20"/>
        <v>131.07999999999947</v>
      </c>
      <c r="J70" s="57">
        <f t="shared" si="20"/>
        <v>124.46999999999935</v>
      </c>
      <c r="K70" s="57">
        <f t="shared" si="20"/>
        <v>375.58999999999924</v>
      </c>
      <c r="L70" s="57">
        <f t="shared" si="20"/>
        <v>907.29999999999927</v>
      </c>
      <c r="M70" s="57">
        <f t="shared" si="20"/>
        <v>1376.8499999999992</v>
      </c>
      <c r="N70" s="57">
        <f t="shared" si="20"/>
        <v>1782.8399999999995</v>
      </c>
      <c r="O70" s="57">
        <f t="shared" si="20"/>
        <v>1965.0099999999995</v>
      </c>
      <c r="P70" s="55"/>
      <c r="Q70" s="6"/>
      <c r="R70" s="36"/>
      <c r="S70" s="6"/>
      <c r="T70" s="43"/>
      <c r="U70" s="6"/>
      <c r="V70" s="18"/>
      <c r="W70" s="18"/>
      <c r="X70" s="18"/>
      <c r="Y70" s="18"/>
      <c r="Z70" s="18"/>
      <c r="AA70" s="18"/>
      <c r="AB70" s="18"/>
    </row>
    <row r="71" spans="1:28" ht="15" x14ac:dyDescent="0.25">
      <c r="A71" s="6"/>
      <c r="B71" s="6"/>
      <c r="C71" s="56" t="s">
        <v>46</v>
      </c>
      <c r="D71" s="57">
        <f t="shared" ref="D71:O71" si="21">D84+D85+D86+D83</f>
        <v>0</v>
      </c>
      <c r="E71" s="57">
        <f t="shared" si="21"/>
        <v>0</v>
      </c>
      <c r="F71" s="57">
        <f t="shared" si="21"/>
        <v>0</v>
      </c>
      <c r="G71" s="57">
        <f t="shared" si="21"/>
        <v>0</v>
      </c>
      <c r="H71" s="57">
        <f t="shared" si="21"/>
        <v>0</v>
      </c>
      <c r="I71" s="57">
        <f t="shared" si="21"/>
        <v>0</v>
      </c>
      <c r="J71" s="57">
        <f t="shared" si="21"/>
        <v>0</v>
      </c>
      <c r="K71" s="57">
        <f t="shared" si="21"/>
        <v>0</v>
      </c>
      <c r="L71" s="57">
        <f t="shared" si="21"/>
        <v>0</v>
      </c>
      <c r="M71" s="57">
        <f t="shared" si="21"/>
        <v>0</v>
      </c>
      <c r="N71" s="57">
        <f t="shared" si="21"/>
        <v>0</v>
      </c>
      <c r="O71" s="57">
        <f t="shared" si="21"/>
        <v>0</v>
      </c>
      <c r="P71" s="55"/>
      <c r="Q71" s="6"/>
      <c r="R71" s="36"/>
      <c r="S71" s="6"/>
      <c r="T71" s="43"/>
      <c r="U71" s="6"/>
      <c r="V71" s="18"/>
      <c r="W71" s="18"/>
      <c r="X71" s="18"/>
      <c r="Y71" s="18"/>
      <c r="Z71" s="18"/>
      <c r="AA71" s="18"/>
      <c r="AB71" s="18"/>
    </row>
    <row r="72" spans="1:28" ht="15" x14ac:dyDescent="0.25">
      <c r="A72" s="6"/>
      <c r="B72" s="6"/>
      <c r="C72" s="72" t="s">
        <v>46</v>
      </c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5"/>
      <c r="Q72" s="6"/>
      <c r="R72" s="36"/>
      <c r="S72" s="6"/>
      <c r="T72" s="43"/>
      <c r="U72" s="6"/>
      <c r="V72" s="18"/>
      <c r="W72" s="18"/>
      <c r="X72" s="18"/>
      <c r="Y72" s="18"/>
      <c r="Z72" s="18"/>
      <c r="AA72" s="18"/>
      <c r="AB72" s="18"/>
    </row>
    <row r="73" spans="1:28" ht="15" x14ac:dyDescent="0.25">
      <c r="A73" s="6"/>
      <c r="B73" s="6"/>
      <c r="C73" s="56" t="s">
        <v>47</v>
      </c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5"/>
      <c r="Q73" s="6"/>
      <c r="R73" s="36"/>
      <c r="S73" s="6"/>
      <c r="T73" s="43"/>
      <c r="U73" s="6"/>
      <c r="V73" s="18"/>
      <c r="W73" s="18"/>
      <c r="X73" s="18"/>
      <c r="Y73" s="18"/>
      <c r="Z73" s="18"/>
      <c r="AA73" s="18"/>
      <c r="AB73" s="18"/>
    </row>
    <row r="74" spans="1:28" ht="15" x14ac:dyDescent="0.25">
      <c r="A74" s="6"/>
      <c r="B74" s="6"/>
      <c r="C74" s="56" t="s">
        <v>48</v>
      </c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5"/>
      <c r="Q74" s="6"/>
      <c r="R74" s="36"/>
      <c r="S74" s="6"/>
      <c r="T74" s="43"/>
      <c r="U74" s="6"/>
      <c r="V74" s="18"/>
      <c r="W74" s="18"/>
      <c r="X74" s="18"/>
      <c r="Y74" s="18"/>
      <c r="Z74" s="18"/>
      <c r="AA74" s="18"/>
      <c r="AB74" s="18"/>
    </row>
    <row r="75" spans="1:28" ht="15" x14ac:dyDescent="0.25">
      <c r="A75" s="6"/>
      <c r="B75" s="6"/>
      <c r="C75" s="73" t="s">
        <v>72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6"/>
      <c r="Q75" s="6"/>
      <c r="R75" s="36"/>
      <c r="S75" s="6"/>
      <c r="T75" s="43"/>
      <c r="U75" s="6"/>
      <c r="V75" s="18"/>
      <c r="W75" s="18"/>
      <c r="X75" s="18"/>
      <c r="Y75" s="18"/>
      <c r="Z75" s="18"/>
      <c r="AA75" s="18"/>
      <c r="AB75" s="18"/>
    </row>
    <row r="76" spans="1:28" ht="27" customHeight="1" x14ac:dyDescent="0.25">
      <c r="A76" s="6"/>
      <c r="B76" s="6"/>
      <c r="C76" s="53" t="s">
        <v>49</v>
      </c>
      <c r="D76" s="54">
        <f t="shared" ref="D76:O76" si="22">D70-D71+D75-D74+D73-D72</f>
        <v>-314.22000000000025</v>
      </c>
      <c r="E76" s="54">
        <f t="shared" si="22"/>
        <v>-26.269999999999982</v>
      </c>
      <c r="F76" s="54">
        <f t="shared" si="22"/>
        <v>-242.28999999999996</v>
      </c>
      <c r="G76" s="54">
        <f t="shared" si="22"/>
        <v>-21.349999999999909</v>
      </c>
      <c r="H76" s="54">
        <f t="shared" si="22"/>
        <v>46.649999999999636</v>
      </c>
      <c r="I76" s="54">
        <f t="shared" si="22"/>
        <v>131.07999999999947</v>
      </c>
      <c r="J76" s="54">
        <f t="shared" si="22"/>
        <v>124.46999999999935</v>
      </c>
      <c r="K76" s="54">
        <f t="shared" si="22"/>
        <v>375.58999999999924</v>
      </c>
      <c r="L76" s="54">
        <f t="shared" si="22"/>
        <v>907.29999999999927</v>
      </c>
      <c r="M76" s="54">
        <f t="shared" si="22"/>
        <v>1376.8499999999992</v>
      </c>
      <c r="N76" s="54">
        <f t="shared" si="22"/>
        <v>1782.8399999999995</v>
      </c>
      <c r="O76" s="54">
        <f t="shared" si="22"/>
        <v>1965.0099999999995</v>
      </c>
      <c r="P76" s="55"/>
      <c r="Q76" s="6"/>
      <c r="R76" s="36"/>
      <c r="S76" s="6"/>
      <c r="T76" s="43"/>
      <c r="U76" s="6"/>
      <c r="V76" s="18"/>
      <c r="W76" s="18"/>
      <c r="X76" s="18"/>
      <c r="Y76" s="18"/>
      <c r="Z76" s="18"/>
      <c r="AA76" s="18"/>
      <c r="AB76" s="18"/>
    </row>
    <row r="77" spans="1:28" ht="15" x14ac:dyDescent="0.25">
      <c r="A77" s="6"/>
      <c r="B77" s="6"/>
      <c r="C77" s="6"/>
      <c r="D77" s="6"/>
      <c r="E77" s="6"/>
      <c r="F77" s="7"/>
      <c r="G77" s="7"/>
      <c r="H77" s="7"/>
      <c r="I77" s="7"/>
      <c r="J77" s="7"/>
      <c r="K77" s="7"/>
      <c r="L77" s="7"/>
      <c r="M77" s="7"/>
      <c r="N77" s="6"/>
      <c r="O77" s="6"/>
      <c r="P77" s="6"/>
      <c r="Q77" s="6"/>
      <c r="R77" s="6"/>
      <c r="S77" s="6"/>
      <c r="T77" s="8"/>
      <c r="U77" s="6"/>
      <c r="V77" s="60"/>
      <c r="W77" s="60"/>
      <c r="X77" s="60"/>
      <c r="Y77" s="60"/>
      <c r="Z77" s="60"/>
      <c r="AA77" s="60"/>
      <c r="AB77" s="60"/>
    </row>
    <row r="78" spans="1:28" ht="15" x14ac:dyDescent="0.25">
      <c r="A78" s="6"/>
      <c r="B78" s="6"/>
      <c r="C78" s="6"/>
      <c r="D78" s="6"/>
      <c r="E78" s="6"/>
      <c r="F78" s="7"/>
      <c r="G78" s="7"/>
      <c r="H78" s="7"/>
      <c r="I78" s="7"/>
      <c r="J78" s="7"/>
      <c r="K78" s="7"/>
      <c r="L78" s="7"/>
      <c r="M78" s="7"/>
      <c r="N78" s="6"/>
      <c r="O78" s="6"/>
      <c r="P78" s="6"/>
      <c r="Q78" s="6"/>
      <c r="R78" s="6"/>
      <c r="S78" s="6"/>
      <c r="T78" s="8"/>
      <c r="U78" s="6"/>
      <c r="V78" s="60"/>
      <c r="W78" s="60"/>
      <c r="X78" s="60"/>
      <c r="Y78" s="60"/>
      <c r="Z78" s="60"/>
      <c r="AA78" s="60"/>
      <c r="AB78" s="60"/>
    </row>
    <row r="79" spans="1:28" ht="15" x14ac:dyDescent="0.25">
      <c r="A79" s="6"/>
      <c r="B79" s="6"/>
      <c r="C79" s="6"/>
      <c r="D79" s="6"/>
      <c r="E79" s="6"/>
      <c r="F79" s="7"/>
      <c r="G79" s="7"/>
      <c r="H79" s="7"/>
      <c r="I79" s="7"/>
      <c r="J79" s="7"/>
      <c r="K79" s="7"/>
      <c r="L79" s="7"/>
      <c r="M79" s="7"/>
      <c r="N79" s="6"/>
      <c r="O79" s="6"/>
      <c r="P79" s="6"/>
      <c r="Q79" s="6"/>
      <c r="R79" s="6"/>
      <c r="S79" s="6"/>
      <c r="T79" s="8"/>
      <c r="U79" s="6"/>
      <c r="V79" s="10"/>
      <c r="W79" s="10"/>
      <c r="X79" s="10"/>
      <c r="Y79" s="10"/>
      <c r="Z79" s="10"/>
      <c r="AA79" s="10"/>
      <c r="AB79" s="10"/>
    </row>
    <row r="80" spans="1:28" ht="5.25" customHeight="1" x14ac:dyDescent="0.25">
      <c r="A80" s="6"/>
      <c r="B80" s="6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"/>
      <c r="Q80" s="6"/>
      <c r="R80" s="6"/>
      <c r="S80" s="6"/>
      <c r="T80" s="8"/>
      <c r="U80" s="6"/>
      <c r="V80" s="18"/>
      <c r="W80" s="18"/>
      <c r="X80" s="18"/>
      <c r="Y80" s="18"/>
      <c r="Z80" s="18"/>
      <c r="AA80" s="18"/>
      <c r="AB80" s="18"/>
    </row>
    <row r="81" spans="1:28" ht="15" x14ac:dyDescent="0.25">
      <c r="A81" s="6"/>
      <c r="B81" s="6"/>
      <c r="C81" s="62" t="s">
        <v>50</v>
      </c>
      <c r="D81" s="6"/>
      <c r="E81" s="6"/>
      <c r="F81" s="7"/>
      <c r="G81" s="7"/>
      <c r="H81" s="7"/>
      <c r="I81" s="7"/>
      <c r="J81" s="7"/>
      <c r="K81" s="7"/>
      <c r="L81" s="7"/>
      <c r="M81" s="7"/>
      <c r="N81" s="6"/>
      <c r="O81" s="6"/>
      <c r="P81" s="6"/>
      <c r="Q81" s="6"/>
      <c r="R81" s="6"/>
      <c r="S81" s="6"/>
      <c r="T81" s="8"/>
      <c r="U81" s="6"/>
      <c r="V81" s="10"/>
      <c r="W81" s="10"/>
      <c r="X81" s="10"/>
      <c r="Y81" s="10"/>
      <c r="Z81" s="10"/>
      <c r="AA81" s="10"/>
      <c r="AB81" s="10"/>
    </row>
    <row r="82" spans="1:28" ht="15" x14ac:dyDescent="0.25">
      <c r="A82" s="6"/>
      <c r="B82" s="6"/>
      <c r="C82" s="63"/>
      <c r="D82" s="63"/>
      <c r="E82" s="64"/>
      <c r="F82" s="64"/>
      <c r="G82" s="64"/>
      <c r="H82" s="64"/>
      <c r="I82" s="64"/>
      <c r="J82" s="64"/>
      <c r="K82" s="64"/>
      <c r="L82" s="24"/>
      <c r="M82" s="24"/>
      <c r="N82" s="24"/>
      <c r="O82" s="64"/>
      <c r="P82" s="6"/>
      <c r="Q82" s="6"/>
      <c r="R82" s="6"/>
      <c r="S82" s="6"/>
      <c r="T82" s="8"/>
      <c r="U82" s="6"/>
      <c r="V82" s="18"/>
      <c r="W82" s="18"/>
      <c r="X82" s="18"/>
      <c r="Y82" s="18"/>
      <c r="Z82" s="18"/>
      <c r="AA82" s="18"/>
      <c r="AB82" s="18"/>
    </row>
    <row r="83" spans="1:28" ht="15" x14ac:dyDescent="0.25">
      <c r="A83" s="6"/>
      <c r="B83" s="6"/>
      <c r="C83" s="65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6"/>
      <c r="Q83" s="6"/>
      <c r="R83" s="6"/>
      <c r="S83" s="6"/>
      <c r="T83" s="8"/>
      <c r="U83" s="6"/>
      <c r="V83" s="18"/>
      <c r="W83" s="18"/>
      <c r="X83" s="18"/>
      <c r="Y83" s="18"/>
      <c r="Z83" s="18"/>
      <c r="AA83" s="18"/>
      <c r="AB83" s="18"/>
    </row>
    <row r="84" spans="1:28" ht="15" x14ac:dyDescent="0.25">
      <c r="A84" s="6"/>
      <c r="B84" s="6"/>
      <c r="C84" s="65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6"/>
      <c r="Q84" s="6"/>
      <c r="R84" s="6"/>
      <c r="S84" s="6"/>
      <c r="T84" s="8"/>
      <c r="U84" s="6"/>
      <c r="V84" s="18"/>
      <c r="W84" s="18"/>
      <c r="X84" s="18"/>
      <c r="Y84" s="18"/>
      <c r="Z84" s="18"/>
      <c r="AA84" s="18"/>
      <c r="AB84" s="18"/>
    </row>
    <row r="85" spans="1:28" ht="15" x14ac:dyDescent="0.25">
      <c r="A85" s="6"/>
      <c r="B85" s="6"/>
      <c r="C85" s="63"/>
      <c r="D85" s="24"/>
      <c r="E85" s="24"/>
      <c r="F85" s="24"/>
      <c r="G85" s="24"/>
      <c r="H85" s="24"/>
      <c r="I85" s="24"/>
      <c r="J85" s="37"/>
      <c r="K85" s="37"/>
      <c r="L85" s="24"/>
      <c r="M85" s="24"/>
      <c r="N85" s="24"/>
      <c r="O85" s="24"/>
      <c r="P85" s="6"/>
      <c r="Q85" s="6"/>
      <c r="R85" s="6"/>
      <c r="S85" s="6"/>
      <c r="T85" s="8"/>
      <c r="U85" s="6"/>
      <c r="V85" s="18"/>
      <c r="W85" s="18"/>
      <c r="X85" s="18"/>
      <c r="Y85" s="18"/>
      <c r="Z85" s="18"/>
      <c r="AA85" s="18"/>
      <c r="AB85" s="18"/>
    </row>
    <row r="86" spans="1:28" ht="15" x14ac:dyDescent="0.25">
      <c r="A86" s="6"/>
      <c r="B86" s="6"/>
      <c r="C86" s="65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6"/>
      <c r="Q86" s="6"/>
      <c r="R86" s="6"/>
      <c r="S86" s="6"/>
      <c r="T86" s="8"/>
      <c r="U86" s="6"/>
      <c r="V86" s="18"/>
      <c r="W86" s="18"/>
      <c r="X86" s="18"/>
      <c r="Y86" s="18"/>
      <c r="Z86" s="18"/>
      <c r="AA86" s="18"/>
      <c r="AB86" s="18"/>
    </row>
    <row r="87" spans="1:28" ht="15" x14ac:dyDescent="0.25">
      <c r="A87" s="6"/>
      <c r="B87" s="6"/>
      <c r="C87" s="71" t="s">
        <v>71</v>
      </c>
      <c r="D87" s="66">
        <f t="shared" ref="D87:O87" si="23">SUM(D83:D86)</f>
        <v>0</v>
      </c>
      <c r="E87" s="66">
        <f t="shared" si="23"/>
        <v>0</v>
      </c>
      <c r="F87" s="66">
        <f t="shared" si="23"/>
        <v>0</v>
      </c>
      <c r="G87" s="66">
        <f t="shared" si="23"/>
        <v>0</v>
      </c>
      <c r="H87" s="66">
        <f t="shared" si="23"/>
        <v>0</v>
      </c>
      <c r="I87" s="66">
        <f t="shared" si="23"/>
        <v>0</v>
      </c>
      <c r="J87" s="66">
        <f t="shared" si="23"/>
        <v>0</v>
      </c>
      <c r="K87" s="66">
        <f t="shared" si="23"/>
        <v>0</v>
      </c>
      <c r="L87" s="66">
        <f t="shared" si="23"/>
        <v>0</v>
      </c>
      <c r="M87" s="66">
        <f t="shared" si="23"/>
        <v>0</v>
      </c>
      <c r="N87" s="66">
        <f t="shared" si="23"/>
        <v>0</v>
      </c>
      <c r="O87" s="66">
        <f t="shared" si="23"/>
        <v>0</v>
      </c>
      <c r="P87" s="6"/>
      <c r="Q87" s="6"/>
      <c r="R87" s="6"/>
      <c r="S87" s="6"/>
      <c r="T87" s="8"/>
      <c r="U87" s="6"/>
      <c r="V87" s="18"/>
      <c r="W87" s="18"/>
      <c r="X87" s="18"/>
      <c r="Y87" s="18"/>
      <c r="Z87" s="18"/>
      <c r="AA87" s="18"/>
      <c r="AB87" s="18"/>
    </row>
    <row r="88" spans="1:28" ht="15" x14ac:dyDescent="0.25">
      <c r="A88" s="6"/>
      <c r="B88" s="6"/>
      <c r="C88" s="6"/>
      <c r="D88" s="6"/>
      <c r="E88" s="6"/>
      <c r="F88" s="7"/>
      <c r="G88" s="7"/>
      <c r="H88" s="7"/>
      <c r="I88" s="7"/>
      <c r="J88" s="7"/>
      <c r="K88" s="7"/>
      <c r="L88" s="7"/>
      <c r="M88" s="7"/>
      <c r="N88" s="6"/>
      <c r="O88" s="6"/>
      <c r="P88" s="6"/>
      <c r="Q88" s="6"/>
      <c r="R88" s="6"/>
      <c r="S88" s="6"/>
      <c r="T88" s="8"/>
      <c r="U88" s="6"/>
      <c r="V88" s="10"/>
      <c r="W88" s="10"/>
      <c r="X88" s="10"/>
      <c r="Y88" s="10"/>
      <c r="Z88" s="10"/>
      <c r="AA88" s="10"/>
      <c r="AB88" s="10"/>
    </row>
    <row r="89" spans="1:28" ht="15" x14ac:dyDescent="0.25">
      <c r="A89" s="6"/>
      <c r="B89" s="6"/>
      <c r="C89" s="62" t="s">
        <v>51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8"/>
      <c r="U89" s="6"/>
      <c r="V89" s="18"/>
      <c r="W89" s="18"/>
      <c r="X89" s="18"/>
      <c r="Y89" s="18"/>
      <c r="Z89" s="18"/>
      <c r="AA89" s="18"/>
      <c r="AB89" s="18"/>
    </row>
    <row r="90" spans="1:28" ht="15" x14ac:dyDescent="0.25">
      <c r="A90" s="6"/>
      <c r="B90" s="6"/>
      <c r="C90" s="63" t="s">
        <v>52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6"/>
      <c r="Q90" s="6"/>
      <c r="R90" s="6"/>
      <c r="S90" s="6"/>
      <c r="T90" s="8"/>
      <c r="U90" s="6"/>
      <c r="V90" s="18"/>
      <c r="W90" s="18"/>
      <c r="X90" s="18"/>
      <c r="Y90" s="18"/>
      <c r="Z90" s="18"/>
      <c r="AA90" s="18"/>
      <c r="AB90" s="18"/>
    </row>
    <row r="91" spans="1:28" ht="15" x14ac:dyDescent="0.25">
      <c r="A91" s="6"/>
      <c r="B91" s="6"/>
      <c r="C91" s="70" t="s">
        <v>70</v>
      </c>
      <c r="D91" s="25"/>
      <c r="E91" s="25"/>
      <c r="F91" s="25"/>
      <c r="G91" s="25"/>
      <c r="H91" s="25"/>
      <c r="I91" s="24"/>
      <c r="J91" s="24"/>
      <c r="K91" s="25"/>
      <c r="L91" s="24"/>
      <c r="M91" s="25"/>
      <c r="N91" s="25"/>
      <c r="O91" s="25"/>
      <c r="P91" s="6"/>
      <c r="Q91" s="6"/>
      <c r="R91" s="6"/>
      <c r="S91" s="6"/>
      <c r="T91" s="8"/>
      <c r="U91" s="6"/>
      <c r="V91" s="18"/>
      <c r="W91" s="18"/>
      <c r="X91" s="18"/>
      <c r="Y91" s="18"/>
      <c r="Z91" s="18"/>
      <c r="AA91" s="18"/>
      <c r="AB91" s="18"/>
    </row>
    <row r="92" spans="1:28" ht="15" x14ac:dyDescent="0.25">
      <c r="A92" s="6"/>
      <c r="B92" s="6"/>
      <c r="C92" s="67" t="s">
        <v>53</v>
      </c>
      <c r="D92" s="68">
        <v>0.01</v>
      </c>
      <c r="E92" s="68">
        <v>0.01</v>
      </c>
      <c r="F92" s="68">
        <v>0.01</v>
      </c>
      <c r="G92" s="68">
        <f t="shared" ref="G92:H92" si="24">G90-G91</f>
        <v>0</v>
      </c>
      <c r="H92" s="68">
        <f t="shared" si="24"/>
        <v>0</v>
      </c>
      <c r="I92" s="68">
        <v>0.01</v>
      </c>
      <c r="J92" s="68">
        <v>0.01</v>
      </c>
      <c r="K92" s="68">
        <v>0.01</v>
      </c>
      <c r="L92" s="68">
        <v>0.01</v>
      </c>
      <c r="M92" s="68">
        <v>0.01</v>
      </c>
      <c r="N92" s="68">
        <v>0.01</v>
      </c>
      <c r="O92" s="68">
        <v>0.01</v>
      </c>
      <c r="P92" s="6"/>
      <c r="Q92" s="6"/>
      <c r="R92" s="6"/>
      <c r="S92" s="6"/>
      <c r="T92" s="8"/>
      <c r="U92" s="6"/>
      <c r="V92" s="18"/>
      <c r="W92" s="18"/>
      <c r="X92" s="18"/>
      <c r="Y92" s="18"/>
      <c r="Z92" s="18"/>
      <c r="AA92" s="18"/>
      <c r="AB92" s="18"/>
    </row>
    <row r="93" spans="1:28" ht="15" x14ac:dyDescent="0.25">
      <c r="A93" s="6"/>
      <c r="B93" s="6"/>
      <c r="C93" s="6"/>
      <c r="D93" s="6"/>
      <c r="E93" s="6"/>
      <c r="F93" s="7"/>
      <c r="G93" s="7"/>
      <c r="H93" s="7"/>
      <c r="I93" s="7"/>
      <c r="J93" s="7"/>
      <c r="K93" s="7"/>
      <c r="L93" s="7"/>
      <c r="M93" s="7"/>
      <c r="N93" s="6"/>
      <c r="O93" s="6"/>
      <c r="P93" s="6"/>
      <c r="Q93" s="6"/>
      <c r="R93" s="6"/>
      <c r="S93" s="6"/>
      <c r="T93" s="8"/>
      <c r="U93" s="6"/>
      <c r="V93" s="10"/>
      <c r="W93" s="10"/>
      <c r="X93" s="10"/>
      <c r="Y93" s="10"/>
      <c r="Z93" s="10"/>
      <c r="AA93" s="10"/>
      <c r="AB93" s="10"/>
    </row>
    <row r="94" spans="1:28" ht="15" x14ac:dyDescent="0.25">
      <c r="A94" s="6"/>
      <c r="B94" s="6"/>
      <c r="C94" s="6"/>
      <c r="D94" s="6"/>
      <c r="E94" s="6"/>
      <c r="F94" s="7"/>
      <c r="G94" s="7"/>
      <c r="H94" s="7"/>
      <c r="I94" s="7"/>
      <c r="J94" s="7"/>
      <c r="K94" s="7"/>
      <c r="L94" s="7"/>
      <c r="M94" s="7"/>
      <c r="N94" s="6"/>
      <c r="O94" s="6"/>
      <c r="P94" s="6"/>
      <c r="Q94" s="6"/>
      <c r="R94" s="6"/>
      <c r="S94" s="6"/>
      <c r="T94" s="8"/>
      <c r="U94" s="6"/>
      <c r="V94" s="10"/>
      <c r="W94" s="10"/>
      <c r="X94" s="10"/>
      <c r="Y94" s="10"/>
      <c r="Z94" s="10"/>
      <c r="AA94" s="10"/>
      <c r="AB94" s="10"/>
    </row>
    <row r="95" spans="1:28" ht="15" x14ac:dyDescent="0.25">
      <c r="A95" s="6"/>
      <c r="B95" s="6"/>
      <c r="C95" s="6"/>
      <c r="D95" s="6"/>
      <c r="E95" s="6"/>
      <c r="F95" s="7"/>
      <c r="G95" s="7"/>
      <c r="H95" s="7"/>
      <c r="I95" s="7"/>
      <c r="J95" s="7"/>
      <c r="K95" s="7"/>
      <c r="L95" s="7"/>
      <c r="M95" s="7"/>
      <c r="N95" s="6"/>
      <c r="O95" s="6"/>
      <c r="P95" s="6"/>
      <c r="Q95" s="6"/>
      <c r="R95" s="6"/>
      <c r="S95" s="6"/>
      <c r="T95" s="8"/>
      <c r="U95" s="6"/>
      <c r="V95" s="10"/>
      <c r="W95" s="10"/>
      <c r="X95" s="10"/>
      <c r="Y95" s="10"/>
      <c r="Z95" s="10"/>
      <c r="AA95" s="10"/>
      <c r="AB95" s="10"/>
    </row>
    <row r="96" spans="1:28" ht="15" x14ac:dyDescent="0.25">
      <c r="A96" s="6"/>
      <c r="B96" s="6"/>
      <c r="C96" s="6"/>
      <c r="D96" s="6"/>
      <c r="E96" s="6"/>
      <c r="F96" s="7"/>
      <c r="G96" s="7"/>
      <c r="H96" s="7"/>
      <c r="I96" s="7"/>
      <c r="J96" s="7"/>
      <c r="K96" s="7"/>
      <c r="L96" s="7"/>
      <c r="M96" s="7"/>
      <c r="N96" s="6"/>
      <c r="O96" s="6"/>
      <c r="P96" s="6"/>
      <c r="Q96" s="6"/>
      <c r="R96" s="6"/>
      <c r="S96" s="6"/>
      <c r="T96" s="8"/>
      <c r="U96" s="6"/>
      <c r="V96" s="10"/>
      <c r="W96" s="10"/>
      <c r="X96" s="10"/>
      <c r="Y96" s="10"/>
      <c r="Z96" s="10"/>
      <c r="AA96" s="10"/>
      <c r="AB96" s="10"/>
    </row>
    <row r="97" spans="1:28" ht="15" x14ac:dyDescent="0.25">
      <c r="A97" s="6"/>
      <c r="B97" s="6"/>
      <c r="C97" s="6"/>
      <c r="D97" s="6"/>
      <c r="E97" s="6"/>
      <c r="F97" s="7"/>
      <c r="G97" s="7"/>
      <c r="H97" s="7"/>
      <c r="I97" s="7"/>
      <c r="J97" s="7"/>
      <c r="K97" s="7"/>
      <c r="L97" s="7"/>
      <c r="M97" s="7"/>
      <c r="N97" s="6"/>
      <c r="O97" s="6"/>
      <c r="P97" s="6"/>
      <c r="Q97" s="6"/>
      <c r="R97" s="6"/>
      <c r="S97" s="6"/>
      <c r="T97" s="8"/>
      <c r="U97" s="6"/>
      <c r="V97" s="10"/>
      <c r="W97" s="10"/>
      <c r="X97" s="10"/>
      <c r="Y97" s="10"/>
      <c r="Z97" s="10"/>
      <c r="AA97" s="10"/>
      <c r="AB97" s="10"/>
    </row>
    <row r="98" spans="1:28" ht="15" x14ac:dyDescent="0.25">
      <c r="A98" s="6"/>
      <c r="B98" s="6"/>
      <c r="C98" s="6"/>
      <c r="D98" s="6"/>
      <c r="E98" s="6"/>
      <c r="F98" s="7"/>
      <c r="G98" s="7"/>
      <c r="H98" s="7"/>
      <c r="I98" s="7"/>
      <c r="J98" s="7"/>
      <c r="K98" s="7"/>
      <c r="L98" s="7"/>
      <c r="M98" s="7"/>
      <c r="N98" s="6"/>
      <c r="O98" s="6"/>
      <c r="P98" s="6"/>
      <c r="Q98" s="6"/>
      <c r="R98" s="6"/>
      <c r="S98" s="6"/>
      <c r="T98" s="8"/>
      <c r="U98" s="6"/>
      <c r="V98" s="10"/>
      <c r="W98" s="10"/>
      <c r="X98" s="10"/>
      <c r="Y98" s="10"/>
      <c r="Z98" s="10"/>
      <c r="AA98" s="10"/>
      <c r="AB98" s="10"/>
    </row>
    <row r="99" spans="1:28" ht="15" x14ac:dyDescent="0.25">
      <c r="A99" s="6"/>
      <c r="B99" s="6"/>
      <c r="C99" s="6"/>
      <c r="D99" s="6"/>
      <c r="E99" s="6"/>
      <c r="F99" s="7"/>
      <c r="G99" s="7"/>
      <c r="H99" s="7"/>
      <c r="I99" s="7"/>
      <c r="J99" s="7"/>
      <c r="K99" s="7"/>
      <c r="L99" s="7"/>
      <c r="M99" s="7"/>
      <c r="N99" s="6"/>
      <c r="O99" s="6"/>
      <c r="P99" s="6"/>
      <c r="Q99" s="6"/>
      <c r="R99" s="6"/>
      <c r="S99" s="6"/>
      <c r="T99" s="8"/>
      <c r="U99" s="6"/>
      <c r="V99" s="10"/>
      <c r="W99" s="10"/>
      <c r="X99" s="10"/>
      <c r="Y99" s="10"/>
      <c r="Z99" s="10"/>
      <c r="AA99" s="10"/>
      <c r="AB99" s="10"/>
    </row>
    <row r="100" spans="1:28" ht="15" x14ac:dyDescent="0.25">
      <c r="A100" s="6"/>
      <c r="B100" s="6"/>
      <c r="C100" s="6"/>
      <c r="D100" s="6"/>
      <c r="E100" s="6"/>
      <c r="F100" s="7"/>
      <c r="G100" s="7"/>
      <c r="H100" s="7"/>
      <c r="I100" s="7"/>
      <c r="J100" s="7"/>
      <c r="K100" s="7"/>
      <c r="L100" s="7"/>
      <c r="M100" s="7"/>
      <c r="N100" s="6"/>
      <c r="O100" s="6"/>
      <c r="P100" s="6"/>
      <c r="Q100" s="6"/>
      <c r="R100" s="6"/>
      <c r="S100" s="6"/>
      <c r="T100" s="8"/>
      <c r="U100" s="6"/>
      <c r="V100" s="10"/>
      <c r="W100" s="10"/>
      <c r="X100" s="10"/>
      <c r="Y100" s="10"/>
      <c r="Z100" s="10"/>
      <c r="AA100" s="10"/>
      <c r="AB100" s="10"/>
    </row>
    <row r="101" spans="1:28" ht="15" x14ac:dyDescent="0.25">
      <c r="A101" s="6"/>
      <c r="B101" s="6"/>
      <c r="C101" s="6"/>
      <c r="D101" s="6"/>
      <c r="E101" s="6"/>
      <c r="F101" s="7"/>
      <c r="G101" s="7"/>
      <c r="H101" s="7"/>
      <c r="I101" s="7"/>
      <c r="J101" s="7"/>
      <c r="K101" s="7"/>
      <c r="L101" s="7"/>
      <c r="M101" s="7"/>
      <c r="N101" s="6"/>
      <c r="O101" s="6"/>
      <c r="P101" s="6"/>
      <c r="Q101" s="6"/>
      <c r="R101" s="6"/>
      <c r="S101" s="6"/>
      <c r="T101" s="8"/>
      <c r="U101" s="6"/>
      <c r="V101" s="10"/>
      <c r="W101" s="10"/>
      <c r="X101" s="10"/>
      <c r="Y101" s="10"/>
      <c r="Z101" s="10"/>
      <c r="AA101" s="10"/>
      <c r="AB101" s="10"/>
    </row>
    <row r="102" spans="1:28" ht="15" x14ac:dyDescent="0.25">
      <c r="A102" s="6"/>
      <c r="B102" s="6"/>
      <c r="C102" s="6"/>
      <c r="D102" s="6"/>
      <c r="E102" s="6"/>
      <c r="F102" s="7"/>
      <c r="G102" s="7"/>
      <c r="H102" s="7"/>
      <c r="I102" s="7"/>
      <c r="J102" s="7"/>
      <c r="K102" s="7"/>
      <c r="L102" s="7"/>
      <c r="M102" s="7"/>
      <c r="N102" s="6"/>
      <c r="O102" s="6"/>
      <c r="P102" s="6"/>
      <c r="Q102" s="6"/>
      <c r="R102" s="6"/>
      <c r="S102" s="6"/>
      <c r="T102" s="8"/>
      <c r="U102" s="6"/>
      <c r="V102" s="10"/>
      <c r="W102" s="10"/>
      <c r="X102" s="10"/>
      <c r="Y102" s="10"/>
      <c r="Z102" s="10"/>
      <c r="AA102" s="10"/>
      <c r="AB102" s="10"/>
    </row>
    <row r="103" spans="1:28" ht="15" x14ac:dyDescent="0.25">
      <c r="A103" s="6"/>
      <c r="B103" s="6"/>
      <c r="C103" s="6"/>
      <c r="D103" s="6"/>
      <c r="E103" s="6"/>
      <c r="F103" s="7"/>
      <c r="G103" s="7"/>
      <c r="H103" s="7"/>
      <c r="I103" s="7"/>
      <c r="J103" s="7"/>
      <c r="K103" s="7"/>
      <c r="L103" s="7"/>
      <c r="M103" s="7"/>
      <c r="N103" s="6"/>
      <c r="O103" s="6"/>
      <c r="P103" s="6"/>
      <c r="Q103" s="6"/>
      <c r="R103" s="6"/>
      <c r="S103" s="6"/>
      <c r="T103" s="8"/>
      <c r="U103" s="6"/>
      <c r="V103" s="10"/>
      <c r="W103" s="10"/>
      <c r="X103" s="10"/>
      <c r="Y103" s="10"/>
      <c r="Z103" s="10"/>
      <c r="AA103" s="10"/>
      <c r="AB103" s="10"/>
    </row>
    <row r="104" spans="1:28" ht="15" x14ac:dyDescent="0.25">
      <c r="A104" s="6"/>
      <c r="B104" s="6"/>
      <c r="C104" s="6"/>
      <c r="D104" s="6"/>
      <c r="E104" s="6"/>
      <c r="F104" s="7"/>
      <c r="G104" s="7"/>
      <c r="H104" s="7"/>
      <c r="I104" s="7"/>
      <c r="J104" s="7"/>
      <c r="K104" s="7"/>
      <c r="L104" s="7"/>
      <c r="M104" s="7"/>
      <c r="N104" s="6"/>
      <c r="O104" s="6"/>
      <c r="P104" s="6"/>
      <c r="Q104" s="6"/>
      <c r="R104" s="6"/>
      <c r="S104" s="6"/>
      <c r="T104" s="8"/>
      <c r="U104" s="6"/>
      <c r="V104" s="10"/>
      <c r="W104" s="10"/>
      <c r="X104" s="10"/>
      <c r="Y104" s="10"/>
      <c r="Z104" s="10"/>
      <c r="AA104" s="10"/>
      <c r="AB104" s="10"/>
    </row>
    <row r="105" spans="1:28" ht="15" x14ac:dyDescent="0.25">
      <c r="A105" s="6"/>
      <c r="B105" s="6"/>
      <c r="C105" s="6"/>
      <c r="D105" s="6"/>
      <c r="E105" s="6"/>
      <c r="F105" s="7"/>
      <c r="G105" s="7"/>
      <c r="H105" s="7"/>
      <c r="I105" s="7"/>
      <c r="J105" s="7"/>
      <c r="K105" s="7"/>
      <c r="L105" s="7"/>
      <c r="M105" s="7"/>
      <c r="N105" s="6"/>
      <c r="O105" s="6"/>
      <c r="P105" s="6"/>
      <c r="Q105" s="6"/>
      <c r="R105" s="6"/>
      <c r="S105" s="6"/>
      <c r="T105" s="8"/>
      <c r="U105" s="6"/>
      <c r="V105" s="10"/>
      <c r="W105" s="10"/>
      <c r="X105" s="10"/>
      <c r="Y105" s="10"/>
      <c r="Z105" s="10"/>
      <c r="AA105" s="10"/>
      <c r="AB105" s="10"/>
    </row>
    <row r="106" spans="1:28" ht="15" x14ac:dyDescent="0.25">
      <c r="A106" s="6"/>
      <c r="B106" s="6"/>
      <c r="C106" s="6"/>
      <c r="D106" s="6"/>
      <c r="E106" s="6"/>
      <c r="F106" s="7"/>
      <c r="G106" s="7"/>
      <c r="H106" s="7"/>
      <c r="I106" s="7"/>
      <c r="J106" s="7"/>
      <c r="K106" s="7"/>
      <c r="L106" s="7"/>
      <c r="M106" s="7"/>
      <c r="N106" s="6"/>
      <c r="O106" s="6"/>
      <c r="P106" s="6"/>
      <c r="Q106" s="6"/>
      <c r="R106" s="6"/>
      <c r="S106" s="6"/>
      <c r="T106" s="8"/>
      <c r="U106" s="6"/>
      <c r="V106" s="10"/>
      <c r="W106" s="10"/>
      <c r="X106" s="10"/>
      <c r="Y106" s="10"/>
      <c r="Z106" s="10"/>
      <c r="AA106" s="10"/>
      <c r="AB106" s="10"/>
    </row>
    <row r="107" spans="1:28" ht="13.2" x14ac:dyDescent="0.25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69"/>
      <c r="U107" s="18"/>
      <c r="V107" s="18"/>
      <c r="W107" s="18"/>
      <c r="X107" s="18"/>
      <c r="Y107" s="18"/>
      <c r="Z107" s="18"/>
      <c r="AA107" s="18"/>
      <c r="AB107" s="18"/>
    </row>
    <row r="108" spans="1:28" ht="13.2" x14ac:dyDescent="0.25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69"/>
      <c r="U108" s="18"/>
      <c r="V108" s="18"/>
      <c r="W108" s="18"/>
      <c r="X108" s="18"/>
      <c r="Y108" s="18"/>
      <c r="Z108" s="18"/>
      <c r="AA108" s="18"/>
      <c r="AB108" s="18"/>
    </row>
    <row r="109" spans="1:28" ht="13.2" x14ac:dyDescent="0.25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69"/>
      <c r="U109" s="18"/>
      <c r="V109" s="18"/>
      <c r="W109" s="18"/>
      <c r="X109" s="18"/>
      <c r="Y109" s="18"/>
      <c r="Z109" s="18"/>
      <c r="AA109" s="18"/>
      <c r="AB109" s="18"/>
    </row>
    <row r="110" spans="1:28" ht="13.2" x14ac:dyDescent="0.25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69"/>
      <c r="U110" s="18"/>
      <c r="V110" s="18"/>
      <c r="W110" s="18"/>
      <c r="X110" s="18"/>
      <c r="Y110" s="18"/>
      <c r="Z110" s="18"/>
      <c r="AA110" s="18"/>
      <c r="AB110" s="18"/>
    </row>
    <row r="111" spans="1:28" ht="13.2" x14ac:dyDescent="0.25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69"/>
      <c r="U111" s="18"/>
      <c r="V111" s="18"/>
      <c r="W111" s="18"/>
      <c r="X111" s="18"/>
      <c r="Y111" s="18"/>
      <c r="Z111" s="18"/>
      <c r="AA111" s="18"/>
      <c r="AB111" s="18"/>
    </row>
    <row r="112" spans="1:28" ht="13.2" x14ac:dyDescent="0.25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69"/>
      <c r="U112" s="18"/>
      <c r="V112" s="18"/>
      <c r="W112" s="18"/>
      <c r="X112" s="18"/>
      <c r="Y112" s="18"/>
      <c r="Z112" s="18"/>
      <c r="AA112" s="18"/>
      <c r="AB112" s="18"/>
    </row>
    <row r="113" spans="1:28" ht="13.2" x14ac:dyDescent="0.25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69"/>
      <c r="U113" s="18"/>
      <c r="V113" s="18"/>
      <c r="W113" s="18"/>
      <c r="X113" s="18"/>
      <c r="Y113" s="18"/>
      <c r="Z113" s="18"/>
      <c r="AA113" s="18"/>
      <c r="AB113" s="18"/>
    </row>
    <row r="114" spans="1:28" ht="13.2" x14ac:dyDescent="0.25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69"/>
      <c r="U114" s="18"/>
      <c r="V114" s="18"/>
      <c r="W114" s="18"/>
      <c r="X114" s="18"/>
      <c r="Y114" s="18"/>
      <c r="Z114" s="18"/>
      <c r="AA114" s="18"/>
      <c r="AB114" s="18"/>
    </row>
    <row r="115" spans="1:28" ht="13.2" x14ac:dyDescent="0.2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69"/>
      <c r="U115" s="18"/>
      <c r="V115" s="18"/>
      <c r="W115" s="18"/>
      <c r="X115" s="18"/>
      <c r="Y115" s="18"/>
      <c r="Z115" s="18"/>
      <c r="AA115" s="18"/>
      <c r="AB115" s="18"/>
    </row>
    <row r="116" spans="1:28" ht="13.2" x14ac:dyDescent="0.25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69"/>
      <c r="U116" s="18"/>
      <c r="V116" s="18"/>
      <c r="W116" s="18"/>
      <c r="X116" s="18"/>
      <c r="Y116" s="18"/>
      <c r="Z116" s="18"/>
      <c r="AA116" s="18"/>
      <c r="AB116" s="18"/>
    </row>
    <row r="117" spans="1:28" ht="13.2" x14ac:dyDescent="0.25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69"/>
      <c r="U117" s="18"/>
      <c r="V117" s="18"/>
      <c r="W117" s="18"/>
      <c r="X117" s="18"/>
      <c r="Y117" s="18"/>
      <c r="Z117" s="18"/>
      <c r="AA117" s="18"/>
      <c r="AB117" s="18"/>
    </row>
    <row r="118" spans="1:28" ht="13.2" x14ac:dyDescent="0.25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69"/>
      <c r="U118" s="18"/>
      <c r="V118" s="18"/>
      <c r="W118" s="18"/>
      <c r="X118" s="18"/>
      <c r="Y118" s="18"/>
      <c r="Z118" s="18"/>
      <c r="AA118" s="18"/>
      <c r="AB118" s="18"/>
    </row>
    <row r="119" spans="1:28" ht="13.2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69"/>
      <c r="U119" s="18"/>
      <c r="V119" s="18"/>
      <c r="W119" s="18"/>
      <c r="X119" s="18"/>
      <c r="Y119" s="18"/>
      <c r="Z119" s="18"/>
      <c r="AA119" s="18"/>
      <c r="AB119" s="18"/>
    </row>
    <row r="120" spans="1:28" ht="13.2" x14ac:dyDescent="0.25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69"/>
      <c r="U120" s="18"/>
      <c r="V120" s="18"/>
      <c r="W120" s="18"/>
      <c r="X120" s="18"/>
      <c r="Y120" s="18"/>
      <c r="Z120" s="18"/>
      <c r="AA120" s="18"/>
      <c r="AB120" s="18"/>
    </row>
    <row r="121" spans="1:28" ht="13.2" x14ac:dyDescent="0.25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69"/>
      <c r="U121" s="18"/>
      <c r="V121" s="18"/>
      <c r="W121" s="18"/>
      <c r="X121" s="18"/>
      <c r="Y121" s="18"/>
      <c r="Z121" s="18"/>
      <c r="AA121" s="18"/>
      <c r="AB121" s="18"/>
    </row>
    <row r="122" spans="1:28" ht="13.2" x14ac:dyDescent="0.25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69"/>
      <c r="U122" s="18"/>
      <c r="V122" s="18"/>
      <c r="W122" s="18"/>
      <c r="X122" s="18"/>
      <c r="Y122" s="18"/>
      <c r="Z122" s="18"/>
      <c r="AA122" s="18"/>
      <c r="AB122" s="18"/>
    </row>
    <row r="123" spans="1:28" ht="13.2" x14ac:dyDescent="0.25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69"/>
      <c r="U123" s="18"/>
      <c r="V123" s="18"/>
      <c r="W123" s="18"/>
      <c r="X123" s="18"/>
      <c r="Y123" s="18"/>
      <c r="Z123" s="18"/>
      <c r="AA123" s="18"/>
      <c r="AB123" s="18"/>
    </row>
    <row r="124" spans="1:28" ht="13.2" x14ac:dyDescent="0.25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69"/>
      <c r="U124" s="18"/>
      <c r="V124" s="18"/>
      <c r="W124" s="18"/>
      <c r="X124" s="18"/>
      <c r="Y124" s="18"/>
      <c r="Z124" s="18"/>
      <c r="AA124" s="18"/>
      <c r="AB124" s="18"/>
    </row>
    <row r="125" spans="1:28" ht="13.2" x14ac:dyDescent="0.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69"/>
      <c r="U125" s="18"/>
      <c r="V125" s="18"/>
      <c r="W125" s="18"/>
      <c r="X125" s="18"/>
      <c r="Y125" s="18"/>
      <c r="Z125" s="18"/>
      <c r="AA125" s="18"/>
      <c r="AB125" s="18"/>
    </row>
    <row r="126" spans="1:28" ht="13.2" x14ac:dyDescent="0.25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69"/>
      <c r="U126" s="18"/>
      <c r="V126" s="18"/>
      <c r="W126" s="18"/>
      <c r="X126" s="18"/>
      <c r="Y126" s="18"/>
      <c r="Z126" s="18"/>
      <c r="AA126" s="18"/>
      <c r="AB126" s="18"/>
    </row>
    <row r="127" spans="1:28" ht="13.2" x14ac:dyDescent="0.25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69"/>
      <c r="U127" s="18"/>
      <c r="V127" s="18"/>
      <c r="W127" s="18"/>
      <c r="X127" s="18"/>
      <c r="Y127" s="18"/>
      <c r="Z127" s="18"/>
      <c r="AA127" s="18"/>
      <c r="AB127" s="18"/>
    </row>
    <row r="128" spans="1:28" ht="13.2" x14ac:dyDescent="0.25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69"/>
      <c r="U128" s="18"/>
      <c r="V128" s="18"/>
      <c r="W128" s="18"/>
      <c r="X128" s="18"/>
      <c r="Y128" s="18"/>
      <c r="Z128" s="18"/>
      <c r="AA128" s="18"/>
      <c r="AB128" s="18"/>
    </row>
    <row r="129" spans="1:28" ht="13.2" x14ac:dyDescent="0.25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69"/>
      <c r="U129" s="18"/>
      <c r="V129" s="18"/>
      <c r="W129" s="18"/>
      <c r="X129" s="18"/>
      <c r="Y129" s="18"/>
      <c r="Z129" s="18"/>
      <c r="AA129" s="18"/>
      <c r="AB129" s="18"/>
    </row>
    <row r="130" spans="1:28" ht="13.2" x14ac:dyDescent="0.25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69"/>
      <c r="U130" s="18"/>
      <c r="V130" s="18"/>
      <c r="W130" s="18"/>
      <c r="X130" s="18"/>
      <c r="Y130" s="18"/>
      <c r="Z130" s="18"/>
      <c r="AA130" s="18"/>
      <c r="AB130" s="18"/>
    </row>
    <row r="131" spans="1:28" ht="13.2" x14ac:dyDescent="0.25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69"/>
      <c r="U131" s="18"/>
      <c r="V131" s="18"/>
      <c r="W131" s="18"/>
      <c r="X131" s="18"/>
      <c r="Y131" s="18"/>
      <c r="Z131" s="18"/>
      <c r="AA131" s="18"/>
      <c r="AB131" s="18"/>
    </row>
    <row r="132" spans="1:28" ht="13.2" x14ac:dyDescent="0.25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69"/>
      <c r="U132" s="18"/>
      <c r="V132" s="18"/>
      <c r="W132" s="18"/>
      <c r="X132" s="18"/>
      <c r="Y132" s="18"/>
      <c r="Z132" s="18"/>
      <c r="AA132" s="18"/>
      <c r="AB132" s="18"/>
    </row>
    <row r="133" spans="1:28" ht="13.2" x14ac:dyDescent="0.25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69"/>
      <c r="U133" s="18"/>
      <c r="V133" s="18"/>
      <c r="W133" s="18"/>
      <c r="X133" s="18"/>
      <c r="Y133" s="18"/>
      <c r="Z133" s="18"/>
      <c r="AA133" s="18"/>
      <c r="AB133" s="18"/>
    </row>
    <row r="134" spans="1:28" ht="13.2" x14ac:dyDescent="0.25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69"/>
      <c r="U134" s="18"/>
      <c r="V134" s="18"/>
      <c r="W134" s="18"/>
      <c r="X134" s="18"/>
      <c r="Y134" s="18"/>
      <c r="Z134" s="18"/>
      <c r="AA134" s="18"/>
      <c r="AB134" s="18"/>
    </row>
    <row r="135" spans="1:28" ht="13.2" x14ac:dyDescent="0.2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69"/>
      <c r="U135" s="18"/>
      <c r="V135" s="18"/>
      <c r="W135" s="18"/>
      <c r="X135" s="18"/>
      <c r="Y135" s="18"/>
      <c r="Z135" s="18"/>
      <c r="AA135" s="18"/>
      <c r="AB135" s="18"/>
    </row>
    <row r="136" spans="1:28" ht="13.2" x14ac:dyDescent="0.25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69"/>
      <c r="U136" s="18"/>
      <c r="V136" s="18"/>
      <c r="W136" s="18"/>
      <c r="X136" s="18"/>
      <c r="Y136" s="18"/>
      <c r="Z136" s="18"/>
      <c r="AA136" s="18"/>
      <c r="AB136" s="18"/>
    </row>
    <row r="137" spans="1:28" ht="13.2" x14ac:dyDescent="0.25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69"/>
      <c r="U137" s="18"/>
      <c r="V137" s="18"/>
      <c r="W137" s="18"/>
      <c r="X137" s="18"/>
      <c r="Y137" s="18"/>
      <c r="Z137" s="18"/>
      <c r="AA137" s="18"/>
      <c r="AB137" s="18"/>
    </row>
    <row r="138" spans="1:28" ht="13.2" x14ac:dyDescent="0.25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69"/>
      <c r="U138" s="18"/>
      <c r="V138" s="18"/>
      <c r="W138" s="18"/>
      <c r="X138" s="18"/>
      <c r="Y138" s="18"/>
      <c r="Z138" s="18"/>
      <c r="AA138" s="18"/>
      <c r="AB138" s="18"/>
    </row>
    <row r="139" spans="1:28" ht="13.2" x14ac:dyDescent="0.25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69"/>
      <c r="U139" s="18"/>
      <c r="V139" s="18"/>
      <c r="W139" s="18"/>
      <c r="X139" s="18"/>
      <c r="Y139" s="18"/>
      <c r="Z139" s="18"/>
      <c r="AA139" s="18"/>
      <c r="AB139" s="18"/>
    </row>
    <row r="140" spans="1:28" ht="13.2" x14ac:dyDescent="0.25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69"/>
      <c r="U140" s="18"/>
      <c r="V140" s="18"/>
      <c r="W140" s="18"/>
      <c r="X140" s="18"/>
      <c r="Y140" s="18"/>
      <c r="Z140" s="18"/>
      <c r="AA140" s="18"/>
      <c r="AB140" s="18"/>
    </row>
    <row r="141" spans="1:28" ht="13.2" x14ac:dyDescent="0.25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69"/>
      <c r="U141" s="18"/>
      <c r="V141" s="18"/>
      <c r="W141" s="18"/>
      <c r="X141" s="18"/>
      <c r="Y141" s="18"/>
      <c r="Z141" s="18"/>
      <c r="AA141" s="18"/>
      <c r="AB141" s="18"/>
    </row>
    <row r="142" spans="1:28" ht="13.2" x14ac:dyDescent="0.25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69"/>
      <c r="U142" s="18"/>
      <c r="V142" s="18"/>
      <c r="W142" s="18"/>
      <c r="X142" s="18"/>
      <c r="Y142" s="18"/>
      <c r="Z142" s="18"/>
      <c r="AA142" s="18"/>
      <c r="AB142" s="18"/>
    </row>
    <row r="143" spans="1:28" ht="13.2" x14ac:dyDescent="0.25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69"/>
      <c r="U143" s="18"/>
      <c r="V143" s="18"/>
      <c r="W143" s="18"/>
      <c r="X143" s="18"/>
      <c r="Y143" s="18"/>
      <c r="Z143" s="18"/>
      <c r="AA143" s="18"/>
      <c r="AB143" s="18"/>
    </row>
    <row r="144" spans="1:28" ht="13.2" x14ac:dyDescent="0.25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69"/>
      <c r="U144" s="18"/>
      <c r="V144" s="18"/>
      <c r="W144" s="18"/>
      <c r="X144" s="18"/>
      <c r="Y144" s="18"/>
      <c r="Z144" s="18"/>
      <c r="AA144" s="18"/>
      <c r="AB144" s="18"/>
    </row>
    <row r="145" spans="1:28" ht="13.2" x14ac:dyDescent="0.2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69"/>
      <c r="U145" s="18"/>
      <c r="V145" s="18"/>
      <c r="W145" s="18"/>
      <c r="X145" s="18"/>
      <c r="Y145" s="18"/>
      <c r="Z145" s="18"/>
      <c r="AA145" s="18"/>
      <c r="AB145" s="18"/>
    </row>
    <row r="146" spans="1:28" ht="13.2" x14ac:dyDescent="0.25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69"/>
      <c r="U146" s="18"/>
      <c r="V146" s="18"/>
      <c r="W146" s="18"/>
      <c r="X146" s="18"/>
      <c r="Y146" s="18"/>
      <c r="Z146" s="18"/>
      <c r="AA146" s="18"/>
      <c r="AB146" s="18"/>
    </row>
    <row r="147" spans="1:28" ht="13.2" x14ac:dyDescent="0.25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69"/>
      <c r="U147" s="18"/>
      <c r="V147" s="18"/>
      <c r="W147" s="18"/>
      <c r="X147" s="18"/>
      <c r="Y147" s="18"/>
      <c r="Z147" s="18"/>
      <c r="AA147" s="18"/>
      <c r="AB147" s="18"/>
    </row>
    <row r="148" spans="1:28" ht="13.2" x14ac:dyDescent="0.25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69"/>
      <c r="U148" s="18"/>
      <c r="V148" s="18"/>
      <c r="W148" s="18"/>
      <c r="X148" s="18"/>
      <c r="Y148" s="18"/>
      <c r="Z148" s="18"/>
      <c r="AA148" s="18"/>
      <c r="AB148" s="18"/>
    </row>
    <row r="149" spans="1:28" ht="13.2" x14ac:dyDescent="0.25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69"/>
      <c r="U149" s="18"/>
      <c r="V149" s="18"/>
      <c r="W149" s="18"/>
      <c r="X149" s="18"/>
      <c r="Y149" s="18"/>
      <c r="Z149" s="18"/>
      <c r="AA149" s="18"/>
      <c r="AB149" s="18"/>
    </row>
    <row r="150" spans="1:28" ht="13.2" x14ac:dyDescent="0.25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69"/>
      <c r="U150" s="18"/>
      <c r="V150" s="18"/>
      <c r="W150" s="18"/>
      <c r="X150" s="18"/>
      <c r="Y150" s="18"/>
      <c r="Z150" s="18"/>
      <c r="AA150" s="18"/>
      <c r="AB150" s="18"/>
    </row>
    <row r="151" spans="1:28" ht="13.2" x14ac:dyDescent="0.25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69"/>
      <c r="U151" s="18"/>
      <c r="V151" s="18"/>
      <c r="W151" s="18"/>
      <c r="X151" s="18"/>
      <c r="Y151" s="18"/>
      <c r="Z151" s="18"/>
      <c r="AA151" s="18"/>
      <c r="AB151" s="18"/>
    </row>
    <row r="152" spans="1:28" ht="13.2" x14ac:dyDescent="0.25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69"/>
      <c r="U152" s="18"/>
      <c r="V152" s="18"/>
      <c r="W152" s="18"/>
      <c r="X152" s="18"/>
      <c r="Y152" s="18"/>
      <c r="Z152" s="18"/>
      <c r="AA152" s="18"/>
      <c r="AB152" s="18"/>
    </row>
    <row r="153" spans="1:28" ht="13.2" x14ac:dyDescent="0.25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69"/>
      <c r="U153" s="18"/>
      <c r="V153" s="18"/>
      <c r="W153" s="18"/>
      <c r="X153" s="18"/>
      <c r="Y153" s="18"/>
      <c r="Z153" s="18"/>
      <c r="AA153" s="18"/>
      <c r="AB153" s="18"/>
    </row>
    <row r="154" spans="1:28" ht="13.2" x14ac:dyDescent="0.25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69"/>
      <c r="U154" s="18"/>
      <c r="V154" s="18"/>
      <c r="W154" s="18"/>
      <c r="X154" s="18"/>
      <c r="Y154" s="18"/>
      <c r="Z154" s="18"/>
      <c r="AA154" s="18"/>
      <c r="AB154" s="18"/>
    </row>
    <row r="155" spans="1:28" ht="13.2" x14ac:dyDescent="0.2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69"/>
      <c r="U155" s="18"/>
      <c r="V155" s="18"/>
      <c r="W155" s="18"/>
      <c r="X155" s="18"/>
      <c r="Y155" s="18"/>
      <c r="Z155" s="18"/>
      <c r="AA155" s="18"/>
      <c r="AB155" s="18"/>
    </row>
    <row r="156" spans="1:28" ht="13.2" x14ac:dyDescent="0.25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69"/>
      <c r="U156" s="18"/>
      <c r="V156" s="18"/>
      <c r="W156" s="18"/>
      <c r="X156" s="18"/>
      <c r="Y156" s="18"/>
      <c r="Z156" s="18"/>
      <c r="AA156" s="18"/>
      <c r="AB156" s="18"/>
    </row>
    <row r="157" spans="1:28" ht="13.2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69"/>
      <c r="U157" s="18"/>
      <c r="V157" s="18"/>
      <c r="W157" s="18"/>
      <c r="X157" s="18"/>
      <c r="Y157" s="18"/>
      <c r="Z157" s="18"/>
      <c r="AA157" s="18"/>
      <c r="AB157" s="18"/>
    </row>
    <row r="158" spans="1:28" ht="13.2" x14ac:dyDescent="0.25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69"/>
      <c r="U158" s="18"/>
      <c r="V158" s="18"/>
      <c r="W158" s="18"/>
      <c r="X158" s="18"/>
      <c r="Y158" s="18"/>
      <c r="Z158" s="18"/>
      <c r="AA158" s="18"/>
      <c r="AB158" s="18"/>
    </row>
    <row r="159" spans="1:28" ht="13.2" x14ac:dyDescent="0.25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69"/>
      <c r="U159" s="18"/>
      <c r="V159" s="18"/>
      <c r="W159" s="18"/>
      <c r="X159" s="18"/>
      <c r="Y159" s="18"/>
      <c r="Z159" s="18"/>
      <c r="AA159" s="18"/>
      <c r="AB159" s="18"/>
    </row>
    <row r="160" spans="1:28" ht="13.2" x14ac:dyDescent="0.25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69"/>
      <c r="U160" s="18"/>
      <c r="V160" s="18"/>
      <c r="W160" s="18"/>
      <c r="X160" s="18"/>
      <c r="Y160" s="18"/>
      <c r="Z160" s="18"/>
      <c r="AA160" s="18"/>
      <c r="AB160" s="18"/>
    </row>
    <row r="161" spans="1:28" ht="13.2" x14ac:dyDescent="0.25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69"/>
      <c r="U161" s="18"/>
      <c r="V161" s="18"/>
      <c r="W161" s="18"/>
      <c r="X161" s="18"/>
      <c r="Y161" s="18"/>
      <c r="Z161" s="18"/>
      <c r="AA161" s="18"/>
      <c r="AB161" s="18"/>
    </row>
    <row r="162" spans="1:28" ht="13.2" x14ac:dyDescent="0.25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69"/>
      <c r="U162" s="18"/>
      <c r="V162" s="18"/>
      <c r="W162" s="18"/>
      <c r="X162" s="18"/>
      <c r="Y162" s="18"/>
      <c r="Z162" s="18"/>
      <c r="AA162" s="18"/>
      <c r="AB162" s="18"/>
    </row>
    <row r="163" spans="1:28" ht="13.2" x14ac:dyDescent="0.25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69"/>
      <c r="U163" s="18"/>
      <c r="V163" s="18"/>
      <c r="W163" s="18"/>
      <c r="X163" s="18"/>
      <c r="Y163" s="18"/>
      <c r="Z163" s="18"/>
      <c r="AA163" s="18"/>
      <c r="AB163" s="18"/>
    </row>
    <row r="164" spans="1:28" ht="13.2" x14ac:dyDescent="0.25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69"/>
      <c r="U164" s="18"/>
      <c r="V164" s="18"/>
      <c r="W164" s="18"/>
      <c r="X164" s="18"/>
      <c r="Y164" s="18"/>
      <c r="Z164" s="18"/>
      <c r="AA164" s="18"/>
      <c r="AB164" s="18"/>
    </row>
    <row r="165" spans="1:28" ht="13.2" x14ac:dyDescent="0.2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69"/>
      <c r="U165" s="18"/>
      <c r="V165" s="18"/>
      <c r="W165" s="18"/>
      <c r="X165" s="18"/>
      <c r="Y165" s="18"/>
      <c r="Z165" s="18"/>
      <c r="AA165" s="18"/>
      <c r="AB165" s="18"/>
    </row>
    <row r="166" spans="1:28" ht="13.2" x14ac:dyDescent="0.25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69"/>
      <c r="U166" s="18"/>
      <c r="V166" s="18"/>
      <c r="W166" s="18"/>
      <c r="X166" s="18"/>
      <c r="Y166" s="18"/>
      <c r="Z166" s="18"/>
      <c r="AA166" s="18"/>
      <c r="AB166" s="18"/>
    </row>
    <row r="167" spans="1:28" ht="13.2" x14ac:dyDescent="0.25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69"/>
      <c r="U167" s="18"/>
      <c r="V167" s="18"/>
      <c r="W167" s="18"/>
      <c r="X167" s="18"/>
      <c r="Y167" s="18"/>
      <c r="Z167" s="18"/>
      <c r="AA167" s="18"/>
      <c r="AB167" s="18"/>
    </row>
    <row r="168" spans="1:28" ht="13.2" x14ac:dyDescent="0.25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69"/>
      <c r="U168" s="18"/>
      <c r="V168" s="18"/>
      <c r="W168" s="18"/>
      <c r="X168" s="18"/>
      <c r="Y168" s="18"/>
      <c r="Z168" s="18"/>
      <c r="AA168" s="18"/>
      <c r="AB168" s="18"/>
    </row>
    <row r="169" spans="1:28" ht="13.2" x14ac:dyDescent="0.25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69"/>
      <c r="U169" s="18"/>
      <c r="V169" s="18"/>
      <c r="W169" s="18"/>
      <c r="X169" s="18"/>
      <c r="Y169" s="18"/>
      <c r="Z169" s="18"/>
      <c r="AA169" s="18"/>
      <c r="AB169" s="18"/>
    </row>
    <row r="170" spans="1:28" ht="13.2" x14ac:dyDescent="0.25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69"/>
      <c r="U170" s="18"/>
      <c r="V170" s="18"/>
      <c r="W170" s="18"/>
      <c r="X170" s="18"/>
      <c r="Y170" s="18"/>
      <c r="Z170" s="18"/>
      <c r="AA170" s="18"/>
      <c r="AB170" s="18"/>
    </row>
    <row r="171" spans="1:28" ht="13.2" x14ac:dyDescent="0.25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69"/>
      <c r="U171" s="18"/>
      <c r="V171" s="18"/>
      <c r="W171" s="18"/>
      <c r="X171" s="18"/>
      <c r="Y171" s="18"/>
      <c r="Z171" s="18"/>
      <c r="AA171" s="18"/>
      <c r="AB171" s="18"/>
    </row>
    <row r="172" spans="1:28" ht="13.2" x14ac:dyDescent="0.25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69"/>
      <c r="U172" s="18"/>
      <c r="V172" s="18"/>
      <c r="W172" s="18"/>
      <c r="X172" s="18"/>
      <c r="Y172" s="18"/>
      <c r="Z172" s="18"/>
      <c r="AA172" s="18"/>
      <c r="AB172" s="18"/>
    </row>
    <row r="173" spans="1:28" ht="13.2" x14ac:dyDescent="0.25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69"/>
      <c r="U173" s="18"/>
      <c r="V173" s="18"/>
      <c r="W173" s="18"/>
      <c r="X173" s="18"/>
      <c r="Y173" s="18"/>
      <c r="Z173" s="18"/>
      <c r="AA173" s="18"/>
      <c r="AB173" s="18"/>
    </row>
    <row r="174" spans="1:28" ht="13.2" x14ac:dyDescent="0.25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69"/>
      <c r="U174" s="18"/>
      <c r="V174" s="18"/>
      <c r="W174" s="18"/>
      <c r="X174" s="18"/>
      <c r="Y174" s="18"/>
      <c r="Z174" s="18"/>
      <c r="AA174" s="18"/>
      <c r="AB174" s="18"/>
    </row>
    <row r="175" spans="1:28" ht="13.2" x14ac:dyDescent="0.2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69"/>
      <c r="U175" s="18"/>
      <c r="V175" s="18"/>
      <c r="W175" s="18"/>
      <c r="X175" s="18"/>
      <c r="Y175" s="18"/>
      <c r="Z175" s="18"/>
      <c r="AA175" s="18"/>
      <c r="AB175" s="18"/>
    </row>
    <row r="176" spans="1:28" ht="13.2" x14ac:dyDescent="0.25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69"/>
      <c r="U176" s="18"/>
      <c r="V176" s="18"/>
      <c r="W176" s="18"/>
      <c r="X176" s="18"/>
      <c r="Y176" s="18"/>
      <c r="Z176" s="18"/>
      <c r="AA176" s="18"/>
      <c r="AB176" s="18"/>
    </row>
    <row r="177" spans="1:28" ht="13.2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69"/>
      <c r="U177" s="18"/>
      <c r="V177" s="18"/>
      <c r="W177" s="18"/>
      <c r="X177" s="18"/>
      <c r="Y177" s="18"/>
      <c r="Z177" s="18"/>
      <c r="AA177" s="18"/>
      <c r="AB177" s="18"/>
    </row>
    <row r="178" spans="1:28" ht="13.2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69"/>
      <c r="U178" s="18"/>
      <c r="V178" s="18"/>
      <c r="W178" s="18"/>
      <c r="X178" s="18"/>
      <c r="Y178" s="18"/>
      <c r="Z178" s="18"/>
      <c r="AA178" s="18"/>
      <c r="AB178" s="18"/>
    </row>
    <row r="179" spans="1:28" ht="13.2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69"/>
      <c r="U179" s="18"/>
      <c r="V179" s="18"/>
      <c r="W179" s="18"/>
      <c r="X179" s="18"/>
      <c r="Y179" s="18"/>
      <c r="Z179" s="18"/>
      <c r="AA179" s="18"/>
      <c r="AB179" s="18"/>
    </row>
    <row r="180" spans="1:28" ht="13.2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69"/>
      <c r="U180" s="18"/>
      <c r="V180" s="18"/>
      <c r="W180" s="18"/>
      <c r="X180" s="18"/>
      <c r="Y180" s="18"/>
      <c r="Z180" s="18"/>
      <c r="AA180" s="18"/>
      <c r="AB180" s="18"/>
    </row>
    <row r="181" spans="1:28" ht="13.2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69"/>
      <c r="U181" s="18"/>
      <c r="V181" s="18"/>
      <c r="W181" s="18"/>
      <c r="X181" s="18"/>
      <c r="Y181" s="18"/>
      <c r="Z181" s="18"/>
      <c r="AA181" s="18"/>
      <c r="AB181" s="18"/>
    </row>
    <row r="182" spans="1:28" ht="13.2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69"/>
      <c r="U182" s="18"/>
      <c r="V182" s="18"/>
      <c r="W182" s="18"/>
      <c r="X182" s="18"/>
      <c r="Y182" s="18"/>
      <c r="Z182" s="18"/>
      <c r="AA182" s="18"/>
      <c r="AB182" s="18"/>
    </row>
    <row r="183" spans="1:28" ht="13.2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69"/>
      <c r="U183" s="18"/>
      <c r="V183" s="18"/>
      <c r="W183" s="18"/>
      <c r="X183" s="18"/>
      <c r="Y183" s="18"/>
      <c r="Z183" s="18"/>
      <c r="AA183" s="18"/>
      <c r="AB183" s="18"/>
    </row>
    <row r="184" spans="1:28" ht="13.2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69"/>
      <c r="U184" s="18"/>
      <c r="V184" s="18"/>
      <c r="W184" s="18"/>
      <c r="X184" s="18"/>
      <c r="Y184" s="18"/>
      <c r="Z184" s="18"/>
      <c r="AA184" s="18"/>
      <c r="AB184" s="18"/>
    </row>
    <row r="185" spans="1:28" ht="13.2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69"/>
      <c r="U185" s="18"/>
      <c r="V185" s="18"/>
      <c r="W185" s="18"/>
      <c r="X185" s="18"/>
      <c r="Y185" s="18"/>
      <c r="Z185" s="18"/>
      <c r="AA185" s="18"/>
      <c r="AB185" s="18"/>
    </row>
    <row r="186" spans="1:28" ht="13.2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69"/>
      <c r="U186" s="18"/>
      <c r="V186" s="18"/>
      <c r="W186" s="18"/>
      <c r="X186" s="18"/>
      <c r="Y186" s="18"/>
      <c r="Z186" s="18"/>
      <c r="AA186" s="18"/>
      <c r="AB186" s="18"/>
    </row>
    <row r="187" spans="1:28" ht="13.2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69"/>
      <c r="U187" s="18"/>
      <c r="V187" s="18"/>
      <c r="W187" s="18"/>
      <c r="X187" s="18"/>
      <c r="Y187" s="18"/>
      <c r="Z187" s="18"/>
      <c r="AA187" s="18"/>
      <c r="AB187" s="18"/>
    </row>
    <row r="188" spans="1:28" ht="13.2" x14ac:dyDescent="0.25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69"/>
      <c r="U188" s="18"/>
      <c r="V188" s="18"/>
      <c r="W188" s="18"/>
      <c r="X188" s="18"/>
      <c r="Y188" s="18"/>
      <c r="Z188" s="18"/>
      <c r="AA188" s="18"/>
      <c r="AB188" s="18"/>
    </row>
    <row r="189" spans="1:28" ht="13.2" x14ac:dyDescent="0.25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69"/>
      <c r="U189" s="18"/>
      <c r="V189" s="18"/>
      <c r="W189" s="18"/>
      <c r="X189" s="18"/>
      <c r="Y189" s="18"/>
      <c r="Z189" s="18"/>
      <c r="AA189" s="18"/>
      <c r="AB189" s="18"/>
    </row>
    <row r="190" spans="1:28" ht="13.2" x14ac:dyDescent="0.25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69"/>
      <c r="U190" s="18"/>
      <c r="V190" s="18"/>
      <c r="W190" s="18"/>
      <c r="X190" s="18"/>
      <c r="Y190" s="18"/>
      <c r="Z190" s="18"/>
      <c r="AA190" s="18"/>
      <c r="AB190" s="18"/>
    </row>
    <row r="191" spans="1:28" ht="13.2" x14ac:dyDescent="0.25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69"/>
      <c r="U191" s="18"/>
      <c r="V191" s="18"/>
      <c r="W191" s="18"/>
      <c r="X191" s="18"/>
      <c r="Y191" s="18"/>
      <c r="Z191" s="18"/>
      <c r="AA191" s="18"/>
      <c r="AB191" s="18"/>
    </row>
    <row r="192" spans="1:28" ht="13.2" x14ac:dyDescent="0.25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69"/>
      <c r="U192" s="18"/>
      <c r="V192" s="18"/>
      <c r="W192" s="18"/>
      <c r="X192" s="18"/>
      <c r="Y192" s="18"/>
      <c r="Z192" s="18"/>
      <c r="AA192" s="18"/>
      <c r="AB192" s="18"/>
    </row>
    <row r="193" spans="1:28" ht="13.2" x14ac:dyDescent="0.25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69"/>
      <c r="U193" s="18"/>
      <c r="V193" s="18"/>
      <c r="W193" s="18"/>
      <c r="X193" s="18"/>
      <c r="Y193" s="18"/>
      <c r="Z193" s="18"/>
      <c r="AA193" s="18"/>
      <c r="AB193" s="18"/>
    </row>
    <row r="194" spans="1:28" ht="13.2" x14ac:dyDescent="0.25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69"/>
      <c r="U194" s="18"/>
      <c r="V194" s="18"/>
      <c r="W194" s="18"/>
      <c r="X194" s="18"/>
      <c r="Y194" s="18"/>
      <c r="Z194" s="18"/>
      <c r="AA194" s="18"/>
      <c r="AB194" s="18"/>
    </row>
    <row r="195" spans="1:28" ht="13.2" x14ac:dyDescent="0.2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69"/>
      <c r="U195" s="18"/>
      <c r="V195" s="18"/>
      <c r="W195" s="18"/>
      <c r="X195" s="18"/>
      <c r="Y195" s="18"/>
      <c r="Z195" s="18"/>
      <c r="AA195" s="18"/>
      <c r="AB195" s="18"/>
    </row>
    <row r="196" spans="1:28" ht="13.2" x14ac:dyDescent="0.25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69"/>
      <c r="U196" s="18"/>
      <c r="V196" s="18"/>
      <c r="W196" s="18"/>
      <c r="X196" s="18"/>
      <c r="Y196" s="18"/>
      <c r="Z196" s="18"/>
      <c r="AA196" s="18"/>
      <c r="AB196" s="18"/>
    </row>
    <row r="197" spans="1:28" ht="13.2" x14ac:dyDescent="0.25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69"/>
      <c r="U197" s="18"/>
      <c r="V197" s="18"/>
      <c r="W197" s="18"/>
      <c r="X197" s="18"/>
      <c r="Y197" s="18"/>
      <c r="Z197" s="18"/>
      <c r="AA197" s="18"/>
      <c r="AB197" s="18"/>
    </row>
    <row r="198" spans="1:28" ht="13.2" x14ac:dyDescent="0.25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69"/>
      <c r="U198" s="18"/>
      <c r="V198" s="18"/>
      <c r="W198" s="18"/>
      <c r="X198" s="18"/>
      <c r="Y198" s="18"/>
      <c r="Z198" s="18"/>
      <c r="AA198" s="18"/>
      <c r="AB198" s="18"/>
    </row>
    <row r="199" spans="1:28" ht="13.2" x14ac:dyDescent="0.25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69"/>
      <c r="U199" s="18"/>
      <c r="V199" s="18"/>
      <c r="W199" s="18"/>
      <c r="X199" s="18"/>
      <c r="Y199" s="18"/>
      <c r="Z199" s="18"/>
      <c r="AA199" s="18"/>
      <c r="AB199" s="18"/>
    </row>
    <row r="200" spans="1:28" ht="13.2" x14ac:dyDescent="0.25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69"/>
      <c r="U200" s="18"/>
      <c r="V200" s="18"/>
      <c r="W200" s="18"/>
      <c r="X200" s="18"/>
      <c r="Y200" s="18"/>
      <c r="Z200" s="18"/>
      <c r="AA200" s="18"/>
      <c r="AB200" s="18"/>
    </row>
    <row r="201" spans="1:28" ht="13.2" x14ac:dyDescent="0.25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69"/>
      <c r="U201" s="18"/>
      <c r="V201" s="18"/>
      <c r="W201" s="18"/>
      <c r="X201" s="18"/>
      <c r="Y201" s="18"/>
      <c r="Z201" s="18"/>
      <c r="AA201" s="18"/>
      <c r="AB201" s="18"/>
    </row>
    <row r="202" spans="1:28" ht="13.2" x14ac:dyDescent="0.25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69"/>
      <c r="U202" s="18"/>
      <c r="V202" s="18"/>
      <c r="W202" s="18"/>
      <c r="X202" s="18"/>
      <c r="Y202" s="18"/>
      <c r="Z202" s="18"/>
      <c r="AA202" s="18"/>
      <c r="AB202" s="18"/>
    </row>
    <row r="203" spans="1:28" ht="13.2" x14ac:dyDescent="0.25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69"/>
      <c r="U203" s="18"/>
      <c r="V203" s="18"/>
      <c r="W203" s="18"/>
      <c r="X203" s="18"/>
      <c r="Y203" s="18"/>
      <c r="Z203" s="18"/>
      <c r="AA203" s="18"/>
      <c r="AB203" s="18"/>
    </row>
    <row r="204" spans="1:28" ht="13.2" x14ac:dyDescent="0.25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69"/>
      <c r="U204" s="18"/>
      <c r="V204" s="18"/>
      <c r="W204" s="18"/>
      <c r="X204" s="18"/>
      <c r="Y204" s="18"/>
      <c r="Z204" s="18"/>
      <c r="AA204" s="18"/>
      <c r="AB204" s="18"/>
    </row>
    <row r="205" spans="1:28" ht="13.2" x14ac:dyDescent="0.2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69"/>
      <c r="U205" s="18"/>
      <c r="V205" s="18"/>
      <c r="W205" s="18"/>
      <c r="X205" s="18"/>
      <c r="Y205" s="18"/>
      <c r="Z205" s="18"/>
      <c r="AA205" s="18"/>
      <c r="AB205" s="18"/>
    </row>
    <row r="206" spans="1:28" ht="13.2" x14ac:dyDescent="0.25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69"/>
      <c r="U206" s="18"/>
      <c r="V206" s="18"/>
      <c r="W206" s="18"/>
      <c r="X206" s="18"/>
      <c r="Y206" s="18"/>
      <c r="Z206" s="18"/>
      <c r="AA206" s="18"/>
      <c r="AB206" s="18"/>
    </row>
    <row r="207" spans="1:28" ht="13.2" x14ac:dyDescent="0.25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69"/>
      <c r="U207" s="18"/>
      <c r="V207" s="18"/>
      <c r="W207" s="18"/>
      <c r="X207" s="18"/>
      <c r="Y207" s="18"/>
      <c r="Z207" s="18"/>
      <c r="AA207" s="18"/>
      <c r="AB207" s="18"/>
    </row>
    <row r="208" spans="1:28" ht="13.2" x14ac:dyDescent="0.25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69"/>
      <c r="U208" s="18"/>
      <c r="V208" s="18"/>
      <c r="W208" s="18"/>
      <c r="X208" s="18"/>
      <c r="Y208" s="18"/>
      <c r="Z208" s="18"/>
      <c r="AA208" s="18"/>
      <c r="AB208" s="18"/>
    </row>
    <row r="209" spans="1:28" ht="13.2" x14ac:dyDescent="0.25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69"/>
      <c r="U209" s="18"/>
      <c r="V209" s="18"/>
      <c r="W209" s="18"/>
      <c r="X209" s="18"/>
      <c r="Y209" s="18"/>
      <c r="Z209" s="18"/>
      <c r="AA209" s="18"/>
      <c r="AB209" s="18"/>
    </row>
    <row r="210" spans="1:28" ht="13.2" x14ac:dyDescent="0.25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69"/>
      <c r="U210" s="18"/>
      <c r="V210" s="18"/>
      <c r="W210" s="18"/>
      <c r="X210" s="18"/>
      <c r="Y210" s="18"/>
      <c r="Z210" s="18"/>
      <c r="AA210" s="18"/>
      <c r="AB210" s="18"/>
    </row>
    <row r="211" spans="1:28" ht="13.2" x14ac:dyDescent="0.25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69"/>
      <c r="U211" s="18"/>
      <c r="V211" s="18"/>
      <c r="W211" s="18"/>
      <c r="X211" s="18"/>
      <c r="Y211" s="18"/>
      <c r="Z211" s="18"/>
      <c r="AA211" s="18"/>
      <c r="AB211" s="18"/>
    </row>
    <row r="212" spans="1:28" ht="13.2" x14ac:dyDescent="0.25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69"/>
      <c r="U212" s="18"/>
      <c r="V212" s="18"/>
      <c r="W212" s="18"/>
      <c r="X212" s="18"/>
      <c r="Y212" s="18"/>
      <c r="Z212" s="18"/>
      <c r="AA212" s="18"/>
      <c r="AB212" s="18"/>
    </row>
    <row r="213" spans="1:28" ht="13.2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69"/>
      <c r="U213" s="18"/>
      <c r="V213" s="18"/>
      <c r="W213" s="18"/>
      <c r="X213" s="18"/>
      <c r="Y213" s="18"/>
      <c r="Z213" s="18"/>
      <c r="AA213" s="18"/>
      <c r="AB213" s="18"/>
    </row>
    <row r="214" spans="1:28" ht="13.2" x14ac:dyDescent="0.25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69"/>
      <c r="U214" s="18"/>
      <c r="V214" s="18"/>
      <c r="W214" s="18"/>
      <c r="X214" s="18"/>
      <c r="Y214" s="18"/>
      <c r="Z214" s="18"/>
      <c r="AA214" s="18"/>
      <c r="AB214" s="18"/>
    </row>
    <row r="215" spans="1:28" ht="13.2" x14ac:dyDescent="0.2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69"/>
      <c r="U215" s="18"/>
      <c r="V215" s="18"/>
      <c r="W215" s="18"/>
      <c r="X215" s="18"/>
      <c r="Y215" s="18"/>
      <c r="Z215" s="18"/>
      <c r="AA215" s="18"/>
      <c r="AB215" s="18"/>
    </row>
    <row r="216" spans="1:28" ht="13.2" x14ac:dyDescent="0.25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69"/>
      <c r="U216" s="18"/>
      <c r="V216" s="18"/>
      <c r="W216" s="18"/>
      <c r="X216" s="18"/>
      <c r="Y216" s="18"/>
      <c r="Z216" s="18"/>
      <c r="AA216" s="18"/>
      <c r="AB216" s="18"/>
    </row>
    <row r="217" spans="1:28" ht="13.2" x14ac:dyDescent="0.25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69"/>
      <c r="U217" s="18"/>
      <c r="V217" s="18"/>
      <c r="W217" s="18"/>
      <c r="X217" s="18"/>
      <c r="Y217" s="18"/>
      <c r="Z217" s="18"/>
      <c r="AA217" s="18"/>
      <c r="AB217" s="18"/>
    </row>
    <row r="218" spans="1:28" ht="13.2" x14ac:dyDescent="0.25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69"/>
      <c r="U218" s="18"/>
      <c r="V218" s="18"/>
      <c r="W218" s="18"/>
      <c r="X218" s="18"/>
      <c r="Y218" s="18"/>
      <c r="Z218" s="18"/>
      <c r="AA218" s="18"/>
      <c r="AB218" s="18"/>
    </row>
    <row r="219" spans="1:28" ht="13.2" x14ac:dyDescent="0.25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69"/>
      <c r="U219" s="18"/>
      <c r="V219" s="18"/>
      <c r="W219" s="18"/>
      <c r="X219" s="18"/>
      <c r="Y219" s="18"/>
      <c r="Z219" s="18"/>
      <c r="AA219" s="18"/>
      <c r="AB219" s="18"/>
    </row>
    <row r="220" spans="1:28" ht="13.2" x14ac:dyDescent="0.25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69"/>
      <c r="U220" s="18"/>
      <c r="V220" s="18"/>
      <c r="W220" s="18"/>
      <c r="X220" s="18"/>
      <c r="Y220" s="18"/>
      <c r="Z220" s="18"/>
      <c r="AA220" s="18"/>
      <c r="AB220" s="18"/>
    </row>
    <row r="221" spans="1:28" ht="13.2" x14ac:dyDescent="0.25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69"/>
      <c r="U221" s="18"/>
      <c r="V221" s="18"/>
      <c r="W221" s="18"/>
      <c r="X221" s="18"/>
      <c r="Y221" s="18"/>
      <c r="Z221" s="18"/>
      <c r="AA221" s="18"/>
      <c r="AB221" s="18"/>
    </row>
    <row r="222" spans="1:28" ht="13.2" x14ac:dyDescent="0.25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69"/>
      <c r="U222" s="18"/>
      <c r="V222" s="18"/>
      <c r="W222" s="18"/>
      <c r="X222" s="18"/>
      <c r="Y222" s="18"/>
      <c r="Z222" s="18"/>
      <c r="AA222" s="18"/>
      <c r="AB222" s="18"/>
    </row>
    <row r="223" spans="1:28" ht="13.2" x14ac:dyDescent="0.25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69"/>
      <c r="U223" s="18"/>
      <c r="V223" s="18"/>
      <c r="W223" s="18"/>
      <c r="X223" s="18"/>
      <c r="Y223" s="18"/>
      <c r="Z223" s="18"/>
      <c r="AA223" s="18"/>
      <c r="AB223" s="18"/>
    </row>
    <row r="224" spans="1:28" ht="13.2" x14ac:dyDescent="0.25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69"/>
      <c r="U224" s="18"/>
      <c r="V224" s="18"/>
      <c r="W224" s="18"/>
      <c r="X224" s="18"/>
      <c r="Y224" s="18"/>
      <c r="Z224" s="18"/>
      <c r="AA224" s="18"/>
      <c r="AB224" s="18"/>
    </row>
    <row r="225" spans="1:28" ht="13.2" x14ac:dyDescent="0.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69"/>
      <c r="U225" s="18"/>
      <c r="V225" s="18"/>
      <c r="W225" s="18"/>
      <c r="X225" s="18"/>
      <c r="Y225" s="18"/>
      <c r="Z225" s="18"/>
      <c r="AA225" s="18"/>
      <c r="AB225" s="18"/>
    </row>
    <row r="226" spans="1:28" ht="13.2" x14ac:dyDescent="0.25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69"/>
      <c r="U226" s="18"/>
      <c r="V226" s="18"/>
      <c r="W226" s="18"/>
      <c r="X226" s="18"/>
      <c r="Y226" s="18"/>
      <c r="Z226" s="18"/>
      <c r="AA226" s="18"/>
      <c r="AB226" s="18"/>
    </row>
    <row r="227" spans="1:28" ht="13.2" x14ac:dyDescent="0.25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69"/>
      <c r="U227" s="18"/>
      <c r="V227" s="18"/>
      <c r="W227" s="18"/>
      <c r="X227" s="18"/>
      <c r="Y227" s="18"/>
      <c r="Z227" s="18"/>
      <c r="AA227" s="18"/>
      <c r="AB227" s="18"/>
    </row>
    <row r="228" spans="1:28" ht="13.2" x14ac:dyDescent="0.25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69"/>
      <c r="U228" s="18"/>
      <c r="V228" s="18"/>
      <c r="W228" s="18"/>
      <c r="X228" s="18"/>
      <c r="Y228" s="18"/>
      <c r="Z228" s="18"/>
      <c r="AA228" s="18"/>
      <c r="AB228" s="18"/>
    </row>
    <row r="229" spans="1:28" ht="13.2" x14ac:dyDescent="0.25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69"/>
      <c r="U229" s="18"/>
      <c r="V229" s="18"/>
      <c r="W229" s="18"/>
      <c r="X229" s="18"/>
      <c r="Y229" s="18"/>
      <c r="Z229" s="18"/>
      <c r="AA229" s="18"/>
      <c r="AB229" s="18"/>
    </row>
    <row r="230" spans="1:28" ht="13.2" x14ac:dyDescent="0.25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69"/>
      <c r="U230" s="18"/>
      <c r="V230" s="18"/>
      <c r="W230" s="18"/>
      <c r="X230" s="18"/>
      <c r="Y230" s="18"/>
      <c r="Z230" s="18"/>
      <c r="AA230" s="18"/>
      <c r="AB230" s="18"/>
    </row>
    <row r="231" spans="1:28" ht="13.2" x14ac:dyDescent="0.25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69"/>
      <c r="U231" s="18"/>
      <c r="V231" s="18"/>
      <c r="W231" s="18"/>
      <c r="X231" s="18"/>
      <c r="Y231" s="18"/>
      <c r="Z231" s="18"/>
      <c r="AA231" s="18"/>
      <c r="AB231" s="18"/>
    </row>
    <row r="232" spans="1:28" ht="13.2" x14ac:dyDescent="0.25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69"/>
      <c r="U232" s="18"/>
      <c r="V232" s="18"/>
      <c r="W232" s="18"/>
      <c r="X232" s="18"/>
      <c r="Y232" s="18"/>
      <c r="Z232" s="18"/>
      <c r="AA232" s="18"/>
      <c r="AB232" s="18"/>
    </row>
    <row r="233" spans="1:28" ht="13.2" x14ac:dyDescent="0.25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69"/>
      <c r="U233" s="18"/>
      <c r="V233" s="18"/>
      <c r="W233" s="18"/>
      <c r="X233" s="18"/>
      <c r="Y233" s="18"/>
      <c r="Z233" s="18"/>
      <c r="AA233" s="18"/>
      <c r="AB233" s="18"/>
    </row>
    <row r="234" spans="1:28" ht="13.2" x14ac:dyDescent="0.25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69"/>
      <c r="U234" s="18"/>
      <c r="V234" s="18"/>
      <c r="W234" s="18"/>
      <c r="X234" s="18"/>
      <c r="Y234" s="18"/>
      <c r="Z234" s="18"/>
      <c r="AA234" s="18"/>
      <c r="AB234" s="18"/>
    </row>
    <row r="235" spans="1:28" ht="13.2" x14ac:dyDescent="0.2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69"/>
      <c r="U235" s="18"/>
      <c r="V235" s="18"/>
      <c r="W235" s="18"/>
      <c r="X235" s="18"/>
      <c r="Y235" s="18"/>
      <c r="Z235" s="18"/>
      <c r="AA235" s="18"/>
      <c r="AB235" s="18"/>
    </row>
    <row r="236" spans="1:28" ht="13.2" x14ac:dyDescent="0.25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69"/>
      <c r="U236" s="18"/>
      <c r="V236" s="18"/>
      <c r="W236" s="18"/>
      <c r="X236" s="18"/>
      <c r="Y236" s="18"/>
      <c r="Z236" s="18"/>
      <c r="AA236" s="18"/>
      <c r="AB236" s="18"/>
    </row>
    <row r="237" spans="1:28" ht="13.2" x14ac:dyDescent="0.25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69"/>
      <c r="U237" s="18"/>
      <c r="V237" s="18"/>
      <c r="W237" s="18"/>
      <c r="X237" s="18"/>
      <c r="Y237" s="18"/>
      <c r="Z237" s="18"/>
      <c r="AA237" s="18"/>
      <c r="AB237" s="18"/>
    </row>
    <row r="238" spans="1:28" ht="13.2" x14ac:dyDescent="0.2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69"/>
      <c r="U238" s="18"/>
      <c r="V238" s="18"/>
      <c r="W238" s="18"/>
      <c r="X238" s="18"/>
      <c r="Y238" s="18"/>
      <c r="Z238" s="18"/>
      <c r="AA238" s="18"/>
      <c r="AB238" s="18"/>
    </row>
    <row r="239" spans="1:28" ht="13.2" x14ac:dyDescent="0.2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69"/>
      <c r="U239" s="18"/>
      <c r="V239" s="18"/>
      <c r="W239" s="18"/>
      <c r="X239" s="18"/>
      <c r="Y239" s="18"/>
      <c r="Z239" s="18"/>
      <c r="AA239" s="18"/>
      <c r="AB239" s="18"/>
    </row>
    <row r="240" spans="1:28" ht="13.2" x14ac:dyDescent="0.2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69"/>
      <c r="U240" s="18"/>
      <c r="V240" s="18"/>
      <c r="W240" s="18"/>
      <c r="X240" s="18"/>
      <c r="Y240" s="18"/>
      <c r="Z240" s="18"/>
      <c r="AA240" s="18"/>
      <c r="AB240" s="18"/>
    </row>
    <row r="241" spans="1:28" ht="13.2" x14ac:dyDescent="0.2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69"/>
      <c r="U241" s="18"/>
      <c r="V241" s="18"/>
      <c r="W241" s="18"/>
      <c r="X241" s="18"/>
      <c r="Y241" s="18"/>
      <c r="Z241" s="18"/>
      <c r="AA241" s="18"/>
      <c r="AB241" s="18"/>
    </row>
    <row r="242" spans="1:28" ht="13.2" x14ac:dyDescent="0.2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69"/>
      <c r="U242" s="18"/>
      <c r="V242" s="18"/>
      <c r="W242" s="18"/>
      <c r="X242" s="18"/>
      <c r="Y242" s="18"/>
      <c r="Z242" s="18"/>
      <c r="AA242" s="18"/>
      <c r="AB242" s="18"/>
    </row>
    <row r="243" spans="1:28" ht="13.2" x14ac:dyDescent="0.2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69"/>
      <c r="U243" s="18"/>
      <c r="V243" s="18"/>
      <c r="W243" s="18"/>
      <c r="X243" s="18"/>
      <c r="Y243" s="18"/>
      <c r="Z243" s="18"/>
      <c r="AA243" s="18"/>
      <c r="AB243" s="18"/>
    </row>
    <row r="244" spans="1:28" ht="13.2" x14ac:dyDescent="0.2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69"/>
      <c r="U244" s="18"/>
      <c r="V244" s="18"/>
      <c r="W244" s="18"/>
      <c r="X244" s="18"/>
      <c r="Y244" s="18"/>
      <c r="Z244" s="18"/>
      <c r="AA244" s="18"/>
      <c r="AB244" s="18"/>
    </row>
    <row r="245" spans="1:28" ht="13.2" x14ac:dyDescent="0.2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69"/>
      <c r="U245" s="18"/>
      <c r="V245" s="18"/>
      <c r="W245" s="18"/>
      <c r="X245" s="18"/>
      <c r="Y245" s="18"/>
      <c r="Z245" s="18"/>
      <c r="AA245" s="18"/>
      <c r="AB245" s="18"/>
    </row>
    <row r="246" spans="1:28" ht="13.2" x14ac:dyDescent="0.2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69"/>
      <c r="U246" s="18"/>
      <c r="V246" s="18"/>
      <c r="W246" s="18"/>
      <c r="X246" s="18"/>
      <c r="Y246" s="18"/>
      <c r="Z246" s="18"/>
      <c r="AA246" s="18"/>
      <c r="AB246" s="18"/>
    </row>
    <row r="247" spans="1:28" ht="13.2" x14ac:dyDescent="0.2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69"/>
      <c r="U247" s="18"/>
      <c r="V247" s="18"/>
      <c r="W247" s="18"/>
      <c r="X247" s="18"/>
      <c r="Y247" s="18"/>
      <c r="Z247" s="18"/>
      <c r="AA247" s="18"/>
      <c r="AB247" s="18"/>
    </row>
    <row r="248" spans="1:28" ht="13.2" x14ac:dyDescent="0.2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69"/>
      <c r="U248" s="18"/>
      <c r="V248" s="18"/>
      <c r="W248" s="18"/>
      <c r="X248" s="18"/>
      <c r="Y248" s="18"/>
      <c r="Z248" s="18"/>
      <c r="AA248" s="18"/>
      <c r="AB248" s="18"/>
    </row>
    <row r="249" spans="1:28" ht="13.2" x14ac:dyDescent="0.2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69"/>
      <c r="U249" s="18"/>
      <c r="V249" s="18"/>
      <c r="W249" s="18"/>
      <c r="X249" s="18"/>
      <c r="Y249" s="18"/>
      <c r="Z249" s="18"/>
      <c r="AA249" s="18"/>
      <c r="AB249" s="18"/>
    </row>
    <row r="250" spans="1:28" ht="13.2" x14ac:dyDescent="0.2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69"/>
      <c r="U250" s="18"/>
      <c r="V250" s="18"/>
      <c r="W250" s="18"/>
      <c r="X250" s="18"/>
      <c r="Y250" s="18"/>
      <c r="Z250" s="18"/>
      <c r="AA250" s="18"/>
      <c r="AB250" s="18"/>
    </row>
    <row r="251" spans="1:28" ht="13.2" x14ac:dyDescent="0.2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69"/>
      <c r="U251" s="18"/>
      <c r="V251" s="18"/>
      <c r="W251" s="18"/>
      <c r="X251" s="18"/>
      <c r="Y251" s="18"/>
      <c r="Z251" s="18"/>
      <c r="AA251" s="18"/>
      <c r="AB251" s="18"/>
    </row>
    <row r="252" spans="1:28" ht="13.2" x14ac:dyDescent="0.2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69"/>
      <c r="U252" s="18"/>
      <c r="V252" s="18"/>
      <c r="W252" s="18"/>
      <c r="X252" s="18"/>
      <c r="Y252" s="18"/>
      <c r="Z252" s="18"/>
      <c r="AA252" s="18"/>
      <c r="AB252" s="18"/>
    </row>
    <row r="253" spans="1:28" ht="13.2" x14ac:dyDescent="0.2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69"/>
      <c r="U253" s="18"/>
      <c r="V253" s="18"/>
      <c r="W253" s="18"/>
      <c r="X253" s="18"/>
      <c r="Y253" s="18"/>
      <c r="Z253" s="18"/>
      <c r="AA253" s="18"/>
      <c r="AB253" s="18"/>
    </row>
    <row r="254" spans="1:28" ht="13.2" x14ac:dyDescent="0.2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69"/>
      <c r="U254" s="18"/>
      <c r="V254" s="18"/>
      <c r="W254" s="18"/>
      <c r="X254" s="18"/>
      <c r="Y254" s="18"/>
      <c r="Z254" s="18"/>
      <c r="AA254" s="18"/>
      <c r="AB254" s="18"/>
    </row>
    <row r="255" spans="1:28" ht="13.2" x14ac:dyDescent="0.2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69"/>
      <c r="U255" s="18"/>
      <c r="V255" s="18"/>
      <c r="W255" s="18"/>
      <c r="X255" s="18"/>
      <c r="Y255" s="18"/>
      <c r="Z255" s="18"/>
      <c r="AA255" s="18"/>
      <c r="AB255" s="18"/>
    </row>
    <row r="256" spans="1:28" ht="13.2" x14ac:dyDescent="0.2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69"/>
      <c r="U256" s="18"/>
      <c r="V256" s="18"/>
      <c r="W256" s="18"/>
      <c r="X256" s="18"/>
      <c r="Y256" s="18"/>
      <c r="Z256" s="18"/>
      <c r="AA256" s="18"/>
      <c r="AB256" s="18"/>
    </row>
    <row r="257" spans="1:28" ht="13.2" x14ac:dyDescent="0.2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69"/>
      <c r="U257" s="18"/>
      <c r="V257" s="18"/>
      <c r="W257" s="18"/>
      <c r="X257" s="18"/>
      <c r="Y257" s="18"/>
      <c r="Z257" s="18"/>
      <c r="AA257" s="18"/>
      <c r="AB257" s="18"/>
    </row>
    <row r="258" spans="1:28" ht="13.2" x14ac:dyDescent="0.2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69"/>
      <c r="U258" s="18"/>
      <c r="V258" s="18"/>
      <c r="W258" s="18"/>
      <c r="X258" s="18"/>
      <c r="Y258" s="18"/>
      <c r="Z258" s="18"/>
      <c r="AA258" s="18"/>
      <c r="AB258" s="18"/>
    </row>
    <row r="259" spans="1:28" ht="13.2" x14ac:dyDescent="0.2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69"/>
      <c r="U259" s="18"/>
      <c r="V259" s="18"/>
      <c r="W259" s="18"/>
      <c r="X259" s="18"/>
      <c r="Y259" s="18"/>
      <c r="Z259" s="18"/>
      <c r="AA259" s="18"/>
      <c r="AB259" s="18"/>
    </row>
    <row r="260" spans="1:28" ht="13.2" x14ac:dyDescent="0.2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69"/>
      <c r="U260" s="18"/>
      <c r="V260" s="18"/>
      <c r="W260" s="18"/>
      <c r="X260" s="18"/>
      <c r="Y260" s="18"/>
      <c r="Z260" s="18"/>
      <c r="AA260" s="18"/>
      <c r="AB260" s="18"/>
    </row>
    <row r="261" spans="1:28" ht="13.2" x14ac:dyDescent="0.2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69"/>
      <c r="U261" s="18"/>
      <c r="V261" s="18"/>
      <c r="W261" s="18"/>
      <c r="X261" s="18"/>
      <c r="Y261" s="18"/>
      <c r="Z261" s="18"/>
      <c r="AA261" s="18"/>
      <c r="AB261" s="18"/>
    </row>
    <row r="262" spans="1:28" ht="13.2" x14ac:dyDescent="0.2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69"/>
      <c r="U262" s="18"/>
      <c r="V262" s="18"/>
      <c r="W262" s="18"/>
      <c r="X262" s="18"/>
      <c r="Y262" s="18"/>
      <c r="Z262" s="18"/>
      <c r="AA262" s="18"/>
      <c r="AB262" s="18"/>
    </row>
    <row r="263" spans="1:28" ht="13.2" x14ac:dyDescent="0.2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69"/>
      <c r="U263" s="18"/>
      <c r="V263" s="18"/>
      <c r="W263" s="18"/>
      <c r="X263" s="18"/>
      <c r="Y263" s="18"/>
      <c r="Z263" s="18"/>
      <c r="AA263" s="18"/>
      <c r="AB263" s="18"/>
    </row>
    <row r="264" spans="1:28" ht="13.2" x14ac:dyDescent="0.2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69"/>
      <c r="U264" s="18"/>
      <c r="V264" s="18"/>
      <c r="W264" s="18"/>
      <c r="X264" s="18"/>
      <c r="Y264" s="18"/>
      <c r="Z264" s="18"/>
      <c r="AA264" s="18"/>
      <c r="AB264" s="18"/>
    </row>
    <row r="265" spans="1:28" ht="13.2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69"/>
      <c r="U265" s="18"/>
      <c r="V265" s="18"/>
      <c r="W265" s="18"/>
      <c r="X265" s="18"/>
      <c r="Y265" s="18"/>
      <c r="Z265" s="18"/>
      <c r="AA265" s="18"/>
      <c r="AB265" s="18"/>
    </row>
    <row r="266" spans="1:28" ht="13.2" x14ac:dyDescent="0.2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69"/>
      <c r="U266" s="18"/>
      <c r="V266" s="18"/>
      <c r="W266" s="18"/>
      <c r="X266" s="18"/>
      <c r="Y266" s="18"/>
      <c r="Z266" s="18"/>
      <c r="AA266" s="18"/>
      <c r="AB266" s="18"/>
    </row>
    <row r="267" spans="1:28" ht="13.2" x14ac:dyDescent="0.2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69"/>
      <c r="U267" s="18"/>
      <c r="V267" s="18"/>
      <c r="W267" s="18"/>
      <c r="X267" s="18"/>
      <c r="Y267" s="18"/>
      <c r="Z267" s="18"/>
      <c r="AA267" s="18"/>
      <c r="AB267" s="18"/>
    </row>
    <row r="268" spans="1:28" ht="13.2" x14ac:dyDescent="0.2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69"/>
      <c r="U268" s="18"/>
      <c r="V268" s="18"/>
      <c r="W268" s="18"/>
      <c r="X268" s="18"/>
      <c r="Y268" s="18"/>
      <c r="Z268" s="18"/>
      <c r="AA268" s="18"/>
      <c r="AB268" s="18"/>
    </row>
    <row r="269" spans="1:28" ht="13.2" x14ac:dyDescent="0.2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69"/>
      <c r="U269" s="18"/>
      <c r="V269" s="18"/>
      <c r="W269" s="18"/>
      <c r="X269" s="18"/>
      <c r="Y269" s="18"/>
      <c r="Z269" s="18"/>
      <c r="AA269" s="18"/>
      <c r="AB269" s="18"/>
    </row>
    <row r="270" spans="1:28" ht="13.2" x14ac:dyDescent="0.2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69"/>
      <c r="U270" s="18"/>
      <c r="V270" s="18"/>
      <c r="W270" s="18"/>
      <c r="X270" s="18"/>
      <c r="Y270" s="18"/>
      <c r="Z270" s="18"/>
      <c r="AA270" s="18"/>
      <c r="AB270" s="18"/>
    </row>
    <row r="271" spans="1:28" ht="13.2" x14ac:dyDescent="0.2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69"/>
      <c r="U271" s="18"/>
      <c r="V271" s="18"/>
      <c r="W271" s="18"/>
      <c r="X271" s="18"/>
      <c r="Y271" s="18"/>
      <c r="Z271" s="18"/>
      <c r="AA271" s="18"/>
      <c r="AB271" s="18"/>
    </row>
    <row r="272" spans="1:28" ht="13.2" x14ac:dyDescent="0.2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69"/>
      <c r="U272" s="18"/>
      <c r="V272" s="18"/>
      <c r="W272" s="18"/>
      <c r="X272" s="18"/>
      <c r="Y272" s="18"/>
      <c r="Z272" s="18"/>
      <c r="AA272" s="18"/>
      <c r="AB272" s="18"/>
    </row>
    <row r="273" spans="1:28" ht="13.2" x14ac:dyDescent="0.2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69"/>
      <c r="U273" s="18"/>
      <c r="V273" s="18"/>
      <c r="W273" s="18"/>
      <c r="X273" s="18"/>
      <c r="Y273" s="18"/>
      <c r="Z273" s="18"/>
      <c r="AA273" s="18"/>
      <c r="AB273" s="18"/>
    </row>
    <row r="274" spans="1:28" ht="13.2" x14ac:dyDescent="0.2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69"/>
      <c r="U274" s="18"/>
      <c r="V274" s="18"/>
      <c r="W274" s="18"/>
      <c r="X274" s="18"/>
      <c r="Y274" s="18"/>
      <c r="Z274" s="18"/>
      <c r="AA274" s="18"/>
      <c r="AB274" s="18"/>
    </row>
    <row r="275" spans="1:28" ht="13.2" x14ac:dyDescent="0.2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69"/>
      <c r="U275" s="18"/>
      <c r="V275" s="18"/>
      <c r="W275" s="18"/>
      <c r="X275" s="18"/>
      <c r="Y275" s="18"/>
      <c r="Z275" s="18"/>
      <c r="AA275" s="18"/>
      <c r="AB275" s="18"/>
    </row>
    <row r="276" spans="1:28" ht="13.2" x14ac:dyDescent="0.2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69"/>
      <c r="U276" s="18"/>
      <c r="V276" s="18"/>
      <c r="W276" s="18"/>
      <c r="X276" s="18"/>
      <c r="Y276" s="18"/>
      <c r="Z276" s="18"/>
      <c r="AA276" s="18"/>
      <c r="AB276" s="18"/>
    </row>
    <row r="277" spans="1:28" ht="13.2" x14ac:dyDescent="0.2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69"/>
      <c r="U277" s="18"/>
      <c r="V277" s="18"/>
      <c r="W277" s="18"/>
      <c r="X277" s="18"/>
      <c r="Y277" s="18"/>
      <c r="Z277" s="18"/>
      <c r="AA277" s="18"/>
      <c r="AB277" s="18"/>
    </row>
    <row r="278" spans="1:28" ht="13.2" x14ac:dyDescent="0.2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69"/>
      <c r="U278" s="18"/>
      <c r="V278" s="18"/>
      <c r="W278" s="18"/>
      <c r="X278" s="18"/>
      <c r="Y278" s="18"/>
      <c r="Z278" s="18"/>
      <c r="AA278" s="18"/>
      <c r="AB278" s="18"/>
    </row>
    <row r="279" spans="1:28" ht="13.2" x14ac:dyDescent="0.2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69"/>
      <c r="U279" s="18"/>
      <c r="V279" s="18"/>
      <c r="W279" s="18"/>
      <c r="X279" s="18"/>
      <c r="Y279" s="18"/>
      <c r="Z279" s="18"/>
      <c r="AA279" s="18"/>
      <c r="AB279" s="18"/>
    </row>
    <row r="280" spans="1:28" ht="13.2" x14ac:dyDescent="0.2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69"/>
      <c r="U280" s="18"/>
      <c r="V280" s="18"/>
      <c r="W280" s="18"/>
      <c r="X280" s="18"/>
      <c r="Y280" s="18"/>
      <c r="Z280" s="18"/>
      <c r="AA280" s="18"/>
      <c r="AB280" s="18"/>
    </row>
    <row r="281" spans="1:28" ht="13.2" x14ac:dyDescent="0.2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69"/>
      <c r="U281" s="18"/>
      <c r="V281" s="18"/>
      <c r="W281" s="18"/>
      <c r="X281" s="18"/>
      <c r="Y281" s="18"/>
      <c r="Z281" s="18"/>
      <c r="AA281" s="18"/>
      <c r="AB281" s="18"/>
    </row>
    <row r="282" spans="1:28" ht="13.2" x14ac:dyDescent="0.2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69"/>
      <c r="U282" s="18"/>
      <c r="V282" s="18"/>
      <c r="W282" s="18"/>
      <c r="X282" s="18"/>
      <c r="Y282" s="18"/>
      <c r="Z282" s="18"/>
      <c r="AA282" s="18"/>
      <c r="AB282" s="18"/>
    </row>
    <row r="283" spans="1:28" ht="13.2" x14ac:dyDescent="0.2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69"/>
      <c r="U283" s="18"/>
      <c r="V283" s="18"/>
      <c r="W283" s="18"/>
      <c r="X283" s="18"/>
      <c r="Y283" s="18"/>
      <c r="Z283" s="18"/>
      <c r="AA283" s="18"/>
      <c r="AB283" s="18"/>
    </row>
    <row r="284" spans="1:28" ht="13.2" x14ac:dyDescent="0.2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69"/>
      <c r="U284" s="18"/>
      <c r="V284" s="18"/>
      <c r="W284" s="18"/>
      <c r="X284" s="18"/>
      <c r="Y284" s="18"/>
      <c r="Z284" s="18"/>
      <c r="AA284" s="18"/>
      <c r="AB284" s="18"/>
    </row>
    <row r="285" spans="1:28" ht="13.2" x14ac:dyDescent="0.2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69"/>
      <c r="U285" s="18"/>
      <c r="V285" s="18"/>
      <c r="W285" s="18"/>
      <c r="X285" s="18"/>
      <c r="Y285" s="18"/>
      <c r="Z285" s="18"/>
      <c r="AA285" s="18"/>
      <c r="AB285" s="18"/>
    </row>
    <row r="286" spans="1:28" ht="13.2" x14ac:dyDescent="0.2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69"/>
      <c r="U286" s="18"/>
      <c r="V286" s="18"/>
      <c r="W286" s="18"/>
      <c r="X286" s="18"/>
      <c r="Y286" s="18"/>
      <c r="Z286" s="18"/>
      <c r="AA286" s="18"/>
      <c r="AB286" s="18"/>
    </row>
    <row r="287" spans="1:28" ht="13.2" x14ac:dyDescent="0.2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69"/>
      <c r="U287" s="18"/>
      <c r="V287" s="18"/>
      <c r="W287" s="18"/>
      <c r="X287" s="18"/>
      <c r="Y287" s="18"/>
      <c r="Z287" s="18"/>
      <c r="AA287" s="18"/>
      <c r="AB287" s="18"/>
    </row>
    <row r="288" spans="1:28" ht="13.2" x14ac:dyDescent="0.2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69"/>
      <c r="U288" s="18"/>
      <c r="V288" s="18"/>
      <c r="W288" s="18"/>
      <c r="X288" s="18"/>
      <c r="Y288" s="18"/>
      <c r="Z288" s="18"/>
      <c r="AA288" s="18"/>
      <c r="AB288" s="18"/>
    </row>
    <row r="289" spans="1:28" ht="13.2" x14ac:dyDescent="0.2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69"/>
      <c r="U289" s="18"/>
      <c r="V289" s="18"/>
      <c r="W289" s="18"/>
      <c r="X289" s="18"/>
      <c r="Y289" s="18"/>
      <c r="Z289" s="18"/>
      <c r="AA289" s="18"/>
      <c r="AB289" s="18"/>
    </row>
    <row r="290" spans="1:28" ht="13.2" x14ac:dyDescent="0.2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69"/>
      <c r="U290" s="18"/>
      <c r="V290" s="18"/>
      <c r="W290" s="18"/>
      <c r="X290" s="18"/>
      <c r="Y290" s="18"/>
      <c r="Z290" s="18"/>
      <c r="AA290" s="18"/>
      <c r="AB290" s="18"/>
    </row>
    <row r="291" spans="1:28" ht="13.2" x14ac:dyDescent="0.2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69"/>
      <c r="U291" s="18"/>
      <c r="V291" s="18"/>
      <c r="W291" s="18"/>
      <c r="X291" s="18"/>
      <c r="Y291" s="18"/>
      <c r="Z291" s="18"/>
      <c r="AA291" s="18"/>
      <c r="AB291" s="18"/>
    </row>
    <row r="292" spans="1:28" ht="13.2" x14ac:dyDescent="0.2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69"/>
      <c r="U292" s="18"/>
      <c r="V292" s="18"/>
      <c r="W292" s="18"/>
      <c r="X292" s="18"/>
      <c r="Y292" s="18"/>
      <c r="Z292" s="18"/>
      <c r="AA292" s="18"/>
      <c r="AB292" s="18"/>
    </row>
    <row r="293" spans="1:28" ht="13.2" x14ac:dyDescent="0.2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69"/>
      <c r="U293" s="18"/>
      <c r="V293" s="18"/>
      <c r="W293" s="18"/>
      <c r="X293" s="18"/>
      <c r="Y293" s="18"/>
      <c r="Z293" s="18"/>
      <c r="AA293" s="18"/>
      <c r="AB293" s="18"/>
    </row>
    <row r="294" spans="1:28" ht="13.2" x14ac:dyDescent="0.2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69"/>
      <c r="U294" s="18"/>
      <c r="V294" s="18"/>
      <c r="W294" s="18"/>
      <c r="X294" s="18"/>
      <c r="Y294" s="18"/>
      <c r="Z294" s="18"/>
      <c r="AA294" s="18"/>
      <c r="AB294" s="18"/>
    </row>
    <row r="295" spans="1:28" ht="13.2" x14ac:dyDescent="0.2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69"/>
      <c r="U295" s="18"/>
      <c r="V295" s="18"/>
      <c r="W295" s="18"/>
      <c r="X295" s="18"/>
      <c r="Y295" s="18"/>
      <c r="Z295" s="18"/>
      <c r="AA295" s="18"/>
      <c r="AB295" s="18"/>
    </row>
    <row r="296" spans="1:28" ht="13.2" x14ac:dyDescent="0.2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69"/>
      <c r="U296" s="18"/>
      <c r="V296" s="18"/>
      <c r="W296" s="18"/>
      <c r="X296" s="18"/>
      <c r="Y296" s="18"/>
      <c r="Z296" s="18"/>
      <c r="AA296" s="18"/>
      <c r="AB296" s="18"/>
    </row>
    <row r="297" spans="1:28" ht="13.2" x14ac:dyDescent="0.2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69"/>
      <c r="U297" s="18"/>
      <c r="V297" s="18"/>
      <c r="W297" s="18"/>
      <c r="X297" s="18"/>
      <c r="Y297" s="18"/>
      <c r="Z297" s="18"/>
      <c r="AA297" s="18"/>
      <c r="AB297" s="18"/>
    </row>
    <row r="298" spans="1:28" ht="13.2" x14ac:dyDescent="0.2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69"/>
      <c r="U298" s="18"/>
      <c r="V298" s="18"/>
      <c r="W298" s="18"/>
      <c r="X298" s="18"/>
      <c r="Y298" s="18"/>
      <c r="Z298" s="18"/>
      <c r="AA298" s="18"/>
      <c r="AB298" s="18"/>
    </row>
    <row r="299" spans="1:28" ht="13.2" x14ac:dyDescent="0.2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69"/>
      <c r="U299" s="18"/>
      <c r="V299" s="18"/>
      <c r="W299" s="18"/>
      <c r="X299" s="18"/>
      <c r="Y299" s="18"/>
      <c r="Z299" s="18"/>
      <c r="AA299" s="18"/>
      <c r="AB299" s="18"/>
    </row>
    <row r="300" spans="1:28" ht="13.2" x14ac:dyDescent="0.2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69"/>
      <c r="U300" s="18"/>
      <c r="V300" s="18"/>
      <c r="W300" s="18"/>
      <c r="X300" s="18"/>
      <c r="Y300" s="18"/>
      <c r="Z300" s="18"/>
      <c r="AA300" s="18"/>
      <c r="AB300" s="18"/>
    </row>
    <row r="301" spans="1:28" ht="13.2" x14ac:dyDescent="0.2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69"/>
      <c r="U301" s="18"/>
      <c r="V301" s="18"/>
      <c r="W301" s="18"/>
      <c r="X301" s="18"/>
      <c r="Y301" s="18"/>
      <c r="Z301" s="18"/>
      <c r="AA301" s="18"/>
      <c r="AB301" s="18"/>
    </row>
    <row r="302" spans="1:28" ht="13.2" x14ac:dyDescent="0.2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69"/>
      <c r="U302" s="18"/>
      <c r="V302" s="18"/>
      <c r="W302" s="18"/>
      <c r="X302" s="18"/>
      <c r="Y302" s="18"/>
      <c r="Z302" s="18"/>
      <c r="AA302" s="18"/>
      <c r="AB302" s="18"/>
    </row>
    <row r="303" spans="1:28" ht="13.2" x14ac:dyDescent="0.2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69"/>
      <c r="U303" s="18"/>
      <c r="V303" s="18"/>
      <c r="W303" s="18"/>
      <c r="X303" s="18"/>
      <c r="Y303" s="18"/>
      <c r="Z303" s="18"/>
      <c r="AA303" s="18"/>
      <c r="AB303" s="18"/>
    </row>
    <row r="304" spans="1:28" ht="13.2" x14ac:dyDescent="0.2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69"/>
      <c r="U304" s="18"/>
      <c r="V304" s="18"/>
      <c r="W304" s="18"/>
      <c r="X304" s="18"/>
      <c r="Y304" s="18"/>
      <c r="Z304" s="18"/>
      <c r="AA304" s="18"/>
      <c r="AB304" s="18"/>
    </row>
    <row r="305" spans="1:28" ht="13.2" x14ac:dyDescent="0.2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69"/>
      <c r="U305" s="18"/>
      <c r="V305" s="18"/>
      <c r="W305" s="18"/>
      <c r="X305" s="18"/>
      <c r="Y305" s="18"/>
      <c r="Z305" s="18"/>
      <c r="AA305" s="18"/>
      <c r="AB305" s="18"/>
    </row>
    <row r="306" spans="1:28" ht="13.2" x14ac:dyDescent="0.2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69"/>
      <c r="U306" s="18"/>
      <c r="V306" s="18"/>
      <c r="W306" s="18"/>
      <c r="X306" s="18"/>
      <c r="Y306" s="18"/>
      <c r="Z306" s="18"/>
      <c r="AA306" s="18"/>
      <c r="AB306" s="18"/>
    </row>
    <row r="307" spans="1:28" ht="13.2" x14ac:dyDescent="0.2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69"/>
      <c r="U307" s="18"/>
      <c r="V307" s="18"/>
      <c r="W307" s="18"/>
      <c r="X307" s="18"/>
      <c r="Y307" s="18"/>
      <c r="Z307" s="18"/>
      <c r="AA307" s="18"/>
      <c r="AB307" s="18"/>
    </row>
    <row r="308" spans="1:28" ht="13.2" x14ac:dyDescent="0.2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69"/>
      <c r="U308" s="18"/>
      <c r="V308" s="18"/>
      <c r="W308" s="18"/>
      <c r="X308" s="18"/>
      <c r="Y308" s="18"/>
      <c r="Z308" s="18"/>
      <c r="AA308" s="18"/>
      <c r="AB308" s="18"/>
    </row>
    <row r="309" spans="1:28" ht="13.2" x14ac:dyDescent="0.2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69"/>
      <c r="U309" s="18"/>
      <c r="V309" s="18"/>
      <c r="W309" s="18"/>
      <c r="X309" s="18"/>
      <c r="Y309" s="18"/>
      <c r="Z309" s="18"/>
      <c r="AA309" s="18"/>
      <c r="AB309" s="18"/>
    </row>
    <row r="310" spans="1:28" ht="13.2" x14ac:dyDescent="0.2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69"/>
      <c r="U310" s="18"/>
      <c r="V310" s="18"/>
      <c r="W310" s="18"/>
      <c r="X310" s="18"/>
      <c r="Y310" s="18"/>
      <c r="Z310" s="18"/>
      <c r="AA310" s="18"/>
      <c r="AB310" s="18"/>
    </row>
    <row r="311" spans="1:28" ht="13.2" x14ac:dyDescent="0.2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69"/>
      <c r="U311" s="18"/>
      <c r="V311" s="18"/>
      <c r="W311" s="18"/>
      <c r="X311" s="18"/>
      <c r="Y311" s="18"/>
      <c r="Z311" s="18"/>
      <c r="AA311" s="18"/>
      <c r="AB311" s="18"/>
    </row>
    <row r="312" spans="1:28" ht="13.2" x14ac:dyDescent="0.2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69"/>
      <c r="U312" s="18"/>
      <c r="V312" s="18"/>
      <c r="W312" s="18"/>
      <c r="X312" s="18"/>
      <c r="Y312" s="18"/>
      <c r="Z312" s="18"/>
      <c r="AA312" s="18"/>
      <c r="AB312" s="18"/>
    </row>
    <row r="313" spans="1:28" ht="13.2" x14ac:dyDescent="0.2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69"/>
      <c r="U313" s="18"/>
      <c r="V313" s="18"/>
      <c r="W313" s="18"/>
      <c r="X313" s="18"/>
      <c r="Y313" s="18"/>
      <c r="Z313" s="18"/>
      <c r="AA313" s="18"/>
      <c r="AB313" s="18"/>
    </row>
    <row r="314" spans="1:28" ht="13.2" x14ac:dyDescent="0.2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69"/>
      <c r="U314" s="18"/>
      <c r="V314" s="18"/>
      <c r="W314" s="18"/>
      <c r="X314" s="18"/>
      <c r="Y314" s="18"/>
      <c r="Z314" s="18"/>
      <c r="AA314" s="18"/>
      <c r="AB314" s="18"/>
    </row>
    <row r="315" spans="1:28" ht="13.2" x14ac:dyDescent="0.2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69"/>
      <c r="U315" s="18"/>
      <c r="V315" s="18"/>
      <c r="W315" s="18"/>
      <c r="X315" s="18"/>
      <c r="Y315" s="18"/>
      <c r="Z315" s="18"/>
      <c r="AA315" s="18"/>
      <c r="AB315" s="18"/>
    </row>
    <row r="316" spans="1:28" ht="13.2" x14ac:dyDescent="0.2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69"/>
      <c r="U316" s="18"/>
      <c r="V316" s="18"/>
      <c r="W316" s="18"/>
      <c r="X316" s="18"/>
      <c r="Y316" s="18"/>
      <c r="Z316" s="18"/>
      <c r="AA316" s="18"/>
      <c r="AB316" s="18"/>
    </row>
    <row r="317" spans="1:28" ht="13.2" x14ac:dyDescent="0.2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69"/>
      <c r="U317" s="18"/>
      <c r="V317" s="18"/>
      <c r="W317" s="18"/>
      <c r="X317" s="18"/>
      <c r="Y317" s="18"/>
      <c r="Z317" s="18"/>
      <c r="AA317" s="18"/>
      <c r="AB317" s="18"/>
    </row>
    <row r="318" spans="1:28" ht="13.2" x14ac:dyDescent="0.2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69"/>
      <c r="U318" s="18"/>
      <c r="V318" s="18"/>
      <c r="W318" s="18"/>
      <c r="X318" s="18"/>
      <c r="Y318" s="18"/>
      <c r="Z318" s="18"/>
      <c r="AA318" s="18"/>
      <c r="AB318" s="18"/>
    </row>
    <row r="319" spans="1:28" ht="13.2" x14ac:dyDescent="0.2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69"/>
      <c r="U319" s="18"/>
      <c r="V319" s="18"/>
      <c r="W319" s="18"/>
      <c r="X319" s="18"/>
      <c r="Y319" s="18"/>
      <c r="Z319" s="18"/>
      <c r="AA319" s="18"/>
      <c r="AB319" s="18"/>
    </row>
    <row r="320" spans="1:28" ht="13.2" x14ac:dyDescent="0.2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69"/>
      <c r="U320" s="18"/>
      <c r="V320" s="18"/>
      <c r="W320" s="18"/>
      <c r="X320" s="18"/>
      <c r="Y320" s="18"/>
      <c r="Z320" s="18"/>
      <c r="AA320" s="18"/>
      <c r="AB320" s="18"/>
    </row>
    <row r="321" spans="1:28" ht="13.2" x14ac:dyDescent="0.2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69"/>
      <c r="U321" s="18"/>
      <c r="V321" s="18"/>
      <c r="W321" s="18"/>
      <c r="X321" s="18"/>
      <c r="Y321" s="18"/>
      <c r="Z321" s="18"/>
      <c r="AA321" s="18"/>
      <c r="AB321" s="18"/>
    </row>
    <row r="322" spans="1:28" ht="13.2" x14ac:dyDescent="0.2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69"/>
      <c r="U322" s="18"/>
      <c r="V322" s="18"/>
      <c r="W322" s="18"/>
      <c r="X322" s="18"/>
      <c r="Y322" s="18"/>
      <c r="Z322" s="18"/>
      <c r="AA322" s="18"/>
      <c r="AB322" s="18"/>
    </row>
    <row r="323" spans="1:28" ht="13.2" x14ac:dyDescent="0.2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69"/>
      <c r="U323" s="18"/>
      <c r="V323" s="18"/>
      <c r="W323" s="18"/>
      <c r="X323" s="18"/>
      <c r="Y323" s="18"/>
      <c r="Z323" s="18"/>
      <c r="AA323" s="18"/>
      <c r="AB323" s="18"/>
    </row>
    <row r="324" spans="1:28" ht="13.2" x14ac:dyDescent="0.2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69"/>
      <c r="U324" s="18"/>
      <c r="V324" s="18"/>
      <c r="W324" s="18"/>
      <c r="X324" s="18"/>
      <c r="Y324" s="18"/>
      <c r="Z324" s="18"/>
      <c r="AA324" s="18"/>
      <c r="AB324" s="18"/>
    </row>
    <row r="325" spans="1:28" ht="13.2" x14ac:dyDescent="0.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69"/>
      <c r="U325" s="18"/>
      <c r="V325" s="18"/>
      <c r="W325" s="18"/>
      <c r="X325" s="18"/>
      <c r="Y325" s="18"/>
      <c r="Z325" s="18"/>
      <c r="AA325" s="18"/>
      <c r="AB325" s="18"/>
    </row>
    <row r="326" spans="1:28" ht="13.2" x14ac:dyDescent="0.2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69"/>
      <c r="U326" s="18"/>
      <c r="V326" s="18"/>
      <c r="W326" s="18"/>
      <c r="X326" s="18"/>
      <c r="Y326" s="18"/>
      <c r="Z326" s="18"/>
      <c r="AA326" s="18"/>
      <c r="AB326" s="18"/>
    </row>
    <row r="327" spans="1:28" ht="13.2" x14ac:dyDescent="0.2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69"/>
      <c r="U327" s="18"/>
      <c r="V327" s="18"/>
      <c r="W327" s="18"/>
      <c r="X327" s="18"/>
      <c r="Y327" s="18"/>
      <c r="Z327" s="18"/>
      <c r="AA327" s="18"/>
      <c r="AB327" s="18"/>
    </row>
    <row r="328" spans="1:28" ht="13.2" x14ac:dyDescent="0.2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69"/>
      <c r="U328" s="18"/>
      <c r="V328" s="18"/>
      <c r="W328" s="18"/>
      <c r="X328" s="18"/>
      <c r="Y328" s="18"/>
      <c r="Z328" s="18"/>
      <c r="AA328" s="18"/>
      <c r="AB328" s="18"/>
    </row>
    <row r="329" spans="1:28" ht="13.2" x14ac:dyDescent="0.2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69"/>
      <c r="U329" s="18"/>
      <c r="V329" s="18"/>
      <c r="W329" s="18"/>
      <c r="X329" s="18"/>
      <c r="Y329" s="18"/>
      <c r="Z329" s="18"/>
      <c r="AA329" s="18"/>
      <c r="AB329" s="18"/>
    </row>
    <row r="330" spans="1:28" ht="13.2" x14ac:dyDescent="0.2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69"/>
      <c r="U330" s="18"/>
      <c r="V330" s="18"/>
      <c r="W330" s="18"/>
      <c r="X330" s="18"/>
      <c r="Y330" s="18"/>
      <c r="Z330" s="18"/>
      <c r="AA330" s="18"/>
      <c r="AB330" s="18"/>
    </row>
    <row r="331" spans="1:28" ht="13.2" x14ac:dyDescent="0.2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69"/>
      <c r="U331" s="18"/>
      <c r="V331" s="18"/>
      <c r="W331" s="18"/>
      <c r="X331" s="18"/>
      <c r="Y331" s="18"/>
      <c r="Z331" s="18"/>
      <c r="AA331" s="18"/>
      <c r="AB331" s="18"/>
    </row>
    <row r="332" spans="1:28" ht="13.2" x14ac:dyDescent="0.2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69"/>
      <c r="U332" s="18"/>
      <c r="V332" s="18"/>
      <c r="W332" s="18"/>
      <c r="X332" s="18"/>
      <c r="Y332" s="18"/>
      <c r="Z332" s="18"/>
      <c r="AA332" s="18"/>
      <c r="AB332" s="18"/>
    </row>
    <row r="333" spans="1:28" ht="13.2" x14ac:dyDescent="0.2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69"/>
      <c r="U333" s="18"/>
      <c r="V333" s="18"/>
      <c r="W333" s="18"/>
      <c r="X333" s="18"/>
      <c r="Y333" s="18"/>
      <c r="Z333" s="18"/>
      <c r="AA333" s="18"/>
      <c r="AB333" s="18"/>
    </row>
    <row r="334" spans="1:28" ht="13.2" x14ac:dyDescent="0.2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69"/>
      <c r="U334" s="18"/>
      <c r="V334" s="18"/>
      <c r="W334" s="18"/>
      <c r="X334" s="18"/>
      <c r="Y334" s="18"/>
      <c r="Z334" s="18"/>
      <c r="AA334" s="18"/>
      <c r="AB334" s="18"/>
    </row>
    <row r="335" spans="1:28" ht="13.2" x14ac:dyDescent="0.2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69"/>
      <c r="U335" s="18"/>
      <c r="V335" s="18"/>
      <c r="W335" s="18"/>
      <c r="X335" s="18"/>
      <c r="Y335" s="18"/>
      <c r="Z335" s="18"/>
      <c r="AA335" s="18"/>
      <c r="AB335" s="18"/>
    </row>
    <row r="336" spans="1:28" ht="13.2" x14ac:dyDescent="0.2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69"/>
      <c r="U336" s="18"/>
      <c r="V336" s="18"/>
      <c r="W336" s="18"/>
      <c r="X336" s="18"/>
      <c r="Y336" s="18"/>
      <c r="Z336" s="18"/>
      <c r="AA336" s="18"/>
      <c r="AB336" s="18"/>
    </row>
    <row r="337" spans="1:28" ht="13.2" x14ac:dyDescent="0.2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69"/>
      <c r="U337" s="18"/>
      <c r="V337" s="18"/>
      <c r="W337" s="18"/>
      <c r="X337" s="18"/>
      <c r="Y337" s="18"/>
      <c r="Z337" s="18"/>
      <c r="AA337" s="18"/>
      <c r="AB337" s="18"/>
    </row>
    <row r="338" spans="1:28" ht="13.2" x14ac:dyDescent="0.2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69"/>
      <c r="U338" s="18"/>
      <c r="V338" s="18"/>
      <c r="W338" s="18"/>
      <c r="X338" s="18"/>
      <c r="Y338" s="18"/>
      <c r="Z338" s="18"/>
      <c r="AA338" s="18"/>
      <c r="AB338" s="18"/>
    </row>
    <row r="339" spans="1:28" ht="13.2" x14ac:dyDescent="0.2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69"/>
      <c r="U339" s="18"/>
      <c r="V339" s="18"/>
      <c r="W339" s="18"/>
      <c r="X339" s="18"/>
      <c r="Y339" s="18"/>
      <c r="Z339" s="18"/>
      <c r="AA339" s="18"/>
      <c r="AB339" s="18"/>
    </row>
    <row r="340" spans="1:28" ht="13.2" x14ac:dyDescent="0.2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69"/>
      <c r="U340" s="18"/>
      <c r="V340" s="18"/>
      <c r="W340" s="18"/>
      <c r="X340" s="18"/>
      <c r="Y340" s="18"/>
      <c r="Z340" s="18"/>
      <c r="AA340" s="18"/>
      <c r="AB340" s="18"/>
    </row>
    <row r="341" spans="1:28" ht="13.2" x14ac:dyDescent="0.2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69"/>
      <c r="U341" s="18"/>
      <c r="V341" s="18"/>
      <c r="W341" s="18"/>
      <c r="X341" s="18"/>
      <c r="Y341" s="18"/>
      <c r="Z341" s="18"/>
      <c r="AA341" s="18"/>
      <c r="AB341" s="18"/>
    </row>
    <row r="342" spans="1:28" ht="13.2" x14ac:dyDescent="0.2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69"/>
      <c r="U342" s="18"/>
      <c r="V342" s="18"/>
      <c r="W342" s="18"/>
      <c r="X342" s="18"/>
      <c r="Y342" s="18"/>
      <c r="Z342" s="18"/>
      <c r="AA342" s="18"/>
      <c r="AB342" s="18"/>
    </row>
    <row r="343" spans="1:28" ht="13.2" x14ac:dyDescent="0.2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69"/>
      <c r="U343" s="18"/>
      <c r="V343" s="18"/>
      <c r="W343" s="18"/>
      <c r="X343" s="18"/>
      <c r="Y343" s="18"/>
      <c r="Z343" s="18"/>
      <c r="AA343" s="18"/>
      <c r="AB343" s="18"/>
    </row>
    <row r="344" spans="1:28" ht="13.2" x14ac:dyDescent="0.2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69"/>
      <c r="U344" s="18"/>
      <c r="V344" s="18"/>
      <c r="W344" s="18"/>
      <c r="X344" s="18"/>
      <c r="Y344" s="18"/>
      <c r="Z344" s="18"/>
      <c r="AA344" s="18"/>
      <c r="AB344" s="18"/>
    </row>
    <row r="345" spans="1:28" ht="13.2" x14ac:dyDescent="0.2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69"/>
      <c r="U345" s="18"/>
      <c r="V345" s="18"/>
      <c r="W345" s="18"/>
      <c r="X345" s="18"/>
      <c r="Y345" s="18"/>
      <c r="Z345" s="18"/>
      <c r="AA345" s="18"/>
      <c r="AB345" s="18"/>
    </row>
    <row r="346" spans="1:28" ht="13.2" x14ac:dyDescent="0.2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69"/>
      <c r="U346" s="18"/>
      <c r="V346" s="18"/>
      <c r="W346" s="18"/>
      <c r="X346" s="18"/>
      <c r="Y346" s="18"/>
      <c r="Z346" s="18"/>
      <c r="AA346" s="18"/>
      <c r="AB346" s="18"/>
    </row>
    <row r="347" spans="1:28" ht="13.2" x14ac:dyDescent="0.2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69"/>
      <c r="U347" s="18"/>
      <c r="V347" s="18"/>
      <c r="W347" s="18"/>
      <c r="X347" s="18"/>
      <c r="Y347" s="18"/>
      <c r="Z347" s="18"/>
      <c r="AA347" s="18"/>
      <c r="AB347" s="18"/>
    </row>
    <row r="348" spans="1:28" ht="13.2" x14ac:dyDescent="0.2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69"/>
      <c r="U348" s="18"/>
      <c r="V348" s="18"/>
      <c r="W348" s="18"/>
      <c r="X348" s="18"/>
      <c r="Y348" s="18"/>
      <c r="Z348" s="18"/>
      <c r="AA348" s="18"/>
      <c r="AB348" s="18"/>
    </row>
    <row r="349" spans="1:28" ht="13.2" x14ac:dyDescent="0.2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69"/>
      <c r="U349" s="18"/>
      <c r="V349" s="18"/>
      <c r="W349" s="18"/>
      <c r="X349" s="18"/>
      <c r="Y349" s="18"/>
      <c r="Z349" s="18"/>
      <c r="AA349" s="18"/>
      <c r="AB349" s="18"/>
    </row>
    <row r="350" spans="1:28" ht="13.2" x14ac:dyDescent="0.2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69"/>
      <c r="U350" s="18"/>
      <c r="V350" s="18"/>
      <c r="W350" s="18"/>
      <c r="X350" s="18"/>
      <c r="Y350" s="18"/>
      <c r="Z350" s="18"/>
      <c r="AA350" s="18"/>
      <c r="AB350" s="18"/>
    </row>
    <row r="351" spans="1:28" ht="13.2" x14ac:dyDescent="0.2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69"/>
      <c r="U351" s="18"/>
      <c r="V351" s="18"/>
      <c r="W351" s="18"/>
      <c r="X351" s="18"/>
      <c r="Y351" s="18"/>
      <c r="Z351" s="18"/>
      <c r="AA351" s="18"/>
      <c r="AB351" s="18"/>
    </row>
    <row r="352" spans="1:28" ht="13.2" x14ac:dyDescent="0.2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69"/>
      <c r="U352" s="18"/>
      <c r="V352" s="18"/>
      <c r="W352" s="18"/>
      <c r="X352" s="18"/>
      <c r="Y352" s="18"/>
      <c r="Z352" s="18"/>
      <c r="AA352" s="18"/>
      <c r="AB352" s="18"/>
    </row>
    <row r="353" spans="1:28" ht="13.2" x14ac:dyDescent="0.2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69"/>
      <c r="U353" s="18"/>
      <c r="V353" s="18"/>
      <c r="W353" s="18"/>
      <c r="X353" s="18"/>
      <c r="Y353" s="18"/>
      <c r="Z353" s="18"/>
      <c r="AA353" s="18"/>
      <c r="AB353" s="18"/>
    </row>
    <row r="354" spans="1:28" ht="13.2" x14ac:dyDescent="0.2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69"/>
      <c r="U354" s="18"/>
      <c r="V354" s="18"/>
      <c r="W354" s="18"/>
      <c r="X354" s="18"/>
      <c r="Y354" s="18"/>
      <c r="Z354" s="18"/>
      <c r="AA354" s="18"/>
      <c r="AB354" s="18"/>
    </row>
    <row r="355" spans="1:28" ht="13.2" x14ac:dyDescent="0.2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69"/>
      <c r="U355" s="18"/>
      <c r="V355" s="18"/>
      <c r="W355" s="18"/>
      <c r="X355" s="18"/>
      <c r="Y355" s="18"/>
      <c r="Z355" s="18"/>
      <c r="AA355" s="18"/>
      <c r="AB355" s="18"/>
    </row>
    <row r="356" spans="1:28" ht="13.2" x14ac:dyDescent="0.2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69"/>
      <c r="U356" s="18"/>
      <c r="V356" s="18"/>
      <c r="W356" s="18"/>
      <c r="X356" s="18"/>
      <c r="Y356" s="18"/>
      <c r="Z356" s="18"/>
      <c r="AA356" s="18"/>
      <c r="AB356" s="18"/>
    </row>
    <row r="357" spans="1:28" ht="13.2" x14ac:dyDescent="0.2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69"/>
      <c r="U357" s="18"/>
      <c r="V357" s="18"/>
      <c r="W357" s="18"/>
      <c r="X357" s="18"/>
      <c r="Y357" s="18"/>
      <c r="Z357" s="18"/>
      <c r="AA357" s="18"/>
      <c r="AB357" s="18"/>
    </row>
    <row r="358" spans="1:28" ht="13.2" x14ac:dyDescent="0.2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69"/>
      <c r="U358" s="18"/>
      <c r="V358" s="18"/>
      <c r="W358" s="18"/>
      <c r="X358" s="18"/>
      <c r="Y358" s="18"/>
      <c r="Z358" s="18"/>
      <c r="AA358" s="18"/>
      <c r="AB358" s="18"/>
    </row>
    <row r="359" spans="1:28" ht="13.2" x14ac:dyDescent="0.2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69"/>
      <c r="U359" s="18"/>
      <c r="V359" s="18"/>
      <c r="W359" s="18"/>
      <c r="X359" s="18"/>
      <c r="Y359" s="18"/>
      <c r="Z359" s="18"/>
      <c r="AA359" s="18"/>
      <c r="AB359" s="18"/>
    </row>
    <row r="360" spans="1:28" ht="13.2" x14ac:dyDescent="0.2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69"/>
      <c r="U360" s="18"/>
      <c r="V360" s="18"/>
      <c r="W360" s="18"/>
      <c r="X360" s="18"/>
      <c r="Y360" s="18"/>
      <c r="Z360" s="18"/>
      <c r="AA360" s="18"/>
      <c r="AB360" s="18"/>
    </row>
    <row r="361" spans="1:28" ht="13.2" x14ac:dyDescent="0.2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69"/>
      <c r="U361" s="18"/>
      <c r="V361" s="18"/>
      <c r="W361" s="18"/>
      <c r="X361" s="18"/>
      <c r="Y361" s="18"/>
      <c r="Z361" s="18"/>
      <c r="AA361" s="18"/>
      <c r="AB361" s="18"/>
    </row>
    <row r="362" spans="1:28" ht="13.2" x14ac:dyDescent="0.2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69"/>
      <c r="U362" s="18"/>
      <c r="V362" s="18"/>
      <c r="W362" s="18"/>
      <c r="X362" s="18"/>
      <c r="Y362" s="18"/>
      <c r="Z362" s="18"/>
      <c r="AA362" s="18"/>
      <c r="AB362" s="18"/>
    </row>
    <row r="363" spans="1:28" ht="13.2" x14ac:dyDescent="0.2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69"/>
      <c r="U363" s="18"/>
      <c r="V363" s="18"/>
      <c r="W363" s="18"/>
      <c r="X363" s="18"/>
      <c r="Y363" s="18"/>
      <c r="Z363" s="18"/>
      <c r="AA363" s="18"/>
      <c r="AB363" s="18"/>
    </row>
    <row r="364" spans="1:28" ht="13.2" x14ac:dyDescent="0.2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69"/>
      <c r="U364" s="18"/>
      <c r="V364" s="18"/>
      <c r="W364" s="18"/>
      <c r="X364" s="18"/>
      <c r="Y364" s="18"/>
      <c r="Z364" s="18"/>
      <c r="AA364" s="18"/>
      <c r="AB364" s="18"/>
    </row>
    <row r="365" spans="1:28" ht="13.2" x14ac:dyDescent="0.2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69"/>
      <c r="U365" s="18"/>
      <c r="V365" s="18"/>
      <c r="W365" s="18"/>
      <c r="X365" s="18"/>
      <c r="Y365" s="18"/>
      <c r="Z365" s="18"/>
      <c r="AA365" s="18"/>
      <c r="AB365" s="18"/>
    </row>
    <row r="366" spans="1:28" ht="13.2" x14ac:dyDescent="0.2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69"/>
      <c r="U366" s="18"/>
      <c r="V366" s="18"/>
      <c r="W366" s="18"/>
      <c r="X366" s="18"/>
      <c r="Y366" s="18"/>
      <c r="Z366" s="18"/>
      <c r="AA366" s="18"/>
      <c r="AB366" s="18"/>
    </row>
    <row r="367" spans="1:28" ht="13.2" x14ac:dyDescent="0.2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69"/>
      <c r="U367" s="18"/>
      <c r="V367" s="18"/>
      <c r="W367" s="18"/>
      <c r="X367" s="18"/>
      <c r="Y367" s="18"/>
      <c r="Z367" s="18"/>
      <c r="AA367" s="18"/>
      <c r="AB367" s="18"/>
    </row>
    <row r="368" spans="1:28" ht="13.2" x14ac:dyDescent="0.2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69"/>
      <c r="U368" s="18"/>
      <c r="V368" s="18"/>
      <c r="W368" s="18"/>
      <c r="X368" s="18"/>
      <c r="Y368" s="18"/>
      <c r="Z368" s="18"/>
      <c r="AA368" s="18"/>
      <c r="AB368" s="18"/>
    </row>
    <row r="369" spans="1:28" ht="13.2" x14ac:dyDescent="0.2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69"/>
      <c r="U369" s="18"/>
      <c r="V369" s="18"/>
      <c r="W369" s="18"/>
      <c r="X369" s="18"/>
      <c r="Y369" s="18"/>
      <c r="Z369" s="18"/>
      <c r="AA369" s="18"/>
      <c r="AB369" s="18"/>
    </row>
    <row r="370" spans="1:28" ht="13.2" x14ac:dyDescent="0.2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69"/>
      <c r="U370" s="18"/>
      <c r="V370" s="18"/>
      <c r="W370" s="18"/>
      <c r="X370" s="18"/>
      <c r="Y370" s="18"/>
      <c r="Z370" s="18"/>
      <c r="AA370" s="18"/>
      <c r="AB370" s="18"/>
    </row>
    <row r="371" spans="1:28" ht="13.2" x14ac:dyDescent="0.2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69"/>
      <c r="U371" s="18"/>
      <c r="V371" s="18"/>
      <c r="W371" s="18"/>
      <c r="X371" s="18"/>
      <c r="Y371" s="18"/>
      <c r="Z371" s="18"/>
      <c r="AA371" s="18"/>
      <c r="AB371" s="18"/>
    </row>
    <row r="372" spans="1:28" ht="13.2" x14ac:dyDescent="0.2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69"/>
      <c r="U372" s="18"/>
      <c r="V372" s="18"/>
      <c r="W372" s="18"/>
      <c r="X372" s="18"/>
      <c r="Y372" s="18"/>
      <c r="Z372" s="18"/>
      <c r="AA372" s="18"/>
      <c r="AB372" s="18"/>
    </row>
    <row r="373" spans="1:28" ht="13.2" x14ac:dyDescent="0.2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69"/>
      <c r="U373" s="18"/>
      <c r="V373" s="18"/>
      <c r="W373" s="18"/>
      <c r="X373" s="18"/>
      <c r="Y373" s="18"/>
      <c r="Z373" s="18"/>
      <c r="AA373" s="18"/>
      <c r="AB373" s="18"/>
    </row>
    <row r="374" spans="1:28" ht="13.2" x14ac:dyDescent="0.25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69"/>
      <c r="U374" s="18"/>
      <c r="V374" s="18"/>
      <c r="W374" s="18"/>
      <c r="X374" s="18"/>
      <c r="Y374" s="18"/>
      <c r="Z374" s="18"/>
      <c r="AA374" s="18"/>
      <c r="AB374" s="18"/>
    </row>
    <row r="375" spans="1:28" ht="13.2" x14ac:dyDescent="0.2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69"/>
      <c r="U375" s="18"/>
      <c r="V375" s="18"/>
      <c r="W375" s="18"/>
      <c r="X375" s="18"/>
      <c r="Y375" s="18"/>
      <c r="Z375" s="18"/>
      <c r="AA375" s="18"/>
      <c r="AB375" s="18"/>
    </row>
    <row r="376" spans="1:28" ht="13.2" x14ac:dyDescent="0.25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69"/>
      <c r="U376" s="18"/>
      <c r="V376" s="18"/>
      <c r="W376" s="18"/>
      <c r="X376" s="18"/>
      <c r="Y376" s="18"/>
      <c r="Z376" s="18"/>
      <c r="AA376" s="18"/>
      <c r="AB376" s="18"/>
    </row>
    <row r="377" spans="1:28" ht="13.2" x14ac:dyDescent="0.25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69"/>
      <c r="U377" s="18"/>
      <c r="V377" s="18"/>
      <c r="W377" s="18"/>
      <c r="X377" s="18"/>
      <c r="Y377" s="18"/>
      <c r="Z377" s="18"/>
      <c r="AA377" s="18"/>
      <c r="AB377" s="18"/>
    </row>
    <row r="378" spans="1:28" ht="13.2" x14ac:dyDescent="0.25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69"/>
      <c r="U378" s="18"/>
      <c r="V378" s="18"/>
      <c r="W378" s="18"/>
      <c r="X378" s="18"/>
      <c r="Y378" s="18"/>
      <c r="Z378" s="18"/>
      <c r="AA378" s="18"/>
      <c r="AB378" s="18"/>
    </row>
    <row r="379" spans="1:28" ht="13.2" x14ac:dyDescent="0.25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69"/>
      <c r="U379" s="18"/>
      <c r="V379" s="18"/>
      <c r="W379" s="18"/>
      <c r="X379" s="18"/>
      <c r="Y379" s="18"/>
      <c r="Z379" s="18"/>
      <c r="AA379" s="18"/>
      <c r="AB379" s="18"/>
    </row>
    <row r="380" spans="1:28" ht="13.2" x14ac:dyDescent="0.25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69"/>
      <c r="U380" s="18"/>
      <c r="V380" s="18"/>
      <c r="W380" s="18"/>
      <c r="X380" s="18"/>
      <c r="Y380" s="18"/>
      <c r="Z380" s="18"/>
      <c r="AA380" s="18"/>
      <c r="AB380" s="18"/>
    </row>
    <row r="381" spans="1:28" ht="13.2" x14ac:dyDescent="0.25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69"/>
      <c r="U381" s="18"/>
      <c r="V381" s="18"/>
      <c r="W381" s="18"/>
      <c r="X381" s="18"/>
      <c r="Y381" s="18"/>
      <c r="Z381" s="18"/>
      <c r="AA381" s="18"/>
      <c r="AB381" s="18"/>
    </row>
    <row r="382" spans="1:28" ht="13.2" x14ac:dyDescent="0.25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69"/>
      <c r="U382" s="18"/>
      <c r="V382" s="18"/>
      <c r="W382" s="18"/>
      <c r="X382" s="18"/>
      <c r="Y382" s="18"/>
      <c r="Z382" s="18"/>
      <c r="AA382" s="18"/>
      <c r="AB382" s="18"/>
    </row>
    <row r="383" spans="1:28" ht="13.2" x14ac:dyDescent="0.25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69"/>
      <c r="U383" s="18"/>
      <c r="V383" s="18"/>
      <c r="W383" s="18"/>
      <c r="X383" s="18"/>
      <c r="Y383" s="18"/>
      <c r="Z383" s="18"/>
      <c r="AA383" s="18"/>
      <c r="AB383" s="18"/>
    </row>
    <row r="384" spans="1:28" ht="13.2" x14ac:dyDescent="0.25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69"/>
      <c r="U384" s="18"/>
      <c r="V384" s="18"/>
      <c r="W384" s="18"/>
      <c r="X384" s="18"/>
      <c r="Y384" s="18"/>
      <c r="Z384" s="18"/>
      <c r="AA384" s="18"/>
      <c r="AB384" s="18"/>
    </row>
    <row r="385" spans="1:28" ht="13.2" x14ac:dyDescent="0.2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69"/>
      <c r="U385" s="18"/>
      <c r="V385" s="18"/>
      <c r="W385" s="18"/>
      <c r="X385" s="18"/>
      <c r="Y385" s="18"/>
      <c r="Z385" s="18"/>
      <c r="AA385" s="18"/>
      <c r="AB385" s="18"/>
    </row>
    <row r="386" spans="1:28" ht="13.2" x14ac:dyDescent="0.25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69"/>
      <c r="U386" s="18"/>
      <c r="V386" s="18"/>
      <c r="W386" s="18"/>
      <c r="X386" s="18"/>
      <c r="Y386" s="18"/>
      <c r="Z386" s="18"/>
      <c r="AA386" s="18"/>
      <c r="AB386" s="18"/>
    </row>
    <row r="387" spans="1:28" ht="13.2" x14ac:dyDescent="0.25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69"/>
      <c r="U387" s="18"/>
      <c r="V387" s="18"/>
      <c r="W387" s="18"/>
      <c r="X387" s="18"/>
      <c r="Y387" s="18"/>
      <c r="Z387" s="18"/>
      <c r="AA387" s="18"/>
      <c r="AB387" s="18"/>
    </row>
    <row r="388" spans="1:28" ht="13.2" x14ac:dyDescent="0.25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69"/>
      <c r="U388" s="18"/>
      <c r="V388" s="18"/>
      <c r="W388" s="18"/>
      <c r="X388" s="18"/>
      <c r="Y388" s="18"/>
      <c r="Z388" s="18"/>
      <c r="AA388" s="18"/>
      <c r="AB388" s="18"/>
    </row>
    <row r="389" spans="1:28" ht="13.2" x14ac:dyDescent="0.25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69"/>
      <c r="U389" s="18"/>
      <c r="V389" s="18"/>
      <c r="W389" s="18"/>
      <c r="X389" s="18"/>
      <c r="Y389" s="18"/>
      <c r="Z389" s="18"/>
      <c r="AA389" s="18"/>
      <c r="AB389" s="18"/>
    </row>
    <row r="390" spans="1:28" ht="13.2" x14ac:dyDescent="0.25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69"/>
      <c r="U390" s="18"/>
      <c r="V390" s="18"/>
      <c r="W390" s="18"/>
      <c r="X390" s="18"/>
      <c r="Y390" s="18"/>
      <c r="Z390" s="18"/>
      <c r="AA390" s="18"/>
      <c r="AB390" s="18"/>
    </row>
    <row r="391" spans="1:28" ht="13.2" x14ac:dyDescent="0.25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69"/>
      <c r="U391" s="18"/>
      <c r="V391" s="18"/>
      <c r="W391" s="18"/>
      <c r="X391" s="18"/>
      <c r="Y391" s="18"/>
      <c r="Z391" s="18"/>
      <c r="AA391" s="18"/>
      <c r="AB391" s="18"/>
    </row>
    <row r="392" spans="1:28" ht="13.2" x14ac:dyDescent="0.25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69"/>
      <c r="U392" s="18"/>
      <c r="V392" s="18"/>
      <c r="W392" s="18"/>
      <c r="X392" s="18"/>
      <c r="Y392" s="18"/>
      <c r="Z392" s="18"/>
      <c r="AA392" s="18"/>
      <c r="AB392" s="18"/>
    </row>
    <row r="393" spans="1:28" ht="13.2" x14ac:dyDescent="0.25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69"/>
      <c r="U393" s="18"/>
      <c r="V393" s="18"/>
      <c r="W393" s="18"/>
      <c r="X393" s="18"/>
      <c r="Y393" s="18"/>
      <c r="Z393" s="18"/>
      <c r="AA393" s="18"/>
      <c r="AB393" s="18"/>
    </row>
    <row r="394" spans="1:28" ht="13.2" x14ac:dyDescent="0.25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69"/>
      <c r="U394" s="18"/>
      <c r="V394" s="18"/>
      <c r="W394" s="18"/>
      <c r="X394" s="18"/>
      <c r="Y394" s="18"/>
      <c r="Z394" s="18"/>
      <c r="AA394" s="18"/>
      <c r="AB394" s="18"/>
    </row>
    <row r="395" spans="1:28" ht="13.2" x14ac:dyDescent="0.2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69"/>
      <c r="U395" s="18"/>
      <c r="V395" s="18"/>
      <c r="W395" s="18"/>
      <c r="X395" s="18"/>
      <c r="Y395" s="18"/>
      <c r="Z395" s="18"/>
      <c r="AA395" s="18"/>
      <c r="AB395" s="18"/>
    </row>
    <row r="396" spans="1:28" ht="13.2" x14ac:dyDescent="0.25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69"/>
      <c r="U396" s="18"/>
      <c r="V396" s="18"/>
      <c r="W396" s="18"/>
      <c r="X396" s="18"/>
      <c r="Y396" s="18"/>
      <c r="Z396" s="18"/>
      <c r="AA396" s="18"/>
      <c r="AB396" s="18"/>
    </row>
    <row r="397" spans="1:28" ht="13.2" x14ac:dyDescent="0.25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69"/>
      <c r="U397" s="18"/>
      <c r="V397" s="18"/>
      <c r="W397" s="18"/>
      <c r="X397" s="18"/>
      <c r="Y397" s="18"/>
      <c r="Z397" s="18"/>
      <c r="AA397" s="18"/>
      <c r="AB397" s="18"/>
    </row>
    <row r="398" spans="1:28" ht="13.2" x14ac:dyDescent="0.25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69"/>
      <c r="U398" s="18"/>
      <c r="V398" s="18"/>
      <c r="W398" s="18"/>
      <c r="X398" s="18"/>
      <c r="Y398" s="18"/>
      <c r="Z398" s="18"/>
      <c r="AA398" s="18"/>
      <c r="AB398" s="18"/>
    </row>
    <row r="399" spans="1:28" ht="13.2" x14ac:dyDescent="0.25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69"/>
      <c r="U399" s="18"/>
      <c r="V399" s="18"/>
      <c r="W399" s="18"/>
      <c r="X399" s="18"/>
      <c r="Y399" s="18"/>
      <c r="Z399" s="18"/>
      <c r="AA399" s="18"/>
      <c r="AB399" s="18"/>
    </row>
    <row r="400" spans="1:28" ht="13.2" x14ac:dyDescent="0.25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69"/>
      <c r="U400" s="18"/>
      <c r="V400" s="18"/>
      <c r="W400" s="18"/>
      <c r="X400" s="18"/>
      <c r="Y400" s="18"/>
      <c r="Z400" s="18"/>
      <c r="AA400" s="18"/>
      <c r="AB400" s="18"/>
    </row>
    <row r="401" spans="1:28" ht="13.2" x14ac:dyDescent="0.25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69"/>
      <c r="U401" s="18"/>
      <c r="V401" s="18"/>
      <c r="W401" s="18"/>
      <c r="X401" s="18"/>
      <c r="Y401" s="18"/>
      <c r="Z401" s="18"/>
      <c r="AA401" s="18"/>
      <c r="AB401" s="18"/>
    </row>
    <row r="402" spans="1:28" ht="13.2" x14ac:dyDescent="0.25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69"/>
      <c r="U402" s="18"/>
      <c r="V402" s="18"/>
      <c r="W402" s="18"/>
      <c r="X402" s="18"/>
      <c r="Y402" s="18"/>
      <c r="Z402" s="18"/>
      <c r="AA402" s="18"/>
      <c r="AB402" s="18"/>
    </row>
    <row r="403" spans="1:28" ht="13.2" x14ac:dyDescent="0.25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69"/>
      <c r="U403" s="18"/>
      <c r="V403" s="18"/>
      <c r="W403" s="18"/>
      <c r="X403" s="18"/>
      <c r="Y403" s="18"/>
      <c r="Z403" s="18"/>
      <c r="AA403" s="18"/>
      <c r="AB403" s="18"/>
    </row>
    <row r="404" spans="1:28" ht="13.2" x14ac:dyDescent="0.25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69"/>
      <c r="U404" s="18"/>
      <c r="V404" s="18"/>
      <c r="W404" s="18"/>
      <c r="X404" s="18"/>
      <c r="Y404" s="18"/>
      <c r="Z404" s="18"/>
      <c r="AA404" s="18"/>
      <c r="AB404" s="18"/>
    </row>
    <row r="405" spans="1:28" ht="13.2" x14ac:dyDescent="0.2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69"/>
      <c r="U405" s="18"/>
      <c r="V405" s="18"/>
      <c r="W405" s="18"/>
      <c r="X405" s="18"/>
      <c r="Y405" s="18"/>
      <c r="Z405" s="18"/>
      <c r="AA405" s="18"/>
      <c r="AB405" s="18"/>
    </row>
    <row r="406" spans="1:28" ht="13.2" x14ac:dyDescent="0.25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69"/>
      <c r="U406" s="18"/>
      <c r="V406" s="18"/>
      <c r="W406" s="18"/>
      <c r="X406" s="18"/>
      <c r="Y406" s="18"/>
      <c r="Z406" s="18"/>
      <c r="AA406" s="18"/>
      <c r="AB406" s="18"/>
    </row>
    <row r="407" spans="1:28" ht="13.2" x14ac:dyDescent="0.25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69"/>
      <c r="U407" s="18"/>
      <c r="V407" s="18"/>
      <c r="W407" s="18"/>
      <c r="X407" s="18"/>
      <c r="Y407" s="18"/>
      <c r="Z407" s="18"/>
      <c r="AA407" s="18"/>
      <c r="AB407" s="18"/>
    </row>
    <row r="408" spans="1:28" ht="13.2" x14ac:dyDescent="0.25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69"/>
      <c r="U408" s="18"/>
      <c r="V408" s="18"/>
      <c r="W408" s="18"/>
      <c r="X408" s="18"/>
      <c r="Y408" s="18"/>
      <c r="Z408" s="18"/>
      <c r="AA408" s="18"/>
      <c r="AB408" s="18"/>
    </row>
    <row r="409" spans="1:28" ht="13.2" x14ac:dyDescent="0.25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69"/>
      <c r="U409" s="18"/>
      <c r="V409" s="18"/>
      <c r="W409" s="18"/>
      <c r="X409" s="18"/>
      <c r="Y409" s="18"/>
      <c r="Z409" s="18"/>
      <c r="AA409" s="18"/>
      <c r="AB409" s="18"/>
    </row>
    <row r="410" spans="1:28" ht="13.2" x14ac:dyDescent="0.25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69"/>
      <c r="U410" s="18"/>
      <c r="V410" s="18"/>
      <c r="W410" s="18"/>
      <c r="X410" s="18"/>
      <c r="Y410" s="18"/>
      <c r="Z410" s="18"/>
      <c r="AA410" s="18"/>
      <c r="AB410" s="18"/>
    </row>
    <row r="411" spans="1:28" ht="13.2" x14ac:dyDescent="0.25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69"/>
      <c r="U411" s="18"/>
      <c r="V411" s="18"/>
      <c r="W411" s="18"/>
      <c r="X411" s="18"/>
      <c r="Y411" s="18"/>
      <c r="Z411" s="18"/>
      <c r="AA411" s="18"/>
      <c r="AB411" s="18"/>
    </row>
    <row r="412" spans="1:28" ht="13.2" x14ac:dyDescent="0.25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69"/>
      <c r="U412" s="18"/>
      <c r="V412" s="18"/>
      <c r="W412" s="18"/>
      <c r="X412" s="18"/>
      <c r="Y412" s="18"/>
      <c r="Z412" s="18"/>
      <c r="AA412" s="18"/>
      <c r="AB412" s="18"/>
    </row>
    <row r="413" spans="1:28" ht="13.2" x14ac:dyDescent="0.25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69"/>
      <c r="U413" s="18"/>
      <c r="V413" s="18"/>
      <c r="W413" s="18"/>
      <c r="X413" s="18"/>
      <c r="Y413" s="18"/>
      <c r="Z413" s="18"/>
      <c r="AA413" s="18"/>
      <c r="AB413" s="18"/>
    </row>
    <row r="414" spans="1:28" ht="13.2" x14ac:dyDescent="0.25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69"/>
      <c r="U414" s="18"/>
      <c r="V414" s="18"/>
      <c r="W414" s="18"/>
      <c r="X414" s="18"/>
      <c r="Y414" s="18"/>
      <c r="Z414" s="18"/>
      <c r="AA414" s="18"/>
      <c r="AB414" s="18"/>
    </row>
    <row r="415" spans="1:28" ht="13.2" x14ac:dyDescent="0.2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69"/>
      <c r="U415" s="18"/>
      <c r="V415" s="18"/>
      <c r="W415" s="18"/>
      <c r="X415" s="18"/>
      <c r="Y415" s="18"/>
      <c r="Z415" s="18"/>
      <c r="AA415" s="18"/>
      <c r="AB415" s="18"/>
    </row>
    <row r="416" spans="1:28" ht="13.2" x14ac:dyDescent="0.25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69"/>
      <c r="U416" s="18"/>
      <c r="V416" s="18"/>
      <c r="W416" s="18"/>
      <c r="X416" s="18"/>
      <c r="Y416" s="18"/>
      <c r="Z416" s="18"/>
      <c r="AA416" s="18"/>
      <c r="AB416" s="18"/>
    </row>
    <row r="417" spans="1:28" ht="13.2" x14ac:dyDescent="0.25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69"/>
      <c r="U417" s="18"/>
      <c r="V417" s="18"/>
      <c r="W417" s="18"/>
      <c r="X417" s="18"/>
      <c r="Y417" s="18"/>
      <c r="Z417" s="18"/>
      <c r="AA417" s="18"/>
      <c r="AB417" s="18"/>
    </row>
    <row r="418" spans="1:28" ht="13.2" x14ac:dyDescent="0.25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69"/>
      <c r="U418" s="18"/>
      <c r="V418" s="18"/>
      <c r="W418" s="18"/>
      <c r="X418" s="18"/>
      <c r="Y418" s="18"/>
      <c r="Z418" s="18"/>
      <c r="AA418" s="18"/>
      <c r="AB418" s="18"/>
    </row>
    <row r="419" spans="1:28" ht="13.2" x14ac:dyDescent="0.25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69"/>
      <c r="U419" s="18"/>
      <c r="V419" s="18"/>
      <c r="W419" s="18"/>
      <c r="X419" s="18"/>
      <c r="Y419" s="18"/>
      <c r="Z419" s="18"/>
      <c r="AA419" s="18"/>
      <c r="AB419" s="18"/>
    </row>
    <row r="420" spans="1:28" ht="13.2" x14ac:dyDescent="0.25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69"/>
      <c r="U420" s="18"/>
      <c r="V420" s="18"/>
      <c r="W420" s="18"/>
      <c r="X420" s="18"/>
      <c r="Y420" s="18"/>
      <c r="Z420" s="18"/>
      <c r="AA420" s="18"/>
      <c r="AB420" s="18"/>
    </row>
    <row r="421" spans="1:28" ht="13.2" x14ac:dyDescent="0.25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69"/>
      <c r="U421" s="18"/>
      <c r="V421" s="18"/>
      <c r="W421" s="18"/>
      <c r="X421" s="18"/>
      <c r="Y421" s="18"/>
      <c r="Z421" s="18"/>
      <c r="AA421" s="18"/>
      <c r="AB421" s="18"/>
    </row>
    <row r="422" spans="1:28" ht="13.2" x14ac:dyDescent="0.25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69"/>
      <c r="U422" s="18"/>
      <c r="V422" s="18"/>
      <c r="W422" s="18"/>
      <c r="X422" s="18"/>
      <c r="Y422" s="18"/>
      <c r="Z422" s="18"/>
      <c r="AA422" s="18"/>
      <c r="AB422" s="18"/>
    </row>
    <row r="423" spans="1:28" ht="13.2" x14ac:dyDescent="0.25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69"/>
      <c r="U423" s="18"/>
      <c r="V423" s="18"/>
      <c r="W423" s="18"/>
      <c r="X423" s="18"/>
      <c r="Y423" s="18"/>
      <c r="Z423" s="18"/>
      <c r="AA423" s="18"/>
      <c r="AB423" s="18"/>
    </row>
    <row r="424" spans="1:28" ht="13.2" x14ac:dyDescent="0.25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69"/>
      <c r="U424" s="18"/>
      <c r="V424" s="18"/>
      <c r="W424" s="18"/>
      <c r="X424" s="18"/>
      <c r="Y424" s="18"/>
      <c r="Z424" s="18"/>
      <c r="AA424" s="18"/>
      <c r="AB424" s="18"/>
    </row>
    <row r="425" spans="1:28" ht="13.2" x14ac:dyDescent="0.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69"/>
      <c r="U425" s="18"/>
      <c r="V425" s="18"/>
      <c r="W425" s="18"/>
      <c r="X425" s="18"/>
      <c r="Y425" s="18"/>
      <c r="Z425" s="18"/>
      <c r="AA425" s="18"/>
      <c r="AB425" s="18"/>
    </row>
    <row r="426" spans="1:28" ht="13.2" x14ac:dyDescent="0.25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69"/>
      <c r="U426" s="18"/>
      <c r="V426" s="18"/>
      <c r="W426" s="18"/>
      <c r="X426" s="18"/>
      <c r="Y426" s="18"/>
      <c r="Z426" s="18"/>
      <c r="AA426" s="18"/>
      <c r="AB426" s="18"/>
    </row>
    <row r="427" spans="1:28" ht="13.2" x14ac:dyDescent="0.25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69"/>
      <c r="U427" s="18"/>
      <c r="V427" s="18"/>
      <c r="W427" s="18"/>
      <c r="X427" s="18"/>
      <c r="Y427" s="18"/>
      <c r="Z427" s="18"/>
      <c r="AA427" s="18"/>
      <c r="AB427" s="18"/>
    </row>
    <row r="428" spans="1:28" ht="13.2" x14ac:dyDescent="0.25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69"/>
      <c r="U428" s="18"/>
      <c r="V428" s="18"/>
      <c r="W428" s="18"/>
      <c r="X428" s="18"/>
      <c r="Y428" s="18"/>
      <c r="Z428" s="18"/>
      <c r="AA428" s="18"/>
      <c r="AB428" s="18"/>
    </row>
    <row r="429" spans="1:28" ht="13.2" x14ac:dyDescent="0.25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69"/>
      <c r="U429" s="18"/>
      <c r="V429" s="18"/>
      <c r="W429" s="18"/>
      <c r="X429" s="18"/>
      <c r="Y429" s="18"/>
      <c r="Z429" s="18"/>
      <c r="AA429" s="18"/>
      <c r="AB429" s="18"/>
    </row>
    <row r="430" spans="1:28" ht="13.2" x14ac:dyDescent="0.25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69"/>
      <c r="U430" s="18"/>
      <c r="V430" s="18"/>
      <c r="W430" s="18"/>
      <c r="X430" s="18"/>
      <c r="Y430" s="18"/>
      <c r="Z430" s="18"/>
      <c r="AA430" s="18"/>
      <c r="AB430" s="18"/>
    </row>
    <row r="431" spans="1:28" ht="13.2" x14ac:dyDescent="0.25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69"/>
      <c r="U431" s="18"/>
      <c r="V431" s="18"/>
      <c r="W431" s="18"/>
      <c r="X431" s="18"/>
      <c r="Y431" s="18"/>
      <c r="Z431" s="18"/>
      <c r="AA431" s="18"/>
      <c r="AB431" s="18"/>
    </row>
    <row r="432" spans="1:28" ht="13.2" x14ac:dyDescent="0.25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69"/>
      <c r="U432" s="18"/>
      <c r="V432" s="18"/>
      <c r="W432" s="18"/>
      <c r="X432" s="18"/>
      <c r="Y432" s="18"/>
      <c r="Z432" s="18"/>
      <c r="AA432" s="18"/>
      <c r="AB432" s="18"/>
    </row>
    <row r="433" spans="1:28" ht="13.2" x14ac:dyDescent="0.25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69"/>
      <c r="U433" s="18"/>
      <c r="V433" s="18"/>
      <c r="W433" s="18"/>
      <c r="X433" s="18"/>
      <c r="Y433" s="18"/>
      <c r="Z433" s="18"/>
      <c r="AA433" s="18"/>
      <c r="AB433" s="18"/>
    </row>
    <row r="434" spans="1:28" ht="13.2" x14ac:dyDescent="0.25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69"/>
      <c r="U434" s="18"/>
      <c r="V434" s="18"/>
      <c r="W434" s="18"/>
      <c r="X434" s="18"/>
      <c r="Y434" s="18"/>
      <c r="Z434" s="18"/>
      <c r="AA434" s="18"/>
      <c r="AB434" s="18"/>
    </row>
    <row r="435" spans="1:28" ht="13.2" x14ac:dyDescent="0.2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69"/>
      <c r="U435" s="18"/>
      <c r="V435" s="18"/>
      <c r="W435" s="18"/>
      <c r="X435" s="18"/>
      <c r="Y435" s="18"/>
      <c r="Z435" s="18"/>
      <c r="AA435" s="18"/>
      <c r="AB435" s="18"/>
    </row>
    <row r="436" spans="1:28" ht="13.2" x14ac:dyDescent="0.25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69"/>
      <c r="U436" s="18"/>
      <c r="V436" s="18"/>
      <c r="W436" s="18"/>
      <c r="X436" s="18"/>
      <c r="Y436" s="18"/>
      <c r="Z436" s="18"/>
      <c r="AA436" s="18"/>
      <c r="AB436" s="18"/>
    </row>
    <row r="437" spans="1:28" ht="13.2" x14ac:dyDescent="0.25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69"/>
      <c r="U437" s="18"/>
      <c r="V437" s="18"/>
      <c r="W437" s="18"/>
      <c r="X437" s="18"/>
      <c r="Y437" s="18"/>
      <c r="Z437" s="18"/>
      <c r="AA437" s="18"/>
      <c r="AB437" s="18"/>
    </row>
    <row r="438" spans="1:28" ht="13.2" x14ac:dyDescent="0.25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69"/>
      <c r="U438" s="18"/>
      <c r="V438" s="18"/>
      <c r="W438" s="18"/>
      <c r="X438" s="18"/>
      <c r="Y438" s="18"/>
      <c r="Z438" s="18"/>
      <c r="AA438" s="18"/>
      <c r="AB438" s="18"/>
    </row>
    <row r="439" spans="1:28" ht="13.2" x14ac:dyDescent="0.25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69"/>
      <c r="U439" s="18"/>
      <c r="V439" s="18"/>
      <c r="W439" s="18"/>
      <c r="X439" s="18"/>
      <c r="Y439" s="18"/>
      <c r="Z439" s="18"/>
      <c r="AA439" s="18"/>
      <c r="AB439" s="18"/>
    </row>
    <row r="440" spans="1:28" ht="13.2" x14ac:dyDescent="0.25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69"/>
      <c r="U440" s="18"/>
      <c r="V440" s="18"/>
      <c r="W440" s="18"/>
      <c r="X440" s="18"/>
      <c r="Y440" s="18"/>
      <c r="Z440" s="18"/>
      <c r="AA440" s="18"/>
      <c r="AB440" s="18"/>
    </row>
    <row r="441" spans="1:28" ht="13.2" x14ac:dyDescent="0.25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69"/>
      <c r="U441" s="18"/>
      <c r="V441" s="18"/>
      <c r="W441" s="18"/>
      <c r="X441" s="18"/>
      <c r="Y441" s="18"/>
      <c r="Z441" s="18"/>
      <c r="AA441" s="18"/>
      <c r="AB441" s="18"/>
    </row>
    <row r="442" spans="1:28" ht="13.2" x14ac:dyDescent="0.25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69"/>
      <c r="U442" s="18"/>
      <c r="V442" s="18"/>
      <c r="W442" s="18"/>
      <c r="X442" s="18"/>
      <c r="Y442" s="18"/>
      <c r="Z442" s="18"/>
      <c r="AA442" s="18"/>
      <c r="AB442" s="18"/>
    </row>
    <row r="443" spans="1:28" ht="13.2" x14ac:dyDescent="0.25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69"/>
      <c r="U443" s="18"/>
      <c r="V443" s="18"/>
      <c r="W443" s="18"/>
      <c r="X443" s="18"/>
      <c r="Y443" s="18"/>
      <c r="Z443" s="18"/>
      <c r="AA443" s="18"/>
      <c r="AB443" s="18"/>
    </row>
    <row r="444" spans="1:28" ht="13.2" x14ac:dyDescent="0.25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69"/>
      <c r="U444" s="18"/>
      <c r="V444" s="18"/>
      <c r="W444" s="18"/>
      <c r="X444" s="18"/>
      <c r="Y444" s="18"/>
      <c r="Z444" s="18"/>
      <c r="AA444" s="18"/>
      <c r="AB444" s="18"/>
    </row>
    <row r="445" spans="1:28" ht="13.2" x14ac:dyDescent="0.2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69"/>
      <c r="U445" s="18"/>
      <c r="V445" s="18"/>
      <c r="W445" s="18"/>
      <c r="X445" s="18"/>
      <c r="Y445" s="18"/>
      <c r="Z445" s="18"/>
      <c r="AA445" s="18"/>
      <c r="AB445" s="18"/>
    </row>
    <row r="446" spans="1:28" ht="13.2" x14ac:dyDescent="0.25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69"/>
      <c r="U446" s="18"/>
      <c r="V446" s="18"/>
      <c r="W446" s="18"/>
      <c r="X446" s="18"/>
      <c r="Y446" s="18"/>
      <c r="Z446" s="18"/>
      <c r="AA446" s="18"/>
      <c r="AB446" s="18"/>
    </row>
    <row r="447" spans="1:28" ht="13.2" x14ac:dyDescent="0.25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69"/>
      <c r="U447" s="18"/>
      <c r="V447" s="18"/>
      <c r="W447" s="18"/>
      <c r="X447" s="18"/>
      <c r="Y447" s="18"/>
      <c r="Z447" s="18"/>
      <c r="AA447" s="18"/>
      <c r="AB447" s="18"/>
    </row>
    <row r="448" spans="1:28" ht="13.2" x14ac:dyDescent="0.25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69"/>
      <c r="U448" s="18"/>
      <c r="V448" s="18"/>
      <c r="W448" s="18"/>
      <c r="X448" s="18"/>
      <c r="Y448" s="18"/>
      <c r="Z448" s="18"/>
      <c r="AA448" s="18"/>
      <c r="AB448" s="18"/>
    </row>
    <row r="449" spans="1:28" ht="13.2" x14ac:dyDescent="0.25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69"/>
      <c r="U449" s="18"/>
      <c r="V449" s="18"/>
      <c r="W449" s="18"/>
      <c r="X449" s="18"/>
      <c r="Y449" s="18"/>
      <c r="Z449" s="18"/>
      <c r="AA449" s="18"/>
      <c r="AB449" s="18"/>
    </row>
    <row r="450" spans="1:28" ht="13.2" x14ac:dyDescent="0.25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69"/>
      <c r="U450" s="18"/>
      <c r="V450" s="18"/>
      <c r="W450" s="18"/>
      <c r="X450" s="18"/>
      <c r="Y450" s="18"/>
      <c r="Z450" s="18"/>
      <c r="AA450" s="18"/>
      <c r="AB450" s="18"/>
    </row>
    <row r="451" spans="1:28" ht="13.2" x14ac:dyDescent="0.25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69"/>
      <c r="U451" s="18"/>
      <c r="V451" s="18"/>
      <c r="W451" s="18"/>
      <c r="X451" s="18"/>
      <c r="Y451" s="18"/>
      <c r="Z451" s="18"/>
      <c r="AA451" s="18"/>
      <c r="AB451" s="18"/>
    </row>
    <row r="452" spans="1:28" ht="13.2" x14ac:dyDescent="0.25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69"/>
      <c r="U452" s="18"/>
      <c r="V452" s="18"/>
      <c r="W452" s="18"/>
      <c r="X452" s="18"/>
      <c r="Y452" s="18"/>
      <c r="Z452" s="18"/>
      <c r="AA452" s="18"/>
      <c r="AB452" s="18"/>
    </row>
    <row r="453" spans="1:28" ht="13.2" x14ac:dyDescent="0.25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69"/>
      <c r="U453" s="18"/>
      <c r="V453" s="18"/>
      <c r="W453" s="18"/>
      <c r="X453" s="18"/>
      <c r="Y453" s="18"/>
      <c r="Z453" s="18"/>
      <c r="AA453" s="18"/>
      <c r="AB453" s="18"/>
    </row>
    <row r="454" spans="1:28" ht="13.2" x14ac:dyDescent="0.25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69"/>
      <c r="U454" s="18"/>
      <c r="V454" s="18"/>
      <c r="W454" s="18"/>
      <c r="X454" s="18"/>
      <c r="Y454" s="18"/>
      <c r="Z454" s="18"/>
      <c r="AA454" s="18"/>
      <c r="AB454" s="18"/>
    </row>
    <row r="455" spans="1:28" ht="13.2" x14ac:dyDescent="0.2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69"/>
      <c r="U455" s="18"/>
      <c r="V455" s="18"/>
      <c r="W455" s="18"/>
      <c r="X455" s="18"/>
      <c r="Y455" s="18"/>
      <c r="Z455" s="18"/>
      <c r="AA455" s="18"/>
      <c r="AB455" s="18"/>
    </row>
    <row r="456" spans="1:28" ht="13.2" x14ac:dyDescent="0.25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69"/>
      <c r="U456" s="18"/>
      <c r="V456" s="18"/>
      <c r="W456" s="18"/>
      <c r="X456" s="18"/>
      <c r="Y456" s="18"/>
      <c r="Z456" s="18"/>
      <c r="AA456" s="18"/>
      <c r="AB456" s="18"/>
    </row>
    <row r="457" spans="1:28" ht="13.2" x14ac:dyDescent="0.25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69"/>
      <c r="U457" s="18"/>
      <c r="V457" s="18"/>
      <c r="W457" s="18"/>
      <c r="X457" s="18"/>
      <c r="Y457" s="18"/>
      <c r="Z457" s="18"/>
      <c r="AA457" s="18"/>
      <c r="AB457" s="18"/>
    </row>
    <row r="458" spans="1:28" ht="13.2" x14ac:dyDescent="0.25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69"/>
      <c r="U458" s="18"/>
      <c r="V458" s="18"/>
      <c r="W458" s="18"/>
      <c r="X458" s="18"/>
      <c r="Y458" s="18"/>
      <c r="Z458" s="18"/>
      <c r="AA458" s="18"/>
      <c r="AB458" s="18"/>
    </row>
    <row r="459" spans="1:28" ht="13.2" x14ac:dyDescent="0.25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69"/>
      <c r="U459" s="18"/>
      <c r="V459" s="18"/>
      <c r="W459" s="18"/>
      <c r="X459" s="18"/>
      <c r="Y459" s="18"/>
      <c r="Z459" s="18"/>
      <c r="AA459" s="18"/>
      <c r="AB459" s="18"/>
    </row>
    <row r="460" spans="1:28" ht="13.2" x14ac:dyDescent="0.25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69"/>
      <c r="U460" s="18"/>
      <c r="V460" s="18"/>
      <c r="W460" s="18"/>
      <c r="X460" s="18"/>
      <c r="Y460" s="18"/>
      <c r="Z460" s="18"/>
      <c r="AA460" s="18"/>
      <c r="AB460" s="18"/>
    </row>
    <row r="461" spans="1:28" ht="13.2" x14ac:dyDescent="0.25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69"/>
      <c r="U461" s="18"/>
      <c r="V461" s="18"/>
      <c r="W461" s="18"/>
      <c r="X461" s="18"/>
      <c r="Y461" s="18"/>
      <c r="Z461" s="18"/>
      <c r="AA461" s="18"/>
      <c r="AB461" s="18"/>
    </row>
    <row r="462" spans="1:28" ht="13.2" x14ac:dyDescent="0.25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69"/>
      <c r="U462" s="18"/>
      <c r="V462" s="18"/>
      <c r="W462" s="18"/>
      <c r="X462" s="18"/>
      <c r="Y462" s="18"/>
      <c r="Z462" s="18"/>
      <c r="AA462" s="18"/>
      <c r="AB462" s="18"/>
    </row>
    <row r="463" spans="1:28" ht="13.2" x14ac:dyDescent="0.25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69"/>
      <c r="U463" s="18"/>
      <c r="V463" s="18"/>
      <c r="W463" s="18"/>
      <c r="X463" s="18"/>
      <c r="Y463" s="18"/>
      <c r="Z463" s="18"/>
      <c r="AA463" s="18"/>
      <c r="AB463" s="18"/>
    </row>
    <row r="464" spans="1:28" ht="13.2" x14ac:dyDescent="0.25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69"/>
      <c r="U464" s="18"/>
      <c r="V464" s="18"/>
      <c r="W464" s="18"/>
      <c r="X464" s="18"/>
      <c r="Y464" s="18"/>
      <c r="Z464" s="18"/>
      <c r="AA464" s="18"/>
      <c r="AB464" s="18"/>
    </row>
    <row r="465" spans="1:28" ht="13.2" x14ac:dyDescent="0.2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69"/>
      <c r="U465" s="18"/>
      <c r="V465" s="18"/>
      <c r="W465" s="18"/>
      <c r="X465" s="18"/>
      <c r="Y465" s="18"/>
      <c r="Z465" s="18"/>
      <c r="AA465" s="18"/>
      <c r="AB465" s="18"/>
    </row>
    <row r="466" spans="1:28" ht="13.2" x14ac:dyDescent="0.25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69"/>
      <c r="U466" s="18"/>
      <c r="V466" s="18"/>
      <c r="W466" s="18"/>
      <c r="X466" s="18"/>
      <c r="Y466" s="18"/>
      <c r="Z466" s="18"/>
      <c r="AA466" s="18"/>
      <c r="AB466" s="18"/>
    </row>
    <row r="467" spans="1:28" ht="13.2" x14ac:dyDescent="0.25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69"/>
      <c r="U467" s="18"/>
      <c r="V467" s="18"/>
      <c r="W467" s="18"/>
      <c r="X467" s="18"/>
      <c r="Y467" s="18"/>
      <c r="Z467" s="18"/>
      <c r="AA467" s="18"/>
      <c r="AB467" s="18"/>
    </row>
    <row r="468" spans="1:28" ht="13.2" x14ac:dyDescent="0.25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69"/>
      <c r="U468" s="18"/>
      <c r="V468" s="18"/>
      <c r="W468" s="18"/>
      <c r="X468" s="18"/>
      <c r="Y468" s="18"/>
      <c r="Z468" s="18"/>
      <c r="AA468" s="18"/>
      <c r="AB468" s="18"/>
    </row>
    <row r="469" spans="1:28" ht="13.2" x14ac:dyDescent="0.25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69"/>
      <c r="U469" s="18"/>
      <c r="V469" s="18"/>
      <c r="W469" s="18"/>
      <c r="X469" s="18"/>
      <c r="Y469" s="18"/>
      <c r="Z469" s="18"/>
      <c r="AA469" s="18"/>
      <c r="AB469" s="18"/>
    </row>
    <row r="470" spans="1:28" ht="13.2" x14ac:dyDescent="0.25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69"/>
      <c r="U470" s="18"/>
      <c r="V470" s="18"/>
      <c r="W470" s="18"/>
      <c r="X470" s="18"/>
      <c r="Y470" s="18"/>
      <c r="Z470" s="18"/>
      <c r="AA470" s="18"/>
      <c r="AB470" s="18"/>
    </row>
    <row r="471" spans="1:28" ht="13.2" x14ac:dyDescent="0.25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69"/>
      <c r="U471" s="18"/>
      <c r="V471" s="18"/>
      <c r="W471" s="18"/>
      <c r="X471" s="18"/>
      <c r="Y471" s="18"/>
      <c r="Z471" s="18"/>
      <c r="AA471" s="18"/>
      <c r="AB471" s="18"/>
    </row>
    <row r="472" spans="1:28" ht="13.2" x14ac:dyDescent="0.25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69"/>
      <c r="U472" s="18"/>
      <c r="V472" s="18"/>
      <c r="W472" s="18"/>
      <c r="X472" s="18"/>
      <c r="Y472" s="18"/>
      <c r="Z472" s="18"/>
      <c r="AA472" s="18"/>
      <c r="AB472" s="18"/>
    </row>
    <row r="473" spans="1:28" ht="13.2" x14ac:dyDescent="0.25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69"/>
      <c r="U473" s="18"/>
      <c r="V473" s="18"/>
      <c r="W473" s="18"/>
      <c r="X473" s="18"/>
      <c r="Y473" s="18"/>
      <c r="Z473" s="18"/>
      <c r="AA473" s="18"/>
      <c r="AB473" s="18"/>
    </row>
    <row r="474" spans="1:28" ht="13.2" x14ac:dyDescent="0.25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69"/>
      <c r="U474" s="18"/>
      <c r="V474" s="18"/>
      <c r="W474" s="18"/>
      <c r="X474" s="18"/>
      <c r="Y474" s="18"/>
      <c r="Z474" s="18"/>
      <c r="AA474" s="18"/>
      <c r="AB474" s="18"/>
    </row>
    <row r="475" spans="1:28" ht="13.2" x14ac:dyDescent="0.2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69"/>
      <c r="U475" s="18"/>
      <c r="V475" s="18"/>
      <c r="W475" s="18"/>
      <c r="X475" s="18"/>
      <c r="Y475" s="18"/>
      <c r="Z475" s="18"/>
      <c r="AA475" s="18"/>
      <c r="AB475" s="18"/>
    </row>
    <row r="476" spans="1:28" ht="13.2" x14ac:dyDescent="0.25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69"/>
      <c r="U476" s="18"/>
      <c r="V476" s="18"/>
      <c r="W476" s="18"/>
      <c r="X476" s="18"/>
      <c r="Y476" s="18"/>
      <c r="Z476" s="18"/>
      <c r="AA476" s="18"/>
      <c r="AB476" s="18"/>
    </row>
    <row r="477" spans="1:28" ht="13.2" x14ac:dyDescent="0.25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69"/>
      <c r="U477" s="18"/>
      <c r="V477" s="18"/>
      <c r="W477" s="18"/>
      <c r="X477" s="18"/>
      <c r="Y477" s="18"/>
      <c r="Z477" s="18"/>
      <c r="AA477" s="18"/>
      <c r="AB477" s="18"/>
    </row>
    <row r="478" spans="1:28" ht="13.2" x14ac:dyDescent="0.25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69"/>
      <c r="U478" s="18"/>
      <c r="V478" s="18"/>
      <c r="W478" s="18"/>
      <c r="X478" s="18"/>
      <c r="Y478" s="18"/>
      <c r="Z478" s="18"/>
      <c r="AA478" s="18"/>
      <c r="AB478" s="18"/>
    </row>
    <row r="479" spans="1:28" ht="13.2" x14ac:dyDescent="0.25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69"/>
      <c r="U479" s="18"/>
      <c r="V479" s="18"/>
      <c r="W479" s="18"/>
      <c r="X479" s="18"/>
      <c r="Y479" s="18"/>
      <c r="Z479" s="18"/>
      <c r="AA479" s="18"/>
      <c r="AB479" s="18"/>
    </row>
    <row r="480" spans="1:28" ht="13.2" x14ac:dyDescent="0.25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69"/>
      <c r="U480" s="18"/>
      <c r="V480" s="18"/>
      <c r="W480" s="18"/>
      <c r="X480" s="18"/>
      <c r="Y480" s="18"/>
      <c r="Z480" s="18"/>
      <c r="AA480" s="18"/>
      <c r="AB480" s="18"/>
    </row>
    <row r="481" spans="1:28" ht="13.2" x14ac:dyDescent="0.25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69"/>
      <c r="U481" s="18"/>
      <c r="V481" s="18"/>
      <c r="W481" s="18"/>
      <c r="X481" s="18"/>
      <c r="Y481" s="18"/>
      <c r="Z481" s="18"/>
      <c r="AA481" s="18"/>
      <c r="AB481" s="18"/>
    </row>
    <row r="482" spans="1:28" ht="13.2" x14ac:dyDescent="0.25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69"/>
      <c r="U482" s="18"/>
      <c r="V482" s="18"/>
      <c r="W482" s="18"/>
      <c r="X482" s="18"/>
      <c r="Y482" s="18"/>
      <c r="Z482" s="18"/>
      <c r="AA482" s="18"/>
      <c r="AB482" s="18"/>
    </row>
    <row r="483" spans="1:28" ht="13.2" x14ac:dyDescent="0.25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69"/>
      <c r="U483" s="18"/>
      <c r="V483" s="18"/>
      <c r="W483" s="18"/>
      <c r="X483" s="18"/>
      <c r="Y483" s="18"/>
      <c r="Z483" s="18"/>
      <c r="AA483" s="18"/>
      <c r="AB483" s="18"/>
    </row>
    <row r="484" spans="1:28" ht="13.2" x14ac:dyDescent="0.25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69"/>
      <c r="U484" s="18"/>
      <c r="V484" s="18"/>
      <c r="W484" s="18"/>
      <c r="X484" s="18"/>
      <c r="Y484" s="18"/>
      <c r="Z484" s="18"/>
      <c r="AA484" s="18"/>
      <c r="AB484" s="18"/>
    </row>
    <row r="485" spans="1:28" ht="13.2" x14ac:dyDescent="0.2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69"/>
      <c r="U485" s="18"/>
      <c r="V485" s="18"/>
      <c r="W485" s="18"/>
      <c r="X485" s="18"/>
      <c r="Y485" s="18"/>
      <c r="Z485" s="18"/>
      <c r="AA485" s="18"/>
      <c r="AB485" s="18"/>
    </row>
    <row r="486" spans="1:28" ht="13.2" x14ac:dyDescent="0.25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69"/>
      <c r="U486" s="18"/>
      <c r="V486" s="18"/>
      <c r="W486" s="18"/>
      <c r="X486" s="18"/>
      <c r="Y486" s="18"/>
      <c r="Z486" s="18"/>
      <c r="AA486" s="18"/>
      <c r="AB486" s="18"/>
    </row>
    <row r="487" spans="1:28" ht="13.2" x14ac:dyDescent="0.25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69"/>
      <c r="U487" s="18"/>
      <c r="V487" s="18"/>
      <c r="W487" s="18"/>
      <c r="X487" s="18"/>
      <c r="Y487" s="18"/>
      <c r="Z487" s="18"/>
      <c r="AA487" s="18"/>
      <c r="AB487" s="18"/>
    </row>
    <row r="488" spans="1:28" ht="13.2" x14ac:dyDescent="0.25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69"/>
      <c r="U488" s="18"/>
      <c r="V488" s="18"/>
      <c r="W488" s="18"/>
      <c r="X488" s="18"/>
      <c r="Y488" s="18"/>
      <c r="Z488" s="18"/>
      <c r="AA488" s="18"/>
      <c r="AB488" s="18"/>
    </row>
    <row r="489" spans="1:28" ht="13.2" x14ac:dyDescent="0.25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69"/>
      <c r="U489" s="18"/>
      <c r="V489" s="18"/>
      <c r="W489" s="18"/>
      <c r="X489" s="18"/>
      <c r="Y489" s="18"/>
      <c r="Z489" s="18"/>
      <c r="AA489" s="18"/>
      <c r="AB489" s="18"/>
    </row>
    <row r="490" spans="1:28" ht="13.2" x14ac:dyDescent="0.25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69"/>
      <c r="U490" s="18"/>
      <c r="V490" s="18"/>
      <c r="W490" s="18"/>
      <c r="X490" s="18"/>
      <c r="Y490" s="18"/>
      <c r="Z490" s="18"/>
      <c r="AA490" s="18"/>
      <c r="AB490" s="18"/>
    </row>
    <row r="491" spans="1:28" ht="13.2" x14ac:dyDescent="0.25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69"/>
      <c r="U491" s="18"/>
      <c r="V491" s="18"/>
      <c r="W491" s="18"/>
      <c r="X491" s="18"/>
      <c r="Y491" s="18"/>
      <c r="Z491" s="18"/>
      <c r="AA491" s="18"/>
      <c r="AB491" s="18"/>
    </row>
    <row r="492" spans="1:28" ht="13.2" x14ac:dyDescent="0.25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69"/>
      <c r="U492" s="18"/>
      <c r="V492" s="18"/>
      <c r="W492" s="18"/>
      <c r="X492" s="18"/>
      <c r="Y492" s="18"/>
      <c r="Z492" s="18"/>
      <c r="AA492" s="18"/>
      <c r="AB492" s="18"/>
    </row>
    <row r="493" spans="1:28" ht="13.2" x14ac:dyDescent="0.25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69"/>
      <c r="U493" s="18"/>
      <c r="V493" s="18"/>
      <c r="W493" s="18"/>
      <c r="X493" s="18"/>
      <c r="Y493" s="18"/>
      <c r="Z493" s="18"/>
      <c r="AA493" s="18"/>
      <c r="AB493" s="18"/>
    </row>
    <row r="494" spans="1:28" ht="13.2" x14ac:dyDescent="0.25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69"/>
      <c r="U494" s="18"/>
      <c r="V494" s="18"/>
      <c r="W494" s="18"/>
      <c r="X494" s="18"/>
      <c r="Y494" s="18"/>
      <c r="Z494" s="18"/>
      <c r="AA494" s="18"/>
      <c r="AB494" s="18"/>
    </row>
    <row r="495" spans="1:28" ht="13.2" x14ac:dyDescent="0.2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69"/>
      <c r="U495" s="18"/>
      <c r="V495" s="18"/>
      <c r="W495" s="18"/>
      <c r="X495" s="18"/>
      <c r="Y495" s="18"/>
      <c r="Z495" s="18"/>
      <c r="AA495" s="18"/>
      <c r="AB495" s="18"/>
    </row>
    <row r="496" spans="1:28" ht="13.2" x14ac:dyDescent="0.25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69"/>
      <c r="U496" s="18"/>
      <c r="V496" s="18"/>
      <c r="W496" s="18"/>
      <c r="X496" s="18"/>
      <c r="Y496" s="18"/>
      <c r="Z496" s="18"/>
      <c r="AA496" s="18"/>
      <c r="AB496" s="18"/>
    </row>
    <row r="497" spans="1:28" ht="13.2" x14ac:dyDescent="0.25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69"/>
      <c r="U497" s="18"/>
      <c r="V497" s="18"/>
      <c r="W497" s="18"/>
      <c r="X497" s="18"/>
      <c r="Y497" s="18"/>
      <c r="Z497" s="18"/>
      <c r="AA497" s="18"/>
      <c r="AB497" s="18"/>
    </row>
    <row r="498" spans="1:28" ht="13.2" x14ac:dyDescent="0.25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69"/>
      <c r="U498" s="18"/>
      <c r="V498" s="18"/>
      <c r="W498" s="18"/>
      <c r="X498" s="18"/>
      <c r="Y498" s="18"/>
      <c r="Z498" s="18"/>
      <c r="AA498" s="18"/>
      <c r="AB498" s="18"/>
    </row>
    <row r="499" spans="1:28" ht="13.2" x14ac:dyDescent="0.25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69"/>
      <c r="U499" s="18"/>
      <c r="V499" s="18"/>
      <c r="W499" s="18"/>
      <c r="X499" s="18"/>
      <c r="Y499" s="18"/>
      <c r="Z499" s="18"/>
      <c r="AA499" s="18"/>
      <c r="AB499" s="18"/>
    </row>
    <row r="500" spans="1:28" ht="13.2" x14ac:dyDescent="0.25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69"/>
      <c r="U500" s="18"/>
      <c r="V500" s="18"/>
      <c r="W500" s="18"/>
      <c r="X500" s="18"/>
      <c r="Y500" s="18"/>
      <c r="Z500" s="18"/>
      <c r="AA500" s="18"/>
      <c r="AB500" s="18"/>
    </row>
    <row r="501" spans="1:28" ht="13.2" x14ac:dyDescent="0.25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69"/>
      <c r="U501" s="18"/>
      <c r="V501" s="18"/>
      <c r="W501" s="18"/>
      <c r="X501" s="18"/>
      <c r="Y501" s="18"/>
      <c r="Z501" s="18"/>
      <c r="AA501" s="18"/>
      <c r="AB501" s="18"/>
    </row>
    <row r="502" spans="1:28" ht="13.2" x14ac:dyDescent="0.25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69"/>
      <c r="U502" s="18"/>
      <c r="V502" s="18"/>
      <c r="W502" s="18"/>
      <c r="X502" s="18"/>
      <c r="Y502" s="18"/>
      <c r="Z502" s="18"/>
      <c r="AA502" s="18"/>
      <c r="AB502" s="18"/>
    </row>
    <row r="503" spans="1:28" ht="13.2" x14ac:dyDescent="0.25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69"/>
      <c r="U503" s="18"/>
      <c r="V503" s="18"/>
      <c r="W503" s="18"/>
      <c r="X503" s="18"/>
      <c r="Y503" s="18"/>
      <c r="Z503" s="18"/>
      <c r="AA503" s="18"/>
      <c r="AB503" s="18"/>
    </row>
    <row r="504" spans="1:28" ht="13.2" x14ac:dyDescent="0.25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69"/>
      <c r="U504" s="18"/>
      <c r="V504" s="18"/>
      <c r="W504" s="18"/>
      <c r="X504" s="18"/>
      <c r="Y504" s="18"/>
      <c r="Z504" s="18"/>
      <c r="AA504" s="18"/>
      <c r="AB504" s="18"/>
    </row>
    <row r="505" spans="1:28" ht="13.2" x14ac:dyDescent="0.2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69"/>
      <c r="U505" s="18"/>
      <c r="V505" s="18"/>
      <c r="W505" s="18"/>
      <c r="X505" s="18"/>
      <c r="Y505" s="18"/>
      <c r="Z505" s="18"/>
      <c r="AA505" s="18"/>
      <c r="AB505" s="18"/>
    </row>
    <row r="506" spans="1:28" ht="13.2" x14ac:dyDescent="0.25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69"/>
      <c r="U506" s="18"/>
      <c r="V506" s="18"/>
      <c r="W506" s="18"/>
      <c r="X506" s="18"/>
      <c r="Y506" s="18"/>
      <c r="Z506" s="18"/>
      <c r="AA506" s="18"/>
      <c r="AB506" s="18"/>
    </row>
    <row r="507" spans="1:28" ht="13.2" x14ac:dyDescent="0.25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69"/>
      <c r="U507" s="18"/>
      <c r="V507" s="18"/>
      <c r="W507" s="18"/>
      <c r="X507" s="18"/>
      <c r="Y507" s="18"/>
      <c r="Z507" s="18"/>
      <c r="AA507" s="18"/>
      <c r="AB507" s="18"/>
    </row>
    <row r="508" spans="1:28" ht="13.2" x14ac:dyDescent="0.25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69"/>
      <c r="U508" s="18"/>
      <c r="V508" s="18"/>
      <c r="W508" s="18"/>
      <c r="X508" s="18"/>
      <c r="Y508" s="18"/>
      <c r="Z508" s="18"/>
      <c r="AA508" s="18"/>
      <c r="AB508" s="18"/>
    </row>
    <row r="509" spans="1:28" ht="13.2" x14ac:dyDescent="0.25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69"/>
      <c r="U509" s="18"/>
      <c r="V509" s="18"/>
      <c r="W509" s="18"/>
      <c r="X509" s="18"/>
      <c r="Y509" s="18"/>
      <c r="Z509" s="18"/>
      <c r="AA509" s="18"/>
      <c r="AB509" s="18"/>
    </row>
    <row r="510" spans="1:28" ht="13.2" x14ac:dyDescent="0.25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69"/>
      <c r="U510" s="18"/>
      <c r="V510" s="18"/>
      <c r="W510" s="18"/>
      <c r="X510" s="18"/>
      <c r="Y510" s="18"/>
      <c r="Z510" s="18"/>
      <c r="AA510" s="18"/>
      <c r="AB510" s="18"/>
    </row>
    <row r="511" spans="1:28" ht="13.2" x14ac:dyDescent="0.25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69"/>
      <c r="U511" s="18"/>
      <c r="V511" s="18"/>
      <c r="W511" s="18"/>
      <c r="X511" s="18"/>
      <c r="Y511" s="18"/>
      <c r="Z511" s="18"/>
      <c r="AA511" s="18"/>
      <c r="AB511" s="18"/>
    </row>
    <row r="512" spans="1:28" ht="13.2" x14ac:dyDescent="0.25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69"/>
      <c r="U512" s="18"/>
      <c r="V512" s="18"/>
      <c r="W512" s="18"/>
      <c r="X512" s="18"/>
      <c r="Y512" s="18"/>
      <c r="Z512" s="18"/>
      <c r="AA512" s="18"/>
      <c r="AB512" s="18"/>
    </row>
    <row r="513" spans="1:28" ht="13.2" x14ac:dyDescent="0.25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69"/>
      <c r="U513" s="18"/>
      <c r="V513" s="18"/>
      <c r="W513" s="18"/>
      <c r="X513" s="18"/>
      <c r="Y513" s="18"/>
      <c r="Z513" s="18"/>
      <c r="AA513" s="18"/>
      <c r="AB513" s="18"/>
    </row>
    <row r="514" spans="1:28" ht="13.2" x14ac:dyDescent="0.25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69"/>
      <c r="U514" s="18"/>
      <c r="V514" s="18"/>
      <c r="W514" s="18"/>
      <c r="X514" s="18"/>
      <c r="Y514" s="18"/>
      <c r="Z514" s="18"/>
      <c r="AA514" s="18"/>
      <c r="AB514" s="18"/>
    </row>
    <row r="515" spans="1:28" ht="13.2" x14ac:dyDescent="0.2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69"/>
      <c r="U515" s="18"/>
      <c r="V515" s="18"/>
      <c r="W515" s="18"/>
      <c r="X515" s="18"/>
      <c r="Y515" s="18"/>
      <c r="Z515" s="18"/>
      <c r="AA515" s="18"/>
      <c r="AB515" s="18"/>
    </row>
    <row r="516" spans="1:28" ht="13.2" x14ac:dyDescent="0.25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69"/>
      <c r="U516" s="18"/>
      <c r="V516" s="18"/>
      <c r="W516" s="18"/>
      <c r="X516" s="18"/>
      <c r="Y516" s="18"/>
      <c r="Z516" s="18"/>
      <c r="AA516" s="18"/>
      <c r="AB516" s="18"/>
    </row>
    <row r="517" spans="1:28" ht="13.2" x14ac:dyDescent="0.25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69"/>
      <c r="U517" s="18"/>
      <c r="V517" s="18"/>
      <c r="W517" s="18"/>
      <c r="X517" s="18"/>
      <c r="Y517" s="18"/>
      <c r="Z517" s="18"/>
      <c r="AA517" s="18"/>
      <c r="AB517" s="18"/>
    </row>
    <row r="518" spans="1:28" ht="13.2" x14ac:dyDescent="0.25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69"/>
      <c r="U518" s="18"/>
      <c r="V518" s="18"/>
      <c r="W518" s="18"/>
      <c r="X518" s="18"/>
      <c r="Y518" s="18"/>
      <c r="Z518" s="18"/>
      <c r="AA518" s="18"/>
      <c r="AB518" s="18"/>
    </row>
    <row r="519" spans="1:28" ht="13.2" x14ac:dyDescent="0.25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69"/>
      <c r="U519" s="18"/>
      <c r="V519" s="18"/>
      <c r="W519" s="18"/>
      <c r="X519" s="18"/>
      <c r="Y519" s="18"/>
      <c r="Z519" s="18"/>
      <c r="AA519" s="18"/>
      <c r="AB519" s="18"/>
    </row>
    <row r="520" spans="1:28" ht="13.2" x14ac:dyDescent="0.25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69"/>
      <c r="U520" s="18"/>
      <c r="V520" s="18"/>
      <c r="W520" s="18"/>
      <c r="X520" s="18"/>
      <c r="Y520" s="18"/>
      <c r="Z520" s="18"/>
      <c r="AA520" s="18"/>
      <c r="AB520" s="18"/>
    </row>
    <row r="521" spans="1:28" ht="13.2" x14ac:dyDescent="0.25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69"/>
      <c r="U521" s="18"/>
      <c r="V521" s="18"/>
      <c r="W521" s="18"/>
      <c r="X521" s="18"/>
      <c r="Y521" s="18"/>
      <c r="Z521" s="18"/>
      <c r="AA521" s="18"/>
      <c r="AB521" s="18"/>
    </row>
    <row r="522" spans="1:28" ht="13.2" x14ac:dyDescent="0.25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69"/>
      <c r="U522" s="18"/>
      <c r="V522" s="18"/>
      <c r="W522" s="18"/>
      <c r="X522" s="18"/>
      <c r="Y522" s="18"/>
      <c r="Z522" s="18"/>
      <c r="AA522" s="18"/>
      <c r="AB522" s="18"/>
    </row>
    <row r="523" spans="1:28" ht="13.2" x14ac:dyDescent="0.25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69"/>
      <c r="U523" s="18"/>
      <c r="V523" s="18"/>
      <c r="W523" s="18"/>
      <c r="X523" s="18"/>
      <c r="Y523" s="18"/>
      <c r="Z523" s="18"/>
      <c r="AA523" s="18"/>
      <c r="AB523" s="18"/>
    </row>
    <row r="524" spans="1:28" ht="13.2" x14ac:dyDescent="0.25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69"/>
      <c r="U524" s="18"/>
      <c r="V524" s="18"/>
      <c r="W524" s="18"/>
      <c r="X524" s="18"/>
      <c r="Y524" s="18"/>
      <c r="Z524" s="18"/>
      <c r="AA524" s="18"/>
      <c r="AB524" s="18"/>
    </row>
    <row r="525" spans="1:28" ht="13.2" x14ac:dyDescent="0.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69"/>
      <c r="U525" s="18"/>
      <c r="V525" s="18"/>
      <c r="W525" s="18"/>
      <c r="X525" s="18"/>
      <c r="Y525" s="18"/>
      <c r="Z525" s="18"/>
      <c r="AA525" s="18"/>
      <c r="AB525" s="18"/>
    </row>
    <row r="526" spans="1:28" ht="13.2" x14ac:dyDescent="0.25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69"/>
      <c r="U526" s="18"/>
      <c r="V526" s="18"/>
      <c r="W526" s="18"/>
      <c r="X526" s="18"/>
      <c r="Y526" s="18"/>
      <c r="Z526" s="18"/>
      <c r="AA526" s="18"/>
      <c r="AB526" s="18"/>
    </row>
    <row r="527" spans="1:28" ht="13.2" x14ac:dyDescent="0.25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69"/>
      <c r="U527" s="18"/>
      <c r="V527" s="18"/>
      <c r="W527" s="18"/>
      <c r="X527" s="18"/>
      <c r="Y527" s="18"/>
      <c r="Z527" s="18"/>
      <c r="AA527" s="18"/>
      <c r="AB527" s="18"/>
    </row>
    <row r="528" spans="1:28" ht="13.2" x14ac:dyDescent="0.25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69"/>
      <c r="U528" s="18"/>
      <c r="V528" s="18"/>
      <c r="W528" s="18"/>
      <c r="X528" s="18"/>
      <c r="Y528" s="18"/>
      <c r="Z528" s="18"/>
      <c r="AA528" s="18"/>
      <c r="AB528" s="18"/>
    </row>
    <row r="529" spans="1:28" ht="13.2" x14ac:dyDescent="0.25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69"/>
      <c r="U529" s="18"/>
      <c r="V529" s="18"/>
      <c r="W529" s="18"/>
      <c r="X529" s="18"/>
      <c r="Y529" s="18"/>
      <c r="Z529" s="18"/>
      <c r="AA529" s="18"/>
      <c r="AB529" s="18"/>
    </row>
    <row r="530" spans="1:28" ht="13.2" x14ac:dyDescent="0.25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69"/>
      <c r="U530" s="18"/>
      <c r="V530" s="18"/>
      <c r="W530" s="18"/>
      <c r="X530" s="18"/>
      <c r="Y530" s="18"/>
      <c r="Z530" s="18"/>
      <c r="AA530" s="18"/>
      <c r="AB530" s="18"/>
    </row>
    <row r="531" spans="1:28" ht="13.2" x14ac:dyDescent="0.25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69"/>
      <c r="U531" s="18"/>
      <c r="V531" s="18"/>
      <c r="W531" s="18"/>
      <c r="X531" s="18"/>
      <c r="Y531" s="18"/>
      <c r="Z531" s="18"/>
      <c r="AA531" s="18"/>
      <c r="AB531" s="18"/>
    </row>
    <row r="532" spans="1:28" ht="13.2" x14ac:dyDescent="0.25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69"/>
      <c r="U532" s="18"/>
      <c r="V532" s="18"/>
      <c r="W532" s="18"/>
      <c r="X532" s="18"/>
      <c r="Y532" s="18"/>
      <c r="Z532" s="18"/>
      <c r="AA532" s="18"/>
      <c r="AB532" s="18"/>
    </row>
    <row r="533" spans="1:28" ht="13.2" x14ac:dyDescent="0.25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69"/>
      <c r="U533" s="18"/>
      <c r="V533" s="18"/>
      <c r="W533" s="18"/>
      <c r="X533" s="18"/>
      <c r="Y533" s="18"/>
      <c r="Z533" s="18"/>
      <c r="AA533" s="18"/>
      <c r="AB533" s="18"/>
    </row>
    <row r="534" spans="1:28" ht="13.2" x14ac:dyDescent="0.25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69"/>
      <c r="U534" s="18"/>
      <c r="V534" s="18"/>
      <c r="W534" s="18"/>
      <c r="X534" s="18"/>
      <c r="Y534" s="18"/>
      <c r="Z534" s="18"/>
      <c r="AA534" s="18"/>
      <c r="AB534" s="18"/>
    </row>
    <row r="535" spans="1:28" ht="13.2" x14ac:dyDescent="0.2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69"/>
      <c r="U535" s="18"/>
      <c r="V535" s="18"/>
      <c r="W535" s="18"/>
      <c r="X535" s="18"/>
      <c r="Y535" s="18"/>
      <c r="Z535" s="18"/>
      <c r="AA535" s="18"/>
      <c r="AB535" s="18"/>
    </row>
    <row r="536" spans="1:28" ht="13.2" x14ac:dyDescent="0.25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69"/>
      <c r="U536" s="18"/>
      <c r="V536" s="18"/>
      <c r="W536" s="18"/>
      <c r="X536" s="18"/>
      <c r="Y536" s="18"/>
      <c r="Z536" s="18"/>
      <c r="AA536" s="18"/>
      <c r="AB536" s="18"/>
    </row>
    <row r="537" spans="1:28" ht="13.2" x14ac:dyDescent="0.25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69"/>
      <c r="U537" s="18"/>
      <c r="V537" s="18"/>
      <c r="W537" s="18"/>
      <c r="X537" s="18"/>
      <c r="Y537" s="18"/>
      <c r="Z537" s="18"/>
      <c r="AA537" s="18"/>
      <c r="AB537" s="18"/>
    </row>
    <row r="538" spans="1:28" ht="13.2" x14ac:dyDescent="0.25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69"/>
      <c r="U538" s="18"/>
      <c r="V538" s="18"/>
      <c r="W538" s="18"/>
      <c r="X538" s="18"/>
      <c r="Y538" s="18"/>
      <c r="Z538" s="18"/>
      <c r="AA538" s="18"/>
      <c r="AB538" s="18"/>
    </row>
    <row r="539" spans="1:28" ht="13.2" x14ac:dyDescent="0.25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69"/>
      <c r="U539" s="18"/>
      <c r="V539" s="18"/>
      <c r="W539" s="18"/>
      <c r="X539" s="18"/>
      <c r="Y539" s="18"/>
      <c r="Z539" s="18"/>
      <c r="AA539" s="18"/>
      <c r="AB539" s="18"/>
    </row>
    <row r="540" spans="1:28" ht="13.2" x14ac:dyDescent="0.25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69"/>
      <c r="U540" s="18"/>
      <c r="V540" s="18"/>
      <c r="W540" s="18"/>
      <c r="X540" s="18"/>
      <c r="Y540" s="18"/>
      <c r="Z540" s="18"/>
      <c r="AA540" s="18"/>
      <c r="AB540" s="18"/>
    </row>
    <row r="541" spans="1:28" ht="13.2" x14ac:dyDescent="0.25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69"/>
      <c r="U541" s="18"/>
      <c r="V541" s="18"/>
      <c r="W541" s="18"/>
      <c r="X541" s="18"/>
      <c r="Y541" s="18"/>
      <c r="Z541" s="18"/>
      <c r="AA541" s="18"/>
      <c r="AB541" s="18"/>
    </row>
    <row r="542" spans="1:28" ht="13.2" x14ac:dyDescent="0.25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69"/>
      <c r="U542" s="18"/>
      <c r="V542" s="18"/>
      <c r="W542" s="18"/>
      <c r="X542" s="18"/>
      <c r="Y542" s="18"/>
      <c r="Z542" s="18"/>
      <c r="AA542" s="18"/>
      <c r="AB542" s="18"/>
    </row>
    <row r="543" spans="1:28" ht="13.2" x14ac:dyDescent="0.25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69"/>
      <c r="U543" s="18"/>
      <c r="V543" s="18"/>
      <c r="W543" s="18"/>
      <c r="X543" s="18"/>
      <c r="Y543" s="18"/>
      <c r="Z543" s="18"/>
      <c r="AA543" s="18"/>
      <c r="AB543" s="18"/>
    </row>
    <row r="544" spans="1:28" ht="13.2" x14ac:dyDescent="0.25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69"/>
      <c r="U544" s="18"/>
      <c r="V544" s="18"/>
      <c r="W544" s="18"/>
      <c r="X544" s="18"/>
      <c r="Y544" s="18"/>
      <c r="Z544" s="18"/>
      <c r="AA544" s="18"/>
      <c r="AB544" s="18"/>
    </row>
    <row r="545" spans="1:28" ht="13.2" x14ac:dyDescent="0.2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69"/>
      <c r="U545" s="18"/>
      <c r="V545" s="18"/>
      <c r="W545" s="18"/>
      <c r="X545" s="18"/>
      <c r="Y545" s="18"/>
      <c r="Z545" s="18"/>
      <c r="AA545" s="18"/>
      <c r="AB545" s="18"/>
    </row>
    <row r="546" spans="1:28" ht="13.2" x14ac:dyDescent="0.25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69"/>
      <c r="U546" s="18"/>
      <c r="V546" s="18"/>
      <c r="W546" s="18"/>
      <c r="X546" s="18"/>
      <c r="Y546" s="18"/>
      <c r="Z546" s="18"/>
      <c r="AA546" s="18"/>
      <c r="AB546" s="18"/>
    </row>
    <row r="547" spans="1:28" ht="13.2" x14ac:dyDescent="0.25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69"/>
      <c r="U547" s="18"/>
      <c r="V547" s="18"/>
      <c r="W547" s="18"/>
      <c r="X547" s="18"/>
      <c r="Y547" s="18"/>
      <c r="Z547" s="18"/>
      <c r="AA547" s="18"/>
      <c r="AB547" s="18"/>
    </row>
    <row r="548" spans="1:28" ht="13.2" x14ac:dyDescent="0.25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69"/>
      <c r="U548" s="18"/>
      <c r="V548" s="18"/>
      <c r="W548" s="18"/>
      <c r="X548" s="18"/>
      <c r="Y548" s="18"/>
      <c r="Z548" s="18"/>
      <c r="AA548" s="18"/>
      <c r="AB548" s="18"/>
    </row>
    <row r="549" spans="1:28" ht="13.2" x14ac:dyDescent="0.25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69"/>
      <c r="U549" s="18"/>
      <c r="V549" s="18"/>
      <c r="W549" s="18"/>
      <c r="X549" s="18"/>
      <c r="Y549" s="18"/>
      <c r="Z549" s="18"/>
      <c r="AA549" s="18"/>
      <c r="AB549" s="18"/>
    </row>
    <row r="550" spans="1:28" ht="13.2" x14ac:dyDescent="0.25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69"/>
      <c r="U550" s="18"/>
      <c r="V550" s="18"/>
      <c r="W550" s="18"/>
      <c r="X550" s="18"/>
      <c r="Y550" s="18"/>
      <c r="Z550" s="18"/>
      <c r="AA550" s="18"/>
      <c r="AB550" s="18"/>
    </row>
    <row r="551" spans="1:28" ht="13.2" x14ac:dyDescent="0.25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69"/>
      <c r="U551" s="18"/>
      <c r="V551" s="18"/>
      <c r="W551" s="18"/>
      <c r="X551" s="18"/>
      <c r="Y551" s="18"/>
      <c r="Z551" s="18"/>
      <c r="AA551" s="18"/>
      <c r="AB551" s="18"/>
    </row>
    <row r="552" spans="1:28" ht="13.2" x14ac:dyDescent="0.25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69"/>
      <c r="U552" s="18"/>
      <c r="V552" s="18"/>
      <c r="W552" s="18"/>
      <c r="X552" s="18"/>
      <c r="Y552" s="18"/>
      <c r="Z552" s="18"/>
      <c r="AA552" s="18"/>
      <c r="AB552" s="18"/>
    </row>
    <row r="553" spans="1:28" ht="13.2" x14ac:dyDescent="0.25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69"/>
      <c r="U553" s="18"/>
      <c r="V553" s="18"/>
      <c r="W553" s="18"/>
      <c r="X553" s="18"/>
      <c r="Y553" s="18"/>
      <c r="Z553" s="18"/>
      <c r="AA553" s="18"/>
      <c r="AB553" s="18"/>
    </row>
    <row r="554" spans="1:28" ht="13.2" x14ac:dyDescent="0.25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69"/>
      <c r="U554" s="18"/>
      <c r="V554" s="18"/>
      <c r="W554" s="18"/>
      <c r="X554" s="18"/>
      <c r="Y554" s="18"/>
      <c r="Z554" s="18"/>
      <c r="AA554" s="18"/>
      <c r="AB554" s="18"/>
    </row>
    <row r="555" spans="1:28" ht="13.2" x14ac:dyDescent="0.2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69"/>
      <c r="U555" s="18"/>
      <c r="V555" s="18"/>
      <c r="W555" s="18"/>
      <c r="X555" s="18"/>
      <c r="Y555" s="18"/>
      <c r="Z555" s="18"/>
      <c r="AA555" s="18"/>
      <c r="AB555" s="18"/>
    </row>
    <row r="556" spans="1:28" ht="13.2" x14ac:dyDescent="0.25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69"/>
      <c r="U556" s="18"/>
      <c r="V556" s="18"/>
      <c r="W556" s="18"/>
      <c r="X556" s="18"/>
      <c r="Y556" s="18"/>
      <c r="Z556" s="18"/>
      <c r="AA556" s="18"/>
      <c r="AB556" s="18"/>
    </row>
    <row r="557" spans="1:28" ht="13.2" x14ac:dyDescent="0.25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69"/>
      <c r="U557" s="18"/>
      <c r="V557" s="18"/>
      <c r="W557" s="18"/>
      <c r="X557" s="18"/>
      <c r="Y557" s="18"/>
      <c r="Z557" s="18"/>
      <c r="AA557" s="18"/>
      <c r="AB557" s="18"/>
    </row>
    <row r="558" spans="1:28" ht="13.2" x14ac:dyDescent="0.25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69"/>
      <c r="U558" s="18"/>
      <c r="V558" s="18"/>
      <c r="W558" s="18"/>
      <c r="X558" s="18"/>
      <c r="Y558" s="18"/>
      <c r="Z558" s="18"/>
      <c r="AA558" s="18"/>
      <c r="AB558" s="18"/>
    </row>
    <row r="559" spans="1:28" ht="13.2" x14ac:dyDescent="0.25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69"/>
      <c r="U559" s="18"/>
      <c r="V559" s="18"/>
      <c r="W559" s="18"/>
      <c r="X559" s="18"/>
      <c r="Y559" s="18"/>
      <c r="Z559" s="18"/>
      <c r="AA559" s="18"/>
      <c r="AB559" s="18"/>
    </row>
    <row r="560" spans="1:28" ht="13.2" x14ac:dyDescent="0.25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69"/>
      <c r="U560" s="18"/>
      <c r="V560" s="18"/>
      <c r="W560" s="18"/>
      <c r="X560" s="18"/>
      <c r="Y560" s="18"/>
      <c r="Z560" s="18"/>
      <c r="AA560" s="18"/>
      <c r="AB560" s="18"/>
    </row>
    <row r="561" spans="1:28" ht="13.2" x14ac:dyDescent="0.25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69"/>
      <c r="U561" s="18"/>
      <c r="V561" s="18"/>
      <c r="W561" s="18"/>
      <c r="X561" s="18"/>
      <c r="Y561" s="18"/>
      <c r="Z561" s="18"/>
      <c r="AA561" s="18"/>
      <c r="AB561" s="18"/>
    </row>
    <row r="562" spans="1:28" ht="13.2" x14ac:dyDescent="0.25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69"/>
      <c r="U562" s="18"/>
      <c r="V562" s="18"/>
      <c r="W562" s="18"/>
      <c r="X562" s="18"/>
      <c r="Y562" s="18"/>
      <c r="Z562" s="18"/>
      <c r="AA562" s="18"/>
      <c r="AB562" s="18"/>
    </row>
    <row r="563" spans="1:28" ht="13.2" x14ac:dyDescent="0.25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69"/>
      <c r="U563" s="18"/>
      <c r="V563" s="18"/>
      <c r="W563" s="18"/>
      <c r="X563" s="18"/>
      <c r="Y563" s="18"/>
      <c r="Z563" s="18"/>
      <c r="AA563" s="18"/>
      <c r="AB563" s="18"/>
    </row>
    <row r="564" spans="1:28" ht="13.2" x14ac:dyDescent="0.25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69"/>
      <c r="U564" s="18"/>
      <c r="V564" s="18"/>
      <c r="W564" s="18"/>
      <c r="X564" s="18"/>
      <c r="Y564" s="18"/>
      <c r="Z564" s="18"/>
      <c r="AA564" s="18"/>
      <c r="AB564" s="18"/>
    </row>
    <row r="565" spans="1:28" ht="13.2" x14ac:dyDescent="0.2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69"/>
      <c r="U565" s="18"/>
      <c r="V565" s="18"/>
      <c r="W565" s="18"/>
      <c r="X565" s="18"/>
      <c r="Y565" s="18"/>
      <c r="Z565" s="18"/>
      <c r="AA565" s="18"/>
      <c r="AB565" s="18"/>
    </row>
    <row r="566" spans="1:28" ht="13.2" x14ac:dyDescent="0.25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69"/>
      <c r="U566" s="18"/>
      <c r="V566" s="18"/>
      <c r="W566" s="18"/>
      <c r="X566" s="18"/>
      <c r="Y566" s="18"/>
      <c r="Z566" s="18"/>
      <c r="AA566" s="18"/>
      <c r="AB566" s="18"/>
    </row>
    <row r="567" spans="1:28" ht="13.2" x14ac:dyDescent="0.25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69"/>
      <c r="U567" s="18"/>
      <c r="V567" s="18"/>
      <c r="W567" s="18"/>
      <c r="X567" s="18"/>
      <c r="Y567" s="18"/>
      <c r="Z567" s="18"/>
      <c r="AA567" s="18"/>
      <c r="AB567" s="18"/>
    </row>
    <row r="568" spans="1:28" ht="13.2" x14ac:dyDescent="0.25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69"/>
      <c r="U568" s="18"/>
      <c r="V568" s="18"/>
      <c r="W568" s="18"/>
      <c r="X568" s="18"/>
      <c r="Y568" s="18"/>
      <c r="Z568" s="18"/>
      <c r="AA568" s="18"/>
      <c r="AB568" s="18"/>
    </row>
    <row r="569" spans="1:28" ht="13.2" x14ac:dyDescent="0.25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69"/>
      <c r="U569" s="18"/>
      <c r="V569" s="18"/>
      <c r="W569" s="18"/>
      <c r="X569" s="18"/>
      <c r="Y569" s="18"/>
      <c r="Z569" s="18"/>
      <c r="AA569" s="18"/>
      <c r="AB569" s="18"/>
    </row>
    <row r="570" spans="1:28" ht="13.2" x14ac:dyDescent="0.25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69"/>
      <c r="U570" s="18"/>
      <c r="V570" s="18"/>
      <c r="W570" s="18"/>
      <c r="X570" s="18"/>
      <c r="Y570" s="18"/>
      <c r="Z570" s="18"/>
      <c r="AA570" s="18"/>
      <c r="AB570" s="18"/>
    </row>
    <row r="571" spans="1:28" ht="13.2" x14ac:dyDescent="0.25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69"/>
      <c r="U571" s="18"/>
      <c r="V571" s="18"/>
      <c r="W571" s="18"/>
      <c r="X571" s="18"/>
      <c r="Y571" s="18"/>
      <c r="Z571" s="18"/>
      <c r="AA571" s="18"/>
      <c r="AB571" s="18"/>
    </row>
    <row r="572" spans="1:28" ht="13.2" x14ac:dyDescent="0.25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69"/>
      <c r="U572" s="18"/>
      <c r="V572" s="18"/>
      <c r="W572" s="18"/>
      <c r="X572" s="18"/>
      <c r="Y572" s="18"/>
      <c r="Z572" s="18"/>
      <c r="AA572" s="18"/>
      <c r="AB572" s="18"/>
    </row>
    <row r="573" spans="1:28" ht="13.2" x14ac:dyDescent="0.25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69"/>
      <c r="U573" s="18"/>
      <c r="V573" s="18"/>
      <c r="W573" s="18"/>
      <c r="X573" s="18"/>
      <c r="Y573" s="18"/>
      <c r="Z573" s="18"/>
      <c r="AA573" s="18"/>
      <c r="AB573" s="18"/>
    </row>
    <row r="574" spans="1:28" ht="13.2" x14ac:dyDescent="0.25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69"/>
      <c r="U574" s="18"/>
      <c r="V574" s="18"/>
      <c r="W574" s="18"/>
      <c r="X574" s="18"/>
      <c r="Y574" s="18"/>
      <c r="Z574" s="18"/>
      <c r="AA574" s="18"/>
      <c r="AB574" s="18"/>
    </row>
    <row r="575" spans="1:28" ht="13.2" x14ac:dyDescent="0.2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69"/>
      <c r="U575" s="18"/>
      <c r="V575" s="18"/>
      <c r="W575" s="18"/>
      <c r="X575" s="18"/>
      <c r="Y575" s="18"/>
      <c r="Z575" s="18"/>
      <c r="AA575" s="18"/>
      <c r="AB575" s="18"/>
    </row>
    <row r="576" spans="1:28" ht="13.2" x14ac:dyDescent="0.25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69"/>
      <c r="U576" s="18"/>
      <c r="V576" s="18"/>
      <c r="W576" s="18"/>
      <c r="X576" s="18"/>
      <c r="Y576" s="18"/>
      <c r="Z576" s="18"/>
      <c r="AA576" s="18"/>
      <c r="AB576" s="18"/>
    </row>
    <row r="577" spans="1:28" ht="13.2" x14ac:dyDescent="0.25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69"/>
      <c r="U577" s="18"/>
      <c r="V577" s="18"/>
      <c r="W577" s="18"/>
      <c r="X577" s="18"/>
      <c r="Y577" s="18"/>
      <c r="Z577" s="18"/>
      <c r="AA577" s="18"/>
      <c r="AB577" s="18"/>
    </row>
    <row r="578" spans="1:28" ht="13.2" x14ac:dyDescent="0.25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69"/>
      <c r="U578" s="18"/>
      <c r="V578" s="18"/>
      <c r="W578" s="18"/>
      <c r="X578" s="18"/>
      <c r="Y578" s="18"/>
      <c r="Z578" s="18"/>
      <c r="AA578" s="18"/>
      <c r="AB578" s="18"/>
    </row>
    <row r="579" spans="1:28" ht="13.2" x14ac:dyDescent="0.25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69"/>
      <c r="U579" s="18"/>
      <c r="V579" s="18"/>
      <c r="W579" s="18"/>
      <c r="X579" s="18"/>
      <c r="Y579" s="18"/>
      <c r="Z579" s="18"/>
      <c r="AA579" s="18"/>
      <c r="AB579" s="18"/>
    </row>
    <row r="580" spans="1:28" ht="13.2" x14ac:dyDescent="0.25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69"/>
      <c r="U580" s="18"/>
      <c r="V580" s="18"/>
      <c r="W580" s="18"/>
      <c r="X580" s="18"/>
      <c r="Y580" s="18"/>
      <c r="Z580" s="18"/>
      <c r="AA580" s="18"/>
      <c r="AB580" s="18"/>
    </row>
    <row r="581" spans="1:28" ht="13.2" x14ac:dyDescent="0.25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69"/>
      <c r="U581" s="18"/>
      <c r="V581" s="18"/>
      <c r="W581" s="18"/>
      <c r="X581" s="18"/>
      <c r="Y581" s="18"/>
      <c r="Z581" s="18"/>
      <c r="AA581" s="18"/>
      <c r="AB581" s="18"/>
    </row>
    <row r="582" spans="1:28" ht="13.2" x14ac:dyDescent="0.25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69"/>
      <c r="U582" s="18"/>
      <c r="V582" s="18"/>
      <c r="W582" s="18"/>
      <c r="X582" s="18"/>
      <c r="Y582" s="18"/>
      <c r="Z582" s="18"/>
      <c r="AA582" s="18"/>
      <c r="AB582" s="18"/>
    </row>
    <row r="583" spans="1:28" ht="13.2" x14ac:dyDescent="0.25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69"/>
      <c r="U583" s="18"/>
      <c r="V583" s="18"/>
      <c r="W583" s="18"/>
      <c r="X583" s="18"/>
      <c r="Y583" s="18"/>
      <c r="Z583" s="18"/>
      <c r="AA583" s="18"/>
      <c r="AB583" s="18"/>
    </row>
    <row r="584" spans="1:28" ht="13.2" x14ac:dyDescent="0.25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69"/>
      <c r="U584" s="18"/>
      <c r="V584" s="18"/>
      <c r="W584" s="18"/>
      <c r="X584" s="18"/>
      <c r="Y584" s="18"/>
      <c r="Z584" s="18"/>
      <c r="AA584" s="18"/>
      <c r="AB584" s="18"/>
    </row>
    <row r="585" spans="1:28" ht="13.2" x14ac:dyDescent="0.2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69"/>
      <c r="U585" s="18"/>
      <c r="V585" s="18"/>
      <c r="W585" s="18"/>
      <c r="X585" s="18"/>
      <c r="Y585" s="18"/>
      <c r="Z585" s="18"/>
      <c r="AA585" s="18"/>
      <c r="AB585" s="18"/>
    </row>
    <row r="586" spans="1:28" ht="13.2" x14ac:dyDescent="0.25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69"/>
      <c r="U586" s="18"/>
      <c r="V586" s="18"/>
      <c r="W586" s="18"/>
      <c r="X586" s="18"/>
      <c r="Y586" s="18"/>
      <c r="Z586" s="18"/>
      <c r="AA586" s="18"/>
      <c r="AB586" s="18"/>
    </row>
    <row r="587" spans="1:28" ht="13.2" x14ac:dyDescent="0.25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69"/>
      <c r="U587" s="18"/>
      <c r="V587" s="18"/>
      <c r="W587" s="18"/>
      <c r="X587" s="18"/>
      <c r="Y587" s="18"/>
      <c r="Z587" s="18"/>
      <c r="AA587" s="18"/>
      <c r="AB587" s="18"/>
    </row>
    <row r="588" spans="1:28" ht="13.2" x14ac:dyDescent="0.25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69"/>
      <c r="U588" s="18"/>
      <c r="V588" s="18"/>
      <c r="W588" s="18"/>
      <c r="X588" s="18"/>
      <c r="Y588" s="18"/>
      <c r="Z588" s="18"/>
      <c r="AA588" s="18"/>
      <c r="AB588" s="18"/>
    </row>
    <row r="589" spans="1:28" ht="13.2" x14ac:dyDescent="0.25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69"/>
      <c r="U589" s="18"/>
      <c r="V589" s="18"/>
      <c r="W589" s="18"/>
      <c r="X589" s="18"/>
      <c r="Y589" s="18"/>
      <c r="Z589" s="18"/>
      <c r="AA589" s="18"/>
      <c r="AB589" s="18"/>
    </row>
    <row r="590" spans="1:28" ht="13.2" x14ac:dyDescent="0.25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69"/>
      <c r="U590" s="18"/>
      <c r="V590" s="18"/>
      <c r="W590" s="18"/>
      <c r="X590" s="18"/>
      <c r="Y590" s="18"/>
      <c r="Z590" s="18"/>
      <c r="AA590" s="18"/>
      <c r="AB590" s="18"/>
    </row>
    <row r="591" spans="1:28" ht="13.2" x14ac:dyDescent="0.25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69"/>
      <c r="U591" s="18"/>
      <c r="V591" s="18"/>
      <c r="W591" s="18"/>
      <c r="X591" s="18"/>
      <c r="Y591" s="18"/>
      <c r="Z591" s="18"/>
      <c r="AA591" s="18"/>
      <c r="AB591" s="18"/>
    </row>
    <row r="592" spans="1:28" ht="13.2" x14ac:dyDescent="0.25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69"/>
      <c r="U592" s="18"/>
      <c r="V592" s="18"/>
      <c r="W592" s="18"/>
      <c r="X592" s="18"/>
      <c r="Y592" s="18"/>
      <c r="Z592" s="18"/>
      <c r="AA592" s="18"/>
      <c r="AB592" s="18"/>
    </row>
    <row r="593" spans="1:28" ht="13.2" x14ac:dyDescent="0.25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69"/>
      <c r="U593" s="18"/>
      <c r="V593" s="18"/>
      <c r="W593" s="18"/>
      <c r="X593" s="18"/>
      <c r="Y593" s="18"/>
      <c r="Z593" s="18"/>
      <c r="AA593" s="18"/>
      <c r="AB593" s="18"/>
    </row>
    <row r="594" spans="1:28" ht="13.2" x14ac:dyDescent="0.25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69"/>
      <c r="U594" s="18"/>
      <c r="V594" s="18"/>
      <c r="W594" s="18"/>
      <c r="X594" s="18"/>
      <c r="Y594" s="18"/>
      <c r="Z594" s="18"/>
      <c r="AA594" s="18"/>
      <c r="AB594" s="18"/>
    </row>
    <row r="595" spans="1:28" ht="13.2" x14ac:dyDescent="0.2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69"/>
      <c r="U595" s="18"/>
      <c r="V595" s="18"/>
      <c r="W595" s="18"/>
      <c r="X595" s="18"/>
      <c r="Y595" s="18"/>
      <c r="Z595" s="18"/>
      <c r="AA595" s="18"/>
      <c r="AB595" s="18"/>
    </row>
    <row r="596" spans="1:28" ht="13.2" x14ac:dyDescent="0.25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69"/>
      <c r="U596" s="18"/>
      <c r="V596" s="18"/>
      <c r="W596" s="18"/>
      <c r="X596" s="18"/>
      <c r="Y596" s="18"/>
      <c r="Z596" s="18"/>
      <c r="AA596" s="18"/>
      <c r="AB596" s="18"/>
    </row>
    <row r="597" spans="1:28" ht="13.2" x14ac:dyDescent="0.25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69"/>
      <c r="U597" s="18"/>
      <c r="V597" s="18"/>
      <c r="W597" s="18"/>
      <c r="X597" s="18"/>
      <c r="Y597" s="18"/>
      <c r="Z597" s="18"/>
      <c r="AA597" s="18"/>
      <c r="AB597" s="18"/>
    </row>
    <row r="598" spans="1:28" ht="13.2" x14ac:dyDescent="0.25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69"/>
      <c r="U598" s="18"/>
      <c r="V598" s="18"/>
      <c r="W598" s="18"/>
      <c r="X598" s="18"/>
      <c r="Y598" s="18"/>
      <c r="Z598" s="18"/>
      <c r="AA598" s="18"/>
      <c r="AB598" s="18"/>
    </row>
    <row r="599" spans="1:28" ht="13.2" x14ac:dyDescent="0.25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69"/>
      <c r="U599" s="18"/>
      <c r="V599" s="18"/>
      <c r="W599" s="18"/>
      <c r="X599" s="18"/>
      <c r="Y599" s="18"/>
      <c r="Z599" s="18"/>
      <c r="AA599" s="18"/>
      <c r="AB599" s="18"/>
    </row>
    <row r="600" spans="1:28" ht="13.2" x14ac:dyDescent="0.25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69"/>
      <c r="U600" s="18"/>
      <c r="V600" s="18"/>
      <c r="W600" s="18"/>
      <c r="X600" s="18"/>
      <c r="Y600" s="18"/>
      <c r="Z600" s="18"/>
      <c r="AA600" s="18"/>
      <c r="AB600" s="18"/>
    </row>
    <row r="601" spans="1:28" ht="13.2" x14ac:dyDescent="0.25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69"/>
      <c r="U601" s="18"/>
      <c r="V601" s="18"/>
      <c r="W601" s="18"/>
      <c r="X601" s="18"/>
      <c r="Y601" s="18"/>
      <c r="Z601" s="18"/>
      <c r="AA601" s="18"/>
      <c r="AB601" s="18"/>
    </row>
    <row r="602" spans="1:28" ht="13.2" x14ac:dyDescent="0.25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69"/>
      <c r="U602" s="18"/>
      <c r="V602" s="18"/>
      <c r="W602" s="18"/>
      <c r="X602" s="18"/>
      <c r="Y602" s="18"/>
      <c r="Z602" s="18"/>
      <c r="AA602" s="18"/>
      <c r="AB602" s="18"/>
    </row>
    <row r="603" spans="1:28" ht="13.2" x14ac:dyDescent="0.25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69"/>
      <c r="U603" s="18"/>
      <c r="V603" s="18"/>
      <c r="W603" s="18"/>
      <c r="X603" s="18"/>
      <c r="Y603" s="18"/>
      <c r="Z603" s="18"/>
      <c r="AA603" s="18"/>
      <c r="AB603" s="18"/>
    </row>
    <row r="604" spans="1:28" ht="13.2" x14ac:dyDescent="0.25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69"/>
      <c r="U604" s="18"/>
      <c r="V604" s="18"/>
      <c r="W604" s="18"/>
      <c r="X604" s="18"/>
      <c r="Y604" s="18"/>
      <c r="Z604" s="18"/>
      <c r="AA604" s="18"/>
      <c r="AB604" s="18"/>
    </row>
    <row r="605" spans="1:28" ht="13.2" x14ac:dyDescent="0.2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69"/>
      <c r="U605" s="18"/>
      <c r="V605" s="18"/>
      <c r="W605" s="18"/>
      <c r="X605" s="18"/>
      <c r="Y605" s="18"/>
      <c r="Z605" s="18"/>
      <c r="AA605" s="18"/>
      <c r="AB605" s="18"/>
    </row>
    <row r="606" spans="1:28" ht="13.2" x14ac:dyDescent="0.25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69"/>
      <c r="U606" s="18"/>
      <c r="V606" s="18"/>
      <c r="W606" s="18"/>
      <c r="X606" s="18"/>
      <c r="Y606" s="18"/>
      <c r="Z606" s="18"/>
      <c r="AA606" s="18"/>
      <c r="AB606" s="18"/>
    </row>
    <row r="607" spans="1:28" ht="13.2" x14ac:dyDescent="0.25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69"/>
      <c r="U607" s="18"/>
      <c r="V607" s="18"/>
      <c r="W607" s="18"/>
      <c r="X607" s="18"/>
      <c r="Y607" s="18"/>
      <c r="Z607" s="18"/>
      <c r="AA607" s="18"/>
      <c r="AB607" s="18"/>
    </row>
    <row r="608" spans="1:28" ht="13.2" x14ac:dyDescent="0.25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69"/>
      <c r="U608" s="18"/>
      <c r="V608" s="18"/>
      <c r="W608" s="18"/>
      <c r="X608" s="18"/>
      <c r="Y608" s="18"/>
      <c r="Z608" s="18"/>
      <c r="AA608" s="18"/>
      <c r="AB608" s="18"/>
    </row>
    <row r="609" spans="1:28" ht="13.2" x14ac:dyDescent="0.25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69"/>
      <c r="U609" s="18"/>
      <c r="V609" s="18"/>
      <c r="W609" s="18"/>
      <c r="X609" s="18"/>
      <c r="Y609" s="18"/>
      <c r="Z609" s="18"/>
      <c r="AA609" s="18"/>
      <c r="AB609" s="18"/>
    </row>
    <row r="610" spans="1:28" ht="13.2" x14ac:dyDescent="0.25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69"/>
      <c r="U610" s="18"/>
      <c r="V610" s="18"/>
      <c r="W610" s="18"/>
      <c r="X610" s="18"/>
      <c r="Y610" s="18"/>
      <c r="Z610" s="18"/>
      <c r="AA610" s="18"/>
      <c r="AB610" s="18"/>
    </row>
    <row r="611" spans="1:28" ht="13.2" x14ac:dyDescent="0.25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69"/>
      <c r="U611" s="18"/>
      <c r="V611" s="18"/>
      <c r="W611" s="18"/>
      <c r="X611" s="18"/>
      <c r="Y611" s="18"/>
      <c r="Z611" s="18"/>
      <c r="AA611" s="18"/>
      <c r="AB611" s="18"/>
    </row>
    <row r="612" spans="1:28" ht="13.2" x14ac:dyDescent="0.25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69"/>
      <c r="U612" s="18"/>
      <c r="V612" s="18"/>
      <c r="W612" s="18"/>
      <c r="X612" s="18"/>
      <c r="Y612" s="18"/>
      <c r="Z612" s="18"/>
      <c r="AA612" s="18"/>
      <c r="AB612" s="18"/>
    </row>
    <row r="613" spans="1:28" ht="13.2" x14ac:dyDescent="0.25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69"/>
      <c r="U613" s="18"/>
      <c r="V613" s="18"/>
      <c r="W613" s="18"/>
      <c r="X613" s="18"/>
      <c r="Y613" s="18"/>
      <c r="Z613" s="18"/>
      <c r="AA613" s="18"/>
      <c r="AB613" s="18"/>
    </row>
    <row r="614" spans="1:28" ht="13.2" x14ac:dyDescent="0.25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69"/>
      <c r="U614" s="18"/>
      <c r="V614" s="18"/>
      <c r="W614" s="18"/>
      <c r="X614" s="18"/>
      <c r="Y614" s="18"/>
      <c r="Z614" s="18"/>
      <c r="AA614" s="18"/>
      <c r="AB614" s="18"/>
    </row>
    <row r="615" spans="1:28" ht="13.2" x14ac:dyDescent="0.2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69"/>
      <c r="U615" s="18"/>
      <c r="V615" s="18"/>
      <c r="W615" s="18"/>
      <c r="X615" s="18"/>
      <c r="Y615" s="18"/>
      <c r="Z615" s="18"/>
      <c r="AA615" s="18"/>
      <c r="AB615" s="18"/>
    </row>
    <row r="616" spans="1:28" ht="13.2" x14ac:dyDescent="0.25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69"/>
      <c r="U616" s="18"/>
      <c r="V616" s="18"/>
      <c r="W616" s="18"/>
      <c r="X616" s="18"/>
      <c r="Y616" s="18"/>
      <c r="Z616" s="18"/>
      <c r="AA616" s="18"/>
      <c r="AB616" s="18"/>
    </row>
    <row r="617" spans="1:28" ht="13.2" x14ac:dyDescent="0.25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69"/>
      <c r="U617" s="18"/>
      <c r="V617" s="18"/>
      <c r="W617" s="18"/>
      <c r="X617" s="18"/>
      <c r="Y617" s="18"/>
      <c r="Z617" s="18"/>
      <c r="AA617" s="18"/>
      <c r="AB617" s="18"/>
    </row>
    <row r="618" spans="1:28" ht="13.2" x14ac:dyDescent="0.25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69"/>
      <c r="U618" s="18"/>
      <c r="V618" s="18"/>
      <c r="W618" s="18"/>
      <c r="X618" s="18"/>
      <c r="Y618" s="18"/>
      <c r="Z618" s="18"/>
      <c r="AA618" s="18"/>
      <c r="AB618" s="18"/>
    </row>
    <row r="619" spans="1:28" ht="13.2" x14ac:dyDescent="0.25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69"/>
      <c r="U619" s="18"/>
      <c r="V619" s="18"/>
      <c r="W619" s="18"/>
      <c r="X619" s="18"/>
      <c r="Y619" s="18"/>
      <c r="Z619" s="18"/>
      <c r="AA619" s="18"/>
      <c r="AB619" s="18"/>
    </row>
    <row r="620" spans="1:28" ht="13.2" x14ac:dyDescent="0.25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69"/>
      <c r="U620" s="18"/>
      <c r="V620" s="18"/>
      <c r="W620" s="18"/>
      <c r="X620" s="18"/>
      <c r="Y620" s="18"/>
      <c r="Z620" s="18"/>
      <c r="AA620" s="18"/>
      <c r="AB620" s="18"/>
    </row>
    <row r="621" spans="1:28" ht="13.2" x14ac:dyDescent="0.25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69"/>
      <c r="U621" s="18"/>
      <c r="V621" s="18"/>
      <c r="W621" s="18"/>
      <c r="X621" s="18"/>
      <c r="Y621" s="18"/>
      <c r="Z621" s="18"/>
      <c r="AA621" s="18"/>
      <c r="AB621" s="18"/>
    </row>
    <row r="622" spans="1:28" ht="13.2" x14ac:dyDescent="0.25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69"/>
      <c r="U622" s="18"/>
      <c r="V622" s="18"/>
      <c r="W622" s="18"/>
      <c r="X622" s="18"/>
      <c r="Y622" s="18"/>
      <c r="Z622" s="18"/>
      <c r="AA622" s="18"/>
      <c r="AB622" s="18"/>
    </row>
    <row r="623" spans="1:28" ht="13.2" x14ac:dyDescent="0.25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69"/>
      <c r="U623" s="18"/>
      <c r="V623" s="18"/>
      <c r="W623" s="18"/>
      <c r="X623" s="18"/>
      <c r="Y623" s="18"/>
      <c r="Z623" s="18"/>
      <c r="AA623" s="18"/>
      <c r="AB623" s="18"/>
    </row>
    <row r="624" spans="1:28" ht="13.2" x14ac:dyDescent="0.25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69"/>
      <c r="U624" s="18"/>
      <c r="V624" s="18"/>
      <c r="W624" s="18"/>
      <c r="X624" s="18"/>
      <c r="Y624" s="18"/>
      <c r="Z624" s="18"/>
      <c r="AA624" s="18"/>
      <c r="AB624" s="18"/>
    </row>
    <row r="625" spans="1:28" ht="13.2" x14ac:dyDescent="0.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69"/>
      <c r="U625" s="18"/>
      <c r="V625" s="18"/>
      <c r="W625" s="18"/>
      <c r="X625" s="18"/>
      <c r="Y625" s="18"/>
      <c r="Z625" s="18"/>
      <c r="AA625" s="18"/>
      <c r="AB625" s="18"/>
    </row>
    <row r="626" spans="1:28" ht="13.2" x14ac:dyDescent="0.25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69"/>
      <c r="U626" s="18"/>
      <c r="V626" s="18"/>
      <c r="W626" s="18"/>
      <c r="X626" s="18"/>
      <c r="Y626" s="18"/>
      <c r="Z626" s="18"/>
      <c r="AA626" s="18"/>
      <c r="AB626" s="18"/>
    </row>
    <row r="627" spans="1:28" ht="13.2" x14ac:dyDescent="0.25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69"/>
      <c r="U627" s="18"/>
      <c r="V627" s="18"/>
      <c r="W627" s="18"/>
      <c r="X627" s="18"/>
      <c r="Y627" s="18"/>
      <c r="Z627" s="18"/>
      <c r="AA627" s="18"/>
      <c r="AB627" s="18"/>
    </row>
    <row r="628" spans="1:28" ht="13.2" x14ac:dyDescent="0.25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69"/>
      <c r="U628" s="18"/>
      <c r="V628" s="18"/>
      <c r="W628" s="18"/>
      <c r="X628" s="18"/>
      <c r="Y628" s="18"/>
      <c r="Z628" s="18"/>
      <c r="AA628" s="18"/>
      <c r="AB628" s="18"/>
    </row>
    <row r="629" spans="1:28" ht="13.2" x14ac:dyDescent="0.25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69"/>
      <c r="U629" s="18"/>
      <c r="V629" s="18"/>
      <c r="W629" s="18"/>
      <c r="X629" s="18"/>
      <c r="Y629" s="18"/>
      <c r="Z629" s="18"/>
      <c r="AA629" s="18"/>
      <c r="AB629" s="18"/>
    </row>
    <row r="630" spans="1:28" ht="13.2" x14ac:dyDescent="0.25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69"/>
      <c r="U630" s="18"/>
      <c r="V630" s="18"/>
      <c r="W630" s="18"/>
      <c r="X630" s="18"/>
      <c r="Y630" s="18"/>
      <c r="Z630" s="18"/>
      <c r="AA630" s="18"/>
      <c r="AB630" s="18"/>
    </row>
    <row r="631" spans="1:28" ht="13.2" x14ac:dyDescent="0.25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69"/>
      <c r="U631" s="18"/>
      <c r="V631" s="18"/>
      <c r="W631" s="18"/>
      <c r="X631" s="18"/>
      <c r="Y631" s="18"/>
      <c r="Z631" s="18"/>
      <c r="AA631" s="18"/>
      <c r="AB631" s="18"/>
    </row>
    <row r="632" spans="1:28" ht="13.2" x14ac:dyDescent="0.25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69"/>
      <c r="U632" s="18"/>
      <c r="V632" s="18"/>
      <c r="W632" s="18"/>
      <c r="X632" s="18"/>
      <c r="Y632" s="18"/>
      <c r="Z632" s="18"/>
      <c r="AA632" s="18"/>
      <c r="AB632" s="18"/>
    </row>
    <row r="633" spans="1:28" ht="13.2" x14ac:dyDescent="0.25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69"/>
      <c r="U633" s="18"/>
      <c r="V633" s="18"/>
      <c r="W633" s="18"/>
      <c r="X633" s="18"/>
      <c r="Y633" s="18"/>
      <c r="Z633" s="18"/>
      <c r="AA633" s="18"/>
      <c r="AB633" s="18"/>
    </row>
    <row r="634" spans="1:28" ht="13.2" x14ac:dyDescent="0.25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69"/>
      <c r="U634" s="18"/>
      <c r="V634" s="18"/>
      <c r="W634" s="18"/>
      <c r="X634" s="18"/>
      <c r="Y634" s="18"/>
      <c r="Z634" s="18"/>
      <c r="AA634" s="18"/>
      <c r="AB634" s="18"/>
    </row>
    <row r="635" spans="1:28" ht="13.2" x14ac:dyDescent="0.2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69"/>
      <c r="U635" s="18"/>
      <c r="V635" s="18"/>
      <c r="W635" s="18"/>
      <c r="X635" s="18"/>
      <c r="Y635" s="18"/>
      <c r="Z635" s="18"/>
      <c r="AA635" s="18"/>
      <c r="AB635" s="18"/>
    </row>
    <row r="636" spans="1:28" ht="13.2" x14ac:dyDescent="0.25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69"/>
      <c r="U636" s="18"/>
      <c r="V636" s="18"/>
      <c r="W636" s="18"/>
      <c r="X636" s="18"/>
      <c r="Y636" s="18"/>
      <c r="Z636" s="18"/>
      <c r="AA636" s="18"/>
      <c r="AB636" s="18"/>
    </row>
    <row r="637" spans="1:28" ht="13.2" x14ac:dyDescent="0.25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69"/>
      <c r="U637" s="18"/>
      <c r="V637" s="18"/>
      <c r="W637" s="18"/>
      <c r="X637" s="18"/>
      <c r="Y637" s="18"/>
      <c r="Z637" s="18"/>
      <c r="AA637" s="18"/>
      <c r="AB637" s="18"/>
    </row>
    <row r="638" spans="1:28" ht="13.2" x14ac:dyDescent="0.25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69"/>
      <c r="U638" s="18"/>
      <c r="V638" s="18"/>
      <c r="W638" s="18"/>
      <c r="X638" s="18"/>
      <c r="Y638" s="18"/>
      <c r="Z638" s="18"/>
      <c r="AA638" s="18"/>
      <c r="AB638" s="18"/>
    </row>
    <row r="639" spans="1:28" ht="13.2" x14ac:dyDescent="0.25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69"/>
      <c r="U639" s="18"/>
      <c r="V639" s="18"/>
      <c r="W639" s="18"/>
      <c r="X639" s="18"/>
      <c r="Y639" s="18"/>
      <c r="Z639" s="18"/>
      <c r="AA639" s="18"/>
      <c r="AB639" s="18"/>
    </row>
    <row r="640" spans="1:28" ht="13.2" x14ac:dyDescent="0.25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69"/>
      <c r="U640" s="18"/>
      <c r="V640" s="18"/>
      <c r="W640" s="18"/>
      <c r="X640" s="18"/>
      <c r="Y640" s="18"/>
      <c r="Z640" s="18"/>
      <c r="AA640" s="18"/>
      <c r="AB640" s="18"/>
    </row>
    <row r="641" spans="1:28" ht="13.2" x14ac:dyDescent="0.25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69"/>
      <c r="U641" s="18"/>
      <c r="V641" s="18"/>
      <c r="W641" s="18"/>
      <c r="X641" s="18"/>
      <c r="Y641" s="18"/>
      <c r="Z641" s="18"/>
      <c r="AA641" s="18"/>
      <c r="AB641" s="18"/>
    </row>
    <row r="642" spans="1:28" ht="13.2" x14ac:dyDescent="0.25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69"/>
      <c r="U642" s="18"/>
      <c r="V642" s="18"/>
      <c r="W642" s="18"/>
      <c r="X642" s="18"/>
      <c r="Y642" s="18"/>
      <c r="Z642" s="18"/>
      <c r="AA642" s="18"/>
      <c r="AB642" s="18"/>
    </row>
    <row r="643" spans="1:28" ht="13.2" x14ac:dyDescent="0.25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69"/>
      <c r="U643" s="18"/>
      <c r="V643" s="18"/>
      <c r="W643" s="18"/>
      <c r="X643" s="18"/>
      <c r="Y643" s="18"/>
      <c r="Z643" s="18"/>
      <c r="AA643" s="18"/>
      <c r="AB643" s="18"/>
    </row>
    <row r="644" spans="1:28" ht="13.2" x14ac:dyDescent="0.25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69"/>
      <c r="U644" s="18"/>
      <c r="V644" s="18"/>
      <c r="W644" s="18"/>
      <c r="X644" s="18"/>
      <c r="Y644" s="18"/>
      <c r="Z644" s="18"/>
      <c r="AA644" s="18"/>
      <c r="AB644" s="18"/>
    </row>
    <row r="645" spans="1:28" ht="13.2" x14ac:dyDescent="0.2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69"/>
      <c r="U645" s="18"/>
      <c r="V645" s="18"/>
      <c r="W645" s="18"/>
      <c r="X645" s="18"/>
      <c r="Y645" s="18"/>
      <c r="Z645" s="18"/>
      <c r="AA645" s="18"/>
      <c r="AB645" s="18"/>
    </row>
    <row r="646" spans="1:28" ht="13.2" x14ac:dyDescent="0.25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69"/>
      <c r="U646" s="18"/>
      <c r="V646" s="18"/>
      <c r="W646" s="18"/>
      <c r="X646" s="18"/>
      <c r="Y646" s="18"/>
      <c r="Z646" s="18"/>
      <c r="AA646" s="18"/>
      <c r="AB646" s="18"/>
    </row>
    <row r="647" spans="1:28" ht="13.2" x14ac:dyDescent="0.25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69"/>
      <c r="U647" s="18"/>
      <c r="V647" s="18"/>
      <c r="W647" s="18"/>
      <c r="X647" s="18"/>
      <c r="Y647" s="18"/>
      <c r="Z647" s="18"/>
      <c r="AA647" s="18"/>
      <c r="AB647" s="18"/>
    </row>
    <row r="648" spans="1:28" ht="13.2" x14ac:dyDescent="0.25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69"/>
      <c r="U648" s="18"/>
      <c r="V648" s="18"/>
      <c r="W648" s="18"/>
      <c r="X648" s="18"/>
      <c r="Y648" s="18"/>
      <c r="Z648" s="18"/>
      <c r="AA648" s="18"/>
      <c r="AB648" s="18"/>
    </row>
    <row r="649" spans="1:28" ht="13.2" x14ac:dyDescent="0.25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69"/>
      <c r="U649" s="18"/>
      <c r="V649" s="18"/>
      <c r="W649" s="18"/>
      <c r="X649" s="18"/>
      <c r="Y649" s="18"/>
      <c r="Z649" s="18"/>
      <c r="AA649" s="18"/>
      <c r="AB649" s="18"/>
    </row>
    <row r="650" spans="1:28" ht="13.2" x14ac:dyDescent="0.25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69"/>
      <c r="U650" s="18"/>
      <c r="V650" s="18"/>
      <c r="W650" s="18"/>
      <c r="X650" s="18"/>
      <c r="Y650" s="18"/>
      <c r="Z650" s="18"/>
      <c r="AA650" s="18"/>
      <c r="AB650" s="18"/>
    </row>
    <row r="651" spans="1:28" ht="13.2" x14ac:dyDescent="0.25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69"/>
      <c r="U651" s="18"/>
      <c r="V651" s="18"/>
      <c r="W651" s="18"/>
      <c r="X651" s="18"/>
      <c r="Y651" s="18"/>
      <c r="Z651" s="18"/>
      <c r="AA651" s="18"/>
      <c r="AB651" s="18"/>
    </row>
    <row r="652" spans="1:28" ht="13.2" x14ac:dyDescent="0.25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69"/>
      <c r="U652" s="18"/>
      <c r="V652" s="18"/>
      <c r="W652" s="18"/>
      <c r="X652" s="18"/>
      <c r="Y652" s="18"/>
      <c r="Z652" s="18"/>
      <c r="AA652" s="18"/>
      <c r="AB652" s="18"/>
    </row>
    <row r="653" spans="1:28" ht="13.2" x14ac:dyDescent="0.25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69"/>
      <c r="U653" s="18"/>
      <c r="V653" s="18"/>
      <c r="W653" s="18"/>
      <c r="X653" s="18"/>
      <c r="Y653" s="18"/>
      <c r="Z653" s="18"/>
      <c r="AA653" s="18"/>
      <c r="AB653" s="18"/>
    </row>
    <row r="654" spans="1:28" ht="13.2" x14ac:dyDescent="0.25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69"/>
      <c r="U654" s="18"/>
      <c r="V654" s="18"/>
      <c r="W654" s="18"/>
      <c r="X654" s="18"/>
      <c r="Y654" s="18"/>
      <c r="Z654" s="18"/>
      <c r="AA654" s="18"/>
      <c r="AB654" s="18"/>
    </row>
    <row r="655" spans="1:28" ht="13.2" x14ac:dyDescent="0.2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69"/>
      <c r="U655" s="18"/>
      <c r="V655" s="18"/>
      <c r="W655" s="18"/>
      <c r="X655" s="18"/>
      <c r="Y655" s="18"/>
      <c r="Z655" s="18"/>
      <c r="AA655" s="18"/>
      <c r="AB655" s="18"/>
    </row>
    <row r="656" spans="1:28" ht="13.2" x14ac:dyDescent="0.25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69"/>
      <c r="U656" s="18"/>
      <c r="V656" s="18"/>
      <c r="W656" s="18"/>
      <c r="X656" s="18"/>
      <c r="Y656" s="18"/>
      <c r="Z656" s="18"/>
      <c r="AA656" s="18"/>
      <c r="AB656" s="18"/>
    </row>
    <row r="657" spans="1:28" ht="13.2" x14ac:dyDescent="0.25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69"/>
      <c r="U657" s="18"/>
      <c r="V657" s="18"/>
      <c r="W657" s="18"/>
      <c r="X657" s="18"/>
      <c r="Y657" s="18"/>
      <c r="Z657" s="18"/>
      <c r="AA657" s="18"/>
      <c r="AB657" s="18"/>
    </row>
    <row r="658" spans="1:28" ht="13.2" x14ac:dyDescent="0.25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69"/>
      <c r="U658" s="18"/>
      <c r="V658" s="18"/>
      <c r="W658" s="18"/>
      <c r="X658" s="18"/>
      <c r="Y658" s="18"/>
      <c r="Z658" s="18"/>
      <c r="AA658" s="18"/>
      <c r="AB658" s="18"/>
    </row>
    <row r="659" spans="1:28" ht="13.2" x14ac:dyDescent="0.25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69"/>
      <c r="U659" s="18"/>
      <c r="V659" s="18"/>
      <c r="W659" s="18"/>
      <c r="X659" s="18"/>
      <c r="Y659" s="18"/>
      <c r="Z659" s="18"/>
      <c r="AA659" s="18"/>
      <c r="AB659" s="18"/>
    </row>
    <row r="660" spans="1:28" ht="13.2" x14ac:dyDescent="0.25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69"/>
      <c r="U660" s="18"/>
      <c r="V660" s="18"/>
      <c r="W660" s="18"/>
      <c r="X660" s="18"/>
      <c r="Y660" s="18"/>
      <c r="Z660" s="18"/>
      <c r="AA660" s="18"/>
      <c r="AB660" s="18"/>
    </row>
    <row r="661" spans="1:28" ht="13.2" x14ac:dyDescent="0.25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69"/>
      <c r="U661" s="18"/>
      <c r="V661" s="18"/>
      <c r="W661" s="18"/>
      <c r="X661" s="18"/>
      <c r="Y661" s="18"/>
      <c r="Z661" s="18"/>
      <c r="AA661" s="18"/>
      <c r="AB661" s="18"/>
    </row>
    <row r="662" spans="1:28" ht="13.2" x14ac:dyDescent="0.25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69"/>
      <c r="U662" s="18"/>
      <c r="V662" s="18"/>
      <c r="W662" s="18"/>
      <c r="X662" s="18"/>
      <c r="Y662" s="18"/>
      <c r="Z662" s="18"/>
      <c r="AA662" s="18"/>
      <c r="AB662" s="18"/>
    </row>
    <row r="663" spans="1:28" ht="13.2" x14ac:dyDescent="0.25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69"/>
      <c r="U663" s="18"/>
      <c r="V663" s="18"/>
      <c r="W663" s="18"/>
      <c r="X663" s="18"/>
      <c r="Y663" s="18"/>
      <c r="Z663" s="18"/>
      <c r="AA663" s="18"/>
      <c r="AB663" s="18"/>
    </row>
    <row r="664" spans="1:28" ht="13.2" x14ac:dyDescent="0.25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69"/>
      <c r="U664" s="18"/>
      <c r="V664" s="18"/>
      <c r="W664" s="18"/>
      <c r="X664" s="18"/>
      <c r="Y664" s="18"/>
      <c r="Z664" s="18"/>
      <c r="AA664" s="18"/>
      <c r="AB664" s="18"/>
    </row>
    <row r="665" spans="1:28" ht="13.2" x14ac:dyDescent="0.2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69"/>
      <c r="U665" s="18"/>
      <c r="V665" s="18"/>
      <c r="W665" s="18"/>
      <c r="X665" s="18"/>
      <c r="Y665" s="18"/>
      <c r="Z665" s="18"/>
      <c r="AA665" s="18"/>
      <c r="AB665" s="18"/>
    </row>
    <row r="666" spans="1:28" ht="13.2" x14ac:dyDescent="0.25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69"/>
      <c r="U666" s="18"/>
      <c r="V666" s="18"/>
      <c r="W666" s="18"/>
      <c r="X666" s="18"/>
      <c r="Y666" s="18"/>
      <c r="Z666" s="18"/>
      <c r="AA666" s="18"/>
      <c r="AB666" s="18"/>
    </row>
    <row r="667" spans="1:28" ht="13.2" x14ac:dyDescent="0.25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69"/>
      <c r="U667" s="18"/>
      <c r="V667" s="18"/>
      <c r="W667" s="18"/>
      <c r="X667" s="18"/>
      <c r="Y667" s="18"/>
      <c r="Z667" s="18"/>
      <c r="AA667" s="18"/>
      <c r="AB667" s="18"/>
    </row>
    <row r="668" spans="1:28" ht="13.2" x14ac:dyDescent="0.25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69"/>
      <c r="U668" s="18"/>
      <c r="V668" s="18"/>
      <c r="W668" s="18"/>
      <c r="X668" s="18"/>
      <c r="Y668" s="18"/>
      <c r="Z668" s="18"/>
      <c r="AA668" s="18"/>
      <c r="AB668" s="18"/>
    </row>
    <row r="669" spans="1:28" ht="13.2" x14ac:dyDescent="0.25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69"/>
      <c r="U669" s="18"/>
      <c r="V669" s="18"/>
      <c r="W669" s="18"/>
      <c r="X669" s="18"/>
      <c r="Y669" s="18"/>
      <c r="Z669" s="18"/>
      <c r="AA669" s="18"/>
      <c r="AB669" s="18"/>
    </row>
    <row r="670" spans="1:28" ht="13.2" x14ac:dyDescent="0.25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69"/>
      <c r="U670" s="18"/>
      <c r="V670" s="18"/>
      <c r="W670" s="18"/>
      <c r="X670" s="18"/>
      <c r="Y670" s="18"/>
      <c r="Z670" s="18"/>
      <c r="AA670" s="18"/>
      <c r="AB670" s="18"/>
    </row>
    <row r="671" spans="1:28" ht="13.2" x14ac:dyDescent="0.25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69"/>
      <c r="U671" s="18"/>
      <c r="V671" s="18"/>
      <c r="W671" s="18"/>
      <c r="X671" s="18"/>
      <c r="Y671" s="18"/>
      <c r="Z671" s="18"/>
      <c r="AA671" s="18"/>
      <c r="AB671" s="18"/>
    </row>
    <row r="672" spans="1:28" ht="13.2" x14ac:dyDescent="0.25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69"/>
      <c r="U672" s="18"/>
      <c r="V672" s="18"/>
      <c r="W672" s="18"/>
      <c r="X672" s="18"/>
      <c r="Y672" s="18"/>
      <c r="Z672" s="18"/>
      <c r="AA672" s="18"/>
      <c r="AB672" s="18"/>
    </row>
    <row r="673" spans="1:28" ht="13.2" x14ac:dyDescent="0.25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69"/>
      <c r="U673" s="18"/>
      <c r="V673" s="18"/>
      <c r="W673" s="18"/>
      <c r="X673" s="18"/>
      <c r="Y673" s="18"/>
      <c r="Z673" s="18"/>
      <c r="AA673" s="18"/>
      <c r="AB673" s="18"/>
    </row>
    <row r="674" spans="1:28" ht="13.2" x14ac:dyDescent="0.25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69"/>
      <c r="U674" s="18"/>
      <c r="V674" s="18"/>
      <c r="W674" s="18"/>
      <c r="X674" s="18"/>
      <c r="Y674" s="18"/>
      <c r="Z674" s="18"/>
      <c r="AA674" s="18"/>
      <c r="AB674" s="18"/>
    </row>
    <row r="675" spans="1:28" ht="13.2" x14ac:dyDescent="0.2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69"/>
      <c r="U675" s="18"/>
      <c r="V675" s="18"/>
      <c r="W675" s="18"/>
      <c r="X675" s="18"/>
      <c r="Y675" s="18"/>
      <c r="Z675" s="18"/>
      <c r="AA675" s="18"/>
      <c r="AB675" s="18"/>
    </row>
    <row r="676" spans="1:28" ht="13.2" x14ac:dyDescent="0.25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69"/>
      <c r="U676" s="18"/>
      <c r="V676" s="18"/>
      <c r="W676" s="18"/>
      <c r="X676" s="18"/>
      <c r="Y676" s="18"/>
      <c r="Z676" s="18"/>
      <c r="AA676" s="18"/>
      <c r="AB676" s="18"/>
    </row>
    <row r="677" spans="1:28" ht="13.2" x14ac:dyDescent="0.25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69"/>
      <c r="U677" s="18"/>
      <c r="V677" s="18"/>
      <c r="W677" s="18"/>
      <c r="X677" s="18"/>
      <c r="Y677" s="18"/>
      <c r="Z677" s="18"/>
      <c r="AA677" s="18"/>
      <c r="AB677" s="18"/>
    </row>
    <row r="678" spans="1:28" ht="13.2" x14ac:dyDescent="0.25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69"/>
      <c r="U678" s="18"/>
      <c r="V678" s="18"/>
      <c r="W678" s="18"/>
      <c r="X678" s="18"/>
      <c r="Y678" s="18"/>
      <c r="Z678" s="18"/>
      <c r="AA678" s="18"/>
      <c r="AB678" s="18"/>
    </row>
    <row r="679" spans="1:28" ht="13.2" x14ac:dyDescent="0.25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69"/>
      <c r="U679" s="18"/>
      <c r="V679" s="18"/>
      <c r="W679" s="18"/>
      <c r="X679" s="18"/>
      <c r="Y679" s="18"/>
      <c r="Z679" s="18"/>
      <c r="AA679" s="18"/>
      <c r="AB679" s="18"/>
    </row>
    <row r="680" spans="1:28" ht="13.2" x14ac:dyDescent="0.25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69"/>
      <c r="U680" s="18"/>
      <c r="V680" s="18"/>
      <c r="W680" s="18"/>
      <c r="X680" s="18"/>
      <c r="Y680" s="18"/>
      <c r="Z680" s="18"/>
      <c r="AA680" s="18"/>
      <c r="AB680" s="18"/>
    </row>
    <row r="681" spans="1:28" ht="13.2" x14ac:dyDescent="0.25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69"/>
      <c r="U681" s="18"/>
      <c r="V681" s="18"/>
      <c r="W681" s="18"/>
      <c r="X681" s="18"/>
      <c r="Y681" s="18"/>
      <c r="Z681" s="18"/>
      <c r="AA681" s="18"/>
      <c r="AB681" s="18"/>
    </row>
    <row r="682" spans="1:28" ht="13.2" x14ac:dyDescent="0.25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69"/>
      <c r="U682" s="18"/>
      <c r="V682" s="18"/>
      <c r="W682" s="18"/>
      <c r="X682" s="18"/>
      <c r="Y682" s="18"/>
      <c r="Z682" s="18"/>
      <c r="AA682" s="18"/>
      <c r="AB682" s="18"/>
    </row>
    <row r="683" spans="1:28" ht="13.2" x14ac:dyDescent="0.25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69"/>
      <c r="U683" s="18"/>
      <c r="V683" s="18"/>
      <c r="W683" s="18"/>
      <c r="X683" s="18"/>
      <c r="Y683" s="18"/>
      <c r="Z683" s="18"/>
      <c r="AA683" s="18"/>
      <c r="AB683" s="18"/>
    </row>
    <row r="684" spans="1:28" ht="13.2" x14ac:dyDescent="0.25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69"/>
      <c r="U684" s="18"/>
      <c r="V684" s="18"/>
      <c r="W684" s="18"/>
      <c r="X684" s="18"/>
      <c r="Y684" s="18"/>
      <c r="Z684" s="18"/>
      <c r="AA684" s="18"/>
      <c r="AB684" s="18"/>
    </row>
    <row r="685" spans="1:28" ht="13.2" x14ac:dyDescent="0.2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69"/>
      <c r="U685" s="18"/>
      <c r="V685" s="18"/>
      <c r="W685" s="18"/>
      <c r="X685" s="18"/>
      <c r="Y685" s="18"/>
      <c r="Z685" s="18"/>
      <c r="AA685" s="18"/>
      <c r="AB685" s="18"/>
    </row>
    <row r="686" spans="1:28" ht="13.2" x14ac:dyDescent="0.25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69"/>
      <c r="U686" s="18"/>
      <c r="V686" s="18"/>
      <c r="W686" s="18"/>
      <c r="X686" s="18"/>
      <c r="Y686" s="18"/>
      <c r="Z686" s="18"/>
      <c r="AA686" s="18"/>
      <c r="AB686" s="18"/>
    </row>
    <row r="687" spans="1:28" ht="13.2" x14ac:dyDescent="0.25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69"/>
      <c r="U687" s="18"/>
      <c r="V687" s="18"/>
      <c r="W687" s="18"/>
      <c r="X687" s="18"/>
      <c r="Y687" s="18"/>
      <c r="Z687" s="18"/>
      <c r="AA687" s="18"/>
      <c r="AB687" s="18"/>
    </row>
    <row r="688" spans="1:28" ht="13.2" x14ac:dyDescent="0.25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69"/>
      <c r="U688" s="18"/>
      <c r="V688" s="18"/>
      <c r="W688" s="18"/>
      <c r="X688" s="18"/>
      <c r="Y688" s="18"/>
      <c r="Z688" s="18"/>
      <c r="AA688" s="18"/>
      <c r="AB688" s="18"/>
    </row>
    <row r="689" spans="1:28" ht="13.2" x14ac:dyDescent="0.25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69"/>
      <c r="U689" s="18"/>
      <c r="V689" s="18"/>
      <c r="W689" s="18"/>
      <c r="X689" s="18"/>
      <c r="Y689" s="18"/>
      <c r="Z689" s="18"/>
      <c r="AA689" s="18"/>
      <c r="AB689" s="18"/>
    </row>
    <row r="690" spans="1:28" ht="13.2" x14ac:dyDescent="0.25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69"/>
      <c r="U690" s="18"/>
      <c r="V690" s="18"/>
      <c r="W690" s="18"/>
      <c r="X690" s="18"/>
      <c r="Y690" s="18"/>
      <c r="Z690" s="18"/>
      <c r="AA690" s="18"/>
      <c r="AB690" s="18"/>
    </row>
    <row r="691" spans="1:28" ht="13.2" x14ac:dyDescent="0.25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69"/>
      <c r="U691" s="18"/>
      <c r="V691" s="18"/>
      <c r="W691" s="18"/>
      <c r="X691" s="18"/>
      <c r="Y691" s="18"/>
      <c r="Z691" s="18"/>
      <c r="AA691" s="18"/>
      <c r="AB691" s="18"/>
    </row>
    <row r="692" spans="1:28" ht="13.2" x14ac:dyDescent="0.25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69"/>
      <c r="U692" s="18"/>
      <c r="V692" s="18"/>
      <c r="W692" s="18"/>
      <c r="X692" s="18"/>
      <c r="Y692" s="18"/>
      <c r="Z692" s="18"/>
      <c r="AA692" s="18"/>
      <c r="AB692" s="18"/>
    </row>
    <row r="693" spans="1:28" ht="13.2" x14ac:dyDescent="0.25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69"/>
      <c r="U693" s="18"/>
      <c r="V693" s="18"/>
      <c r="W693" s="18"/>
      <c r="X693" s="18"/>
      <c r="Y693" s="18"/>
      <c r="Z693" s="18"/>
      <c r="AA693" s="18"/>
      <c r="AB693" s="18"/>
    </row>
    <row r="694" spans="1:28" ht="13.2" x14ac:dyDescent="0.25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69"/>
      <c r="U694" s="18"/>
      <c r="V694" s="18"/>
      <c r="W694" s="18"/>
      <c r="X694" s="18"/>
      <c r="Y694" s="18"/>
      <c r="Z694" s="18"/>
      <c r="AA694" s="18"/>
      <c r="AB694" s="18"/>
    </row>
    <row r="695" spans="1:28" ht="13.2" x14ac:dyDescent="0.2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69"/>
      <c r="U695" s="18"/>
      <c r="V695" s="18"/>
      <c r="W695" s="18"/>
      <c r="X695" s="18"/>
      <c r="Y695" s="18"/>
      <c r="Z695" s="18"/>
      <c r="AA695" s="18"/>
      <c r="AB695" s="18"/>
    </row>
    <row r="696" spans="1:28" ht="13.2" x14ac:dyDescent="0.25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69"/>
      <c r="U696" s="18"/>
      <c r="V696" s="18"/>
      <c r="W696" s="18"/>
      <c r="X696" s="18"/>
      <c r="Y696" s="18"/>
      <c r="Z696" s="18"/>
      <c r="AA696" s="18"/>
      <c r="AB696" s="18"/>
    </row>
    <row r="697" spans="1:28" ht="13.2" x14ac:dyDescent="0.25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69"/>
      <c r="U697" s="18"/>
      <c r="V697" s="18"/>
      <c r="W697" s="18"/>
      <c r="X697" s="18"/>
      <c r="Y697" s="18"/>
      <c r="Z697" s="18"/>
      <c r="AA697" s="18"/>
      <c r="AB697" s="18"/>
    </row>
    <row r="698" spans="1:28" ht="13.2" x14ac:dyDescent="0.25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69"/>
      <c r="U698" s="18"/>
      <c r="V698" s="18"/>
      <c r="W698" s="18"/>
      <c r="X698" s="18"/>
      <c r="Y698" s="18"/>
      <c r="Z698" s="18"/>
      <c r="AA698" s="18"/>
      <c r="AB698" s="18"/>
    </row>
    <row r="699" spans="1:28" ht="13.2" x14ac:dyDescent="0.25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69"/>
      <c r="U699" s="18"/>
      <c r="V699" s="18"/>
      <c r="W699" s="18"/>
      <c r="X699" s="18"/>
      <c r="Y699" s="18"/>
      <c r="Z699" s="18"/>
      <c r="AA699" s="18"/>
      <c r="AB699" s="18"/>
    </row>
    <row r="700" spans="1:28" ht="13.2" x14ac:dyDescent="0.25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69"/>
      <c r="U700" s="18"/>
      <c r="V700" s="18"/>
      <c r="W700" s="18"/>
      <c r="X700" s="18"/>
      <c r="Y700" s="18"/>
      <c r="Z700" s="18"/>
      <c r="AA700" s="18"/>
      <c r="AB700" s="18"/>
    </row>
    <row r="701" spans="1:28" ht="13.2" x14ac:dyDescent="0.25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69"/>
      <c r="U701" s="18"/>
      <c r="V701" s="18"/>
      <c r="W701" s="18"/>
      <c r="X701" s="18"/>
      <c r="Y701" s="18"/>
      <c r="Z701" s="18"/>
      <c r="AA701" s="18"/>
      <c r="AB701" s="18"/>
    </row>
    <row r="702" spans="1:28" ht="13.2" x14ac:dyDescent="0.25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69"/>
      <c r="U702" s="18"/>
      <c r="V702" s="18"/>
      <c r="W702" s="18"/>
      <c r="X702" s="18"/>
      <c r="Y702" s="18"/>
      <c r="Z702" s="18"/>
      <c r="AA702" s="18"/>
      <c r="AB702" s="18"/>
    </row>
    <row r="703" spans="1:28" ht="13.2" x14ac:dyDescent="0.25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69"/>
      <c r="U703" s="18"/>
      <c r="V703" s="18"/>
      <c r="W703" s="18"/>
      <c r="X703" s="18"/>
      <c r="Y703" s="18"/>
      <c r="Z703" s="18"/>
      <c r="AA703" s="18"/>
      <c r="AB703" s="18"/>
    </row>
    <row r="704" spans="1:28" ht="13.2" x14ac:dyDescent="0.25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69"/>
      <c r="U704" s="18"/>
      <c r="V704" s="18"/>
      <c r="W704" s="18"/>
      <c r="X704" s="18"/>
      <c r="Y704" s="18"/>
      <c r="Z704" s="18"/>
      <c r="AA704" s="18"/>
      <c r="AB704" s="18"/>
    </row>
    <row r="705" spans="1:28" ht="13.2" x14ac:dyDescent="0.2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69"/>
      <c r="U705" s="18"/>
      <c r="V705" s="18"/>
      <c r="W705" s="18"/>
      <c r="X705" s="18"/>
      <c r="Y705" s="18"/>
      <c r="Z705" s="18"/>
      <c r="AA705" s="18"/>
      <c r="AB705" s="18"/>
    </row>
    <row r="706" spans="1:28" ht="13.2" x14ac:dyDescent="0.25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69"/>
      <c r="U706" s="18"/>
      <c r="V706" s="18"/>
      <c r="W706" s="18"/>
      <c r="X706" s="18"/>
      <c r="Y706" s="18"/>
      <c r="Z706" s="18"/>
      <c r="AA706" s="18"/>
      <c r="AB706" s="18"/>
    </row>
    <row r="707" spans="1:28" ht="13.2" x14ac:dyDescent="0.25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69"/>
      <c r="U707" s="18"/>
      <c r="V707" s="18"/>
      <c r="W707" s="18"/>
      <c r="X707" s="18"/>
      <c r="Y707" s="18"/>
      <c r="Z707" s="18"/>
      <c r="AA707" s="18"/>
      <c r="AB707" s="18"/>
    </row>
    <row r="708" spans="1:28" ht="13.2" x14ac:dyDescent="0.25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69"/>
      <c r="U708" s="18"/>
      <c r="V708" s="18"/>
      <c r="W708" s="18"/>
      <c r="X708" s="18"/>
      <c r="Y708" s="18"/>
      <c r="Z708" s="18"/>
      <c r="AA708" s="18"/>
      <c r="AB708" s="18"/>
    </row>
    <row r="709" spans="1:28" ht="13.2" x14ac:dyDescent="0.25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69"/>
      <c r="U709" s="18"/>
      <c r="V709" s="18"/>
      <c r="W709" s="18"/>
      <c r="X709" s="18"/>
      <c r="Y709" s="18"/>
      <c r="Z709" s="18"/>
      <c r="AA709" s="18"/>
      <c r="AB709" s="18"/>
    </row>
    <row r="710" spans="1:28" ht="13.2" x14ac:dyDescent="0.25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69"/>
      <c r="U710" s="18"/>
      <c r="V710" s="18"/>
      <c r="W710" s="18"/>
      <c r="X710" s="18"/>
      <c r="Y710" s="18"/>
      <c r="Z710" s="18"/>
      <c r="AA710" s="18"/>
      <c r="AB710" s="18"/>
    </row>
    <row r="711" spans="1:28" ht="13.2" x14ac:dyDescent="0.25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69"/>
      <c r="U711" s="18"/>
      <c r="V711" s="18"/>
      <c r="W711" s="18"/>
      <c r="X711" s="18"/>
      <c r="Y711" s="18"/>
      <c r="Z711" s="18"/>
      <c r="AA711" s="18"/>
      <c r="AB711" s="18"/>
    </row>
    <row r="712" spans="1:28" ht="13.2" x14ac:dyDescent="0.25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69"/>
      <c r="U712" s="18"/>
      <c r="V712" s="18"/>
      <c r="W712" s="18"/>
      <c r="X712" s="18"/>
      <c r="Y712" s="18"/>
      <c r="Z712" s="18"/>
      <c r="AA712" s="18"/>
      <c r="AB712" s="18"/>
    </row>
    <row r="713" spans="1:28" ht="13.2" x14ac:dyDescent="0.25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69"/>
      <c r="U713" s="18"/>
      <c r="V713" s="18"/>
      <c r="W713" s="18"/>
      <c r="X713" s="18"/>
      <c r="Y713" s="18"/>
      <c r="Z713" s="18"/>
      <c r="AA713" s="18"/>
      <c r="AB713" s="18"/>
    </row>
    <row r="714" spans="1:28" ht="13.2" x14ac:dyDescent="0.25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69"/>
      <c r="U714" s="18"/>
      <c r="V714" s="18"/>
      <c r="W714" s="18"/>
      <c r="X714" s="18"/>
      <c r="Y714" s="18"/>
      <c r="Z714" s="18"/>
      <c r="AA714" s="18"/>
      <c r="AB714" s="18"/>
    </row>
    <row r="715" spans="1:28" ht="13.2" x14ac:dyDescent="0.2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69"/>
      <c r="U715" s="18"/>
      <c r="V715" s="18"/>
      <c r="W715" s="18"/>
      <c r="X715" s="18"/>
      <c r="Y715" s="18"/>
      <c r="Z715" s="18"/>
      <c r="AA715" s="18"/>
      <c r="AB715" s="18"/>
    </row>
    <row r="716" spans="1:28" ht="13.2" x14ac:dyDescent="0.25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69"/>
      <c r="U716" s="18"/>
      <c r="V716" s="18"/>
      <c r="W716" s="18"/>
      <c r="X716" s="18"/>
      <c r="Y716" s="18"/>
      <c r="Z716" s="18"/>
      <c r="AA716" s="18"/>
      <c r="AB716" s="18"/>
    </row>
    <row r="717" spans="1:28" ht="13.2" x14ac:dyDescent="0.25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69"/>
      <c r="U717" s="18"/>
      <c r="V717" s="18"/>
      <c r="W717" s="18"/>
      <c r="X717" s="18"/>
      <c r="Y717" s="18"/>
      <c r="Z717" s="18"/>
      <c r="AA717" s="18"/>
      <c r="AB717" s="18"/>
    </row>
    <row r="718" spans="1:28" ht="13.2" x14ac:dyDescent="0.25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69"/>
      <c r="U718" s="18"/>
      <c r="V718" s="18"/>
      <c r="W718" s="18"/>
      <c r="X718" s="18"/>
      <c r="Y718" s="18"/>
      <c r="Z718" s="18"/>
      <c r="AA718" s="18"/>
      <c r="AB718" s="18"/>
    </row>
    <row r="719" spans="1:28" ht="13.2" x14ac:dyDescent="0.25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69"/>
      <c r="U719" s="18"/>
      <c r="V719" s="18"/>
      <c r="W719" s="18"/>
      <c r="X719" s="18"/>
      <c r="Y719" s="18"/>
      <c r="Z719" s="18"/>
      <c r="AA719" s="18"/>
      <c r="AB719" s="18"/>
    </row>
    <row r="720" spans="1:28" ht="13.2" x14ac:dyDescent="0.25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69"/>
      <c r="U720" s="18"/>
      <c r="V720" s="18"/>
      <c r="W720" s="18"/>
      <c r="X720" s="18"/>
      <c r="Y720" s="18"/>
      <c r="Z720" s="18"/>
      <c r="AA720" s="18"/>
      <c r="AB720" s="18"/>
    </row>
    <row r="721" spans="1:28" ht="13.2" x14ac:dyDescent="0.25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69"/>
      <c r="U721" s="18"/>
      <c r="V721" s="18"/>
      <c r="W721" s="18"/>
      <c r="X721" s="18"/>
      <c r="Y721" s="18"/>
      <c r="Z721" s="18"/>
      <c r="AA721" s="18"/>
      <c r="AB721" s="18"/>
    </row>
    <row r="722" spans="1:28" ht="13.2" x14ac:dyDescent="0.25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69"/>
      <c r="U722" s="18"/>
      <c r="V722" s="18"/>
      <c r="W722" s="18"/>
      <c r="X722" s="18"/>
      <c r="Y722" s="18"/>
      <c r="Z722" s="18"/>
      <c r="AA722" s="18"/>
      <c r="AB722" s="18"/>
    </row>
    <row r="723" spans="1:28" ht="13.2" x14ac:dyDescent="0.25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69"/>
      <c r="U723" s="18"/>
      <c r="V723" s="18"/>
      <c r="W723" s="18"/>
      <c r="X723" s="18"/>
      <c r="Y723" s="18"/>
      <c r="Z723" s="18"/>
      <c r="AA723" s="18"/>
      <c r="AB723" s="18"/>
    </row>
    <row r="724" spans="1:28" ht="13.2" x14ac:dyDescent="0.25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69"/>
      <c r="U724" s="18"/>
      <c r="V724" s="18"/>
      <c r="W724" s="18"/>
      <c r="X724" s="18"/>
      <c r="Y724" s="18"/>
      <c r="Z724" s="18"/>
      <c r="AA724" s="18"/>
      <c r="AB724" s="18"/>
    </row>
    <row r="725" spans="1:28" ht="13.2" x14ac:dyDescent="0.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69"/>
      <c r="U725" s="18"/>
      <c r="V725" s="18"/>
      <c r="W725" s="18"/>
      <c r="X725" s="18"/>
      <c r="Y725" s="18"/>
      <c r="Z725" s="18"/>
      <c r="AA725" s="18"/>
      <c r="AB725" s="18"/>
    </row>
    <row r="726" spans="1:28" ht="13.2" x14ac:dyDescent="0.25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69"/>
      <c r="U726" s="18"/>
      <c r="V726" s="18"/>
      <c r="W726" s="18"/>
      <c r="X726" s="18"/>
      <c r="Y726" s="18"/>
      <c r="Z726" s="18"/>
      <c r="AA726" s="18"/>
      <c r="AB726" s="18"/>
    </row>
    <row r="727" spans="1:28" ht="13.2" x14ac:dyDescent="0.25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69"/>
      <c r="U727" s="18"/>
      <c r="V727" s="18"/>
      <c r="W727" s="18"/>
      <c r="X727" s="18"/>
      <c r="Y727" s="18"/>
      <c r="Z727" s="18"/>
      <c r="AA727" s="18"/>
      <c r="AB727" s="18"/>
    </row>
    <row r="728" spans="1:28" ht="13.2" x14ac:dyDescent="0.25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69"/>
      <c r="U728" s="18"/>
      <c r="V728" s="18"/>
      <c r="W728" s="18"/>
      <c r="X728" s="18"/>
      <c r="Y728" s="18"/>
      <c r="Z728" s="18"/>
      <c r="AA728" s="18"/>
      <c r="AB728" s="18"/>
    </row>
    <row r="729" spans="1:28" ht="13.2" x14ac:dyDescent="0.25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69"/>
      <c r="U729" s="18"/>
      <c r="V729" s="18"/>
      <c r="W729" s="18"/>
      <c r="X729" s="18"/>
      <c r="Y729" s="18"/>
      <c r="Z729" s="18"/>
      <c r="AA729" s="18"/>
      <c r="AB729" s="18"/>
    </row>
    <row r="730" spans="1:28" ht="13.2" x14ac:dyDescent="0.25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69"/>
      <c r="U730" s="18"/>
      <c r="V730" s="18"/>
      <c r="W730" s="18"/>
      <c r="X730" s="18"/>
      <c r="Y730" s="18"/>
      <c r="Z730" s="18"/>
      <c r="AA730" s="18"/>
      <c r="AB730" s="18"/>
    </row>
    <row r="731" spans="1:28" ht="13.2" x14ac:dyDescent="0.25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69"/>
      <c r="U731" s="18"/>
      <c r="V731" s="18"/>
      <c r="W731" s="18"/>
      <c r="X731" s="18"/>
      <c r="Y731" s="18"/>
      <c r="Z731" s="18"/>
      <c r="AA731" s="18"/>
      <c r="AB731" s="18"/>
    </row>
    <row r="732" spans="1:28" ht="13.2" x14ac:dyDescent="0.25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69"/>
      <c r="U732" s="18"/>
      <c r="V732" s="18"/>
      <c r="W732" s="18"/>
      <c r="X732" s="18"/>
      <c r="Y732" s="18"/>
      <c r="Z732" s="18"/>
      <c r="AA732" s="18"/>
      <c r="AB732" s="18"/>
    </row>
    <row r="733" spans="1:28" ht="13.2" x14ac:dyDescent="0.25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69"/>
      <c r="U733" s="18"/>
      <c r="V733" s="18"/>
      <c r="W733" s="18"/>
      <c r="X733" s="18"/>
      <c r="Y733" s="18"/>
      <c r="Z733" s="18"/>
      <c r="AA733" s="18"/>
      <c r="AB733" s="18"/>
    </row>
    <row r="734" spans="1:28" ht="13.2" x14ac:dyDescent="0.25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69"/>
      <c r="U734" s="18"/>
      <c r="V734" s="18"/>
      <c r="W734" s="18"/>
      <c r="X734" s="18"/>
      <c r="Y734" s="18"/>
      <c r="Z734" s="18"/>
      <c r="AA734" s="18"/>
      <c r="AB734" s="18"/>
    </row>
    <row r="735" spans="1:28" ht="13.2" x14ac:dyDescent="0.2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69"/>
      <c r="U735" s="18"/>
      <c r="V735" s="18"/>
      <c r="W735" s="18"/>
      <c r="X735" s="18"/>
      <c r="Y735" s="18"/>
      <c r="Z735" s="18"/>
      <c r="AA735" s="18"/>
      <c r="AB735" s="18"/>
    </row>
    <row r="736" spans="1:28" ht="13.2" x14ac:dyDescent="0.25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69"/>
      <c r="U736" s="18"/>
      <c r="V736" s="18"/>
      <c r="W736" s="18"/>
      <c r="X736" s="18"/>
      <c r="Y736" s="18"/>
      <c r="Z736" s="18"/>
      <c r="AA736" s="18"/>
      <c r="AB736" s="18"/>
    </row>
    <row r="737" spans="1:28" ht="13.2" x14ac:dyDescent="0.25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69"/>
      <c r="U737" s="18"/>
      <c r="V737" s="18"/>
      <c r="W737" s="18"/>
      <c r="X737" s="18"/>
      <c r="Y737" s="18"/>
      <c r="Z737" s="18"/>
      <c r="AA737" s="18"/>
      <c r="AB737" s="18"/>
    </row>
    <row r="738" spans="1:28" ht="13.2" x14ac:dyDescent="0.25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69"/>
      <c r="U738" s="18"/>
      <c r="V738" s="18"/>
      <c r="W738" s="18"/>
      <c r="X738" s="18"/>
      <c r="Y738" s="18"/>
      <c r="Z738" s="18"/>
      <c r="AA738" s="18"/>
      <c r="AB738" s="18"/>
    </row>
    <row r="739" spans="1:28" ht="13.2" x14ac:dyDescent="0.25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69"/>
      <c r="U739" s="18"/>
      <c r="V739" s="18"/>
      <c r="W739" s="18"/>
      <c r="X739" s="18"/>
      <c r="Y739" s="18"/>
      <c r="Z739" s="18"/>
      <c r="AA739" s="18"/>
      <c r="AB739" s="18"/>
    </row>
    <row r="740" spans="1:28" ht="13.2" x14ac:dyDescent="0.25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69"/>
      <c r="U740" s="18"/>
      <c r="V740" s="18"/>
      <c r="W740" s="18"/>
      <c r="X740" s="18"/>
      <c r="Y740" s="18"/>
      <c r="Z740" s="18"/>
      <c r="AA740" s="18"/>
      <c r="AB740" s="18"/>
    </row>
    <row r="741" spans="1:28" ht="13.2" x14ac:dyDescent="0.25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69"/>
      <c r="U741" s="18"/>
      <c r="V741" s="18"/>
      <c r="W741" s="18"/>
      <c r="X741" s="18"/>
      <c r="Y741" s="18"/>
      <c r="Z741" s="18"/>
      <c r="AA741" s="18"/>
      <c r="AB741" s="18"/>
    </row>
    <row r="742" spans="1:28" ht="13.2" x14ac:dyDescent="0.25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69"/>
      <c r="U742" s="18"/>
      <c r="V742" s="18"/>
      <c r="W742" s="18"/>
      <c r="X742" s="18"/>
      <c r="Y742" s="18"/>
      <c r="Z742" s="18"/>
      <c r="AA742" s="18"/>
      <c r="AB742" s="18"/>
    </row>
    <row r="743" spans="1:28" ht="13.2" x14ac:dyDescent="0.25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69"/>
      <c r="U743" s="18"/>
      <c r="V743" s="18"/>
      <c r="W743" s="18"/>
      <c r="X743" s="18"/>
      <c r="Y743" s="18"/>
      <c r="Z743" s="18"/>
      <c r="AA743" s="18"/>
      <c r="AB743" s="18"/>
    </row>
    <row r="744" spans="1:28" ht="13.2" x14ac:dyDescent="0.25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69"/>
      <c r="U744" s="18"/>
      <c r="V744" s="18"/>
      <c r="W744" s="18"/>
      <c r="X744" s="18"/>
      <c r="Y744" s="18"/>
      <c r="Z744" s="18"/>
      <c r="AA744" s="18"/>
      <c r="AB744" s="18"/>
    </row>
    <row r="745" spans="1:28" ht="13.2" x14ac:dyDescent="0.2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69"/>
      <c r="U745" s="18"/>
      <c r="V745" s="18"/>
      <c r="W745" s="18"/>
      <c r="X745" s="18"/>
      <c r="Y745" s="18"/>
      <c r="Z745" s="18"/>
      <c r="AA745" s="18"/>
      <c r="AB745" s="18"/>
    </row>
    <row r="746" spans="1:28" ht="13.2" x14ac:dyDescent="0.25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69"/>
      <c r="U746" s="18"/>
      <c r="V746" s="18"/>
      <c r="W746" s="18"/>
      <c r="X746" s="18"/>
      <c r="Y746" s="18"/>
      <c r="Z746" s="18"/>
      <c r="AA746" s="18"/>
      <c r="AB746" s="18"/>
    </row>
    <row r="747" spans="1:28" ht="13.2" x14ac:dyDescent="0.25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69"/>
      <c r="U747" s="18"/>
      <c r="V747" s="18"/>
      <c r="W747" s="18"/>
      <c r="X747" s="18"/>
      <c r="Y747" s="18"/>
      <c r="Z747" s="18"/>
      <c r="AA747" s="18"/>
      <c r="AB747" s="18"/>
    </row>
    <row r="748" spans="1:28" ht="13.2" x14ac:dyDescent="0.25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69"/>
      <c r="U748" s="18"/>
      <c r="V748" s="18"/>
      <c r="W748" s="18"/>
      <c r="X748" s="18"/>
      <c r="Y748" s="18"/>
      <c r="Z748" s="18"/>
      <c r="AA748" s="18"/>
      <c r="AB748" s="18"/>
    </row>
    <row r="749" spans="1:28" ht="13.2" x14ac:dyDescent="0.25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69"/>
      <c r="U749" s="18"/>
      <c r="V749" s="18"/>
      <c r="W749" s="18"/>
      <c r="X749" s="18"/>
      <c r="Y749" s="18"/>
      <c r="Z749" s="18"/>
      <c r="AA749" s="18"/>
      <c r="AB749" s="18"/>
    </row>
    <row r="750" spans="1:28" ht="13.2" x14ac:dyDescent="0.25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69"/>
      <c r="U750" s="18"/>
      <c r="V750" s="18"/>
      <c r="W750" s="18"/>
      <c r="X750" s="18"/>
      <c r="Y750" s="18"/>
      <c r="Z750" s="18"/>
      <c r="AA750" s="18"/>
      <c r="AB750" s="18"/>
    </row>
    <row r="751" spans="1:28" ht="13.2" x14ac:dyDescent="0.25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69"/>
      <c r="U751" s="18"/>
      <c r="V751" s="18"/>
      <c r="W751" s="18"/>
      <c r="X751" s="18"/>
      <c r="Y751" s="18"/>
      <c r="Z751" s="18"/>
      <c r="AA751" s="18"/>
      <c r="AB751" s="18"/>
    </row>
    <row r="752" spans="1:28" ht="13.2" x14ac:dyDescent="0.25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69"/>
      <c r="U752" s="18"/>
      <c r="V752" s="18"/>
      <c r="W752" s="18"/>
      <c r="X752" s="18"/>
      <c r="Y752" s="18"/>
      <c r="Z752" s="18"/>
      <c r="AA752" s="18"/>
      <c r="AB752" s="18"/>
    </row>
    <row r="753" spans="1:28" ht="13.2" x14ac:dyDescent="0.25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69"/>
      <c r="U753" s="18"/>
      <c r="V753" s="18"/>
      <c r="W753" s="18"/>
      <c r="X753" s="18"/>
      <c r="Y753" s="18"/>
      <c r="Z753" s="18"/>
      <c r="AA753" s="18"/>
      <c r="AB753" s="18"/>
    </row>
    <row r="754" spans="1:28" ht="13.2" x14ac:dyDescent="0.25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69"/>
      <c r="U754" s="18"/>
      <c r="V754" s="18"/>
      <c r="W754" s="18"/>
      <c r="X754" s="18"/>
      <c r="Y754" s="18"/>
      <c r="Z754" s="18"/>
      <c r="AA754" s="18"/>
      <c r="AB754" s="18"/>
    </row>
    <row r="755" spans="1:28" ht="13.2" x14ac:dyDescent="0.2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69"/>
      <c r="U755" s="18"/>
      <c r="V755" s="18"/>
      <c r="W755" s="18"/>
      <c r="X755" s="18"/>
      <c r="Y755" s="18"/>
      <c r="Z755" s="18"/>
      <c r="AA755" s="18"/>
      <c r="AB755" s="18"/>
    </row>
    <row r="756" spans="1:28" ht="13.2" x14ac:dyDescent="0.25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69"/>
      <c r="U756" s="18"/>
      <c r="V756" s="18"/>
      <c r="W756" s="18"/>
      <c r="X756" s="18"/>
      <c r="Y756" s="18"/>
      <c r="Z756" s="18"/>
      <c r="AA756" s="18"/>
      <c r="AB756" s="18"/>
    </row>
    <row r="757" spans="1:28" ht="13.2" x14ac:dyDescent="0.25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69"/>
      <c r="U757" s="18"/>
      <c r="V757" s="18"/>
      <c r="W757" s="18"/>
      <c r="X757" s="18"/>
      <c r="Y757" s="18"/>
      <c r="Z757" s="18"/>
      <c r="AA757" s="18"/>
      <c r="AB757" s="18"/>
    </row>
    <row r="758" spans="1:28" ht="13.2" x14ac:dyDescent="0.25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69"/>
      <c r="U758" s="18"/>
      <c r="V758" s="18"/>
      <c r="W758" s="18"/>
      <c r="X758" s="18"/>
      <c r="Y758" s="18"/>
      <c r="Z758" s="18"/>
      <c r="AA758" s="18"/>
      <c r="AB758" s="18"/>
    </row>
    <row r="759" spans="1:28" ht="13.2" x14ac:dyDescent="0.25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69"/>
      <c r="U759" s="18"/>
      <c r="V759" s="18"/>
      <c r="W759" s="18"/>
      <c r="X759" s="18"/>
      <c r="Y759" s="18"/>
      <c r="Z759" s="18"/>
      <c r="AA759" s="18"/>
      <c r="AB759" s="18"/>
    </row>
    <row r="760" spans="1:28" ht="13.2" x14ac:dyDescent="0.25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69"/>
      <c r="U760" s="18"/>
      <c r="V760" s="18"/>
      <c r="W760" s="18"/>
      <c r="X760" s="18"/>
      <c r="Y760" s="18"/>
      <c r="Z760" s="18"/>
      <c r="AA760" s="18"/>
      <c r="AB760" s="18"/>
    </row>
    <row r="761" spans="1:28" ht="13.2" x14ac:dyDescent="0.25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69"/>
      <c r="U761" s="18"/>
      <c r="V761" s="18"/>
      <c r="W761" s="18"/>
      <c r="X761" s="18"/>
      <c r="Y761" s="18"/>
      <c r="Z761" s="18"/>
      <c r="AA761" s="18"/>
      <c r="AB761" s="18"/>
    </row>
    <row r="762" spans="1:28" ht="13.2" x14ac:dyDescent="0.25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69"/>
      <c r="U762" s="18"/>
      <c r="V762" s="18"/>
      <c r="W762" s="18"/>
      <c r="X762" s="18"/>
      <c r="Y762" s="18"/>
      <c r="Z762" s="18"/>
      <c r="AA762" s="18"/>
      <c r="AB762" s="18"/>
    </row>
    <row r="763" spans="1:28" ht="13.2" x14ac:dyDescent="0.25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69"/>
      <c r="U763" s="18"/>
      <c r="V763" s="18"/>
      <c r="W763" s="18"/>
      <c r="X763" s="18"/>
      <c r="Y763" s="18"/>
      <c r="Z763" s="18"/>
      <c r="AA763" s="18"/>
      <c r="AB763" s="18"/>
    </row>
    <row r="764" spans="1:28" ht="13.2" x14ac:dyDescent="0.25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69"/>
      <c r="U764" s="18"/>
      <c r="V764" s="18"/>
      <c r="W764" s="18"/>
      <c r="X764" s="18"/>
      <c r="Y764" s="18"/>
      <c r="Z764" s="18"/>
      <c r="AA764" s="18"/>
      <c r="AB764" s="18"/>
    </row>
    <row r="765" spans="1:28" ht="13.2" x14ac:dyDescent="0.2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69"/>
      <c r="U765" s="18"/>
      <c r="V765" s="18"/>
      <c r="W765" s="18"/>
      <c r="X765" s="18"/>
      <c r="Y765" s="18"/>
      <c r="Z765" s="18"/>
      <c r="AA765" s="18"/>
      <c r="AB765" s="18"/>
    </row>
    <row r="766" spans="1:28" ht="13.2" x14ac:dyDescent="0.25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69"/>
      <c r="U766" s="18"/>
      <c r="V766" s="18"/>
      <c r="W766" s="18"/>
      <c r="X766" s="18"/>
      <c r="Y766" s="18"/>
      <c r="Z766" s="18"/>
      <c r="AA766" s="18"/>
      <c r="AB766" s="18"/>
    </row>
    <row r="767" spans="1:28" ht="13.2" x14ac:dyDescent="0.25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69"/>
      <c r="U767" s="18"/>
      <c r="V767" s="18"/>
      <c r="W767" s="18"/>
      <c r="X767" s="18"/>
      <c r="Y767" s="18"/>
      <c r="Z767" s="18"/>
      <c r="AA767" s="18"/>
      <c r="AB767" s="18"/>
    </row>
    <row r="768" spans="1:28" ht="13.2" x14ac:dyDescent="0.25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69"/>
      <c r="U768" s="18"/>
      <c r="V768" s="18"/>
      <c r="W768" s="18"/>
      <c r="X768" s="18"/>
      <c r="Y768" s="18"/>
      <c r="Z768" s="18"/>
      <c r="AA768" s="18"/>
      <c r="AB768" s="18"/>
    </row>
    <row r="769" spans="1:28" ht="13.2" x14ac:dyDescent="0.25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69"/>
      <c r="U769" s="18"/>
      <c r="V769" s="18"/>
      <c r="W769" s="18"/>
      <c r="X769" s="18"/>
      <c r="Y769" s="18"/>
      <c r="Z769" s="18"/>
      <c r="AA769" s="18"/>
      <c r="AB769" s="18"/>
    </row>
    <row r="770" spans="1:28" ht="13.2" x14ac:dyDescent="0.25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69"/>
      <c r="U770" s="18"/>
      <c r="V770" s="18"/>
      <c r="W770" s="18"/>
      <c r="X770" s="18"/>
      <c r="Y770" s="18"/>
      <c r="Z770" s="18"/>
      <c r="AA770" s="18"/>
      <c r="AB770" s="18"/>
    </row>
    <row r="771" spans="1:28" ht="13.2" x14ac:dyDescent="0.25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69"/>
      <c r="U771" s="18"/>
      <c r="V771" s="18"/>
      <c r="W771" s="18"/>
      <c r="X771" s="18"/>
      <c r="Y771" s="18"/>
      <c r="Z771" s="18"/>
      <c r="AA771" s="18"/>
      <c r="AB771" s="18"/>
    </row>
    <row r="772" spans="1:28" ht="13.2" x14ac:dyDescent="0.25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69"/>
      <c r="U772" s="18"/>
      <c r="V772" s="18"/>
      <c r="W772" s="18"/>
      <c r="X772" s="18"/>
      <c r="Y772" s="18"/>
      <c r="Z772" s="18"/>
      <c r="AA772" s="18"/>
      <c r="AB772" s="18"/>
    </row>
    <row r="773" spans="1:28" ht="13.2" x14ac:dyDescent="0.25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69"/>
      <c r="U773" s="18"/>
      <c r="V773" s="18"/>
      <c r="W773" s="18"/>
      <c r="X773" s="18"/>
      <c r="Y773" s="18"/>
      <c r="Z773" s="18"/>
      <c r="AA773" s="18"/>
      <c r="AB773" s="18"/>
    </row>
    <row r="774" spans="1:28" ht="13.2" x14ac:dyDescent="0.25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69"/>
      <c r="U774" s="18"/>
      <c r="V774" s="18"/>
      <c r="W774" s="18"/>
      <c r="X774" s="18"/>
      <c r="Y774" s="18"/>
      <c r="Z774" s="18"/>
      <c r="AA774" s="18"/>
      <c r="AB774" s="18"/>
    </row>
    <row r="775" spans="1:28" ht="13.2" x14ac:dyDescent="0.2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69"/>
      <c r="U775" s="18"/>
      <c r="V775" s="18"/>
      <c r="W775" s="18"/>
      <c r="X775" s="18"/>
      <c r="Y775" s="18"/>
      <c r="Z775" s="18"/>
      <c r="AA775" s="18"/>
      <c r="AB775" s="18"/>
    </row>
    <row r="776" spans="1:28" ht="13.2" x14ac:dyDescent="0.25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69"/>
      <c r="U776" s="18"/>
      <c r="V776" s="18"/>
      <c r="W776" s="18"/>
      <c r="X776" s="18"/>
      <c r="Y776" s="18"/>
      <c r="Z776" s="18"/>
      <c r="AA776" s="18"/>
      <c r="AB776" s="18"/>
    </row>
    <row r="777" spans="1:28" ht="13.2" x14ac:dyDescent="0.25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69"/>
      <c r="U777" s="18"/>
      <c r="V777" s="18"/>
      <c r="W777" s="18"/>
      <c r="X777" s="18"/>
      <c r="Y777" s="18"/>
      <c r="Z777" s="18"/>
      <c r="AA777" s="18"/>
      <c r="AB777" s="18"/>
    </row>
    <row r="778" spans="1:28" ht="13.2" x14ac:dyDescent="0.25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69"/>
      <c r="U778" s="18"/>
      <c r="V778" s="18"/>
      <c r="W778" s="18"/>
      <c r="X778" s="18"/>
      <c r="Y778" s="18"/>
      <c r="Z778" s="18"/>
      <c r="AA778" s="18"/>
      <c r="AB778" s="18"/>
    </row>
    <row r="779" spans="1:28" ht="13.2" x14ac:dyDescent="0.25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69"/>
      <c r="U779" s="18"/>
      <c r="V779" s="18"/>
      <c r="W779" s="18"/>
      <c r="X779" s="18"/>
      <c r="Y779" s="18"/>
      <c r="Z779" s="18"/>
      <c r="AA779" s="18"/>
      <c r="AB779" s="18"/>
    </row>
    <row r="780" spans="1:28" ht="13.2" x14ac:dyDescent="0.25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69"/>
      <c r="U780" s="18"/>
      <c r="V780" s="18"/>
      <c r="W780" s="18"/>
      <c r="X780" s="18"/>
      <c r="Y780" s="18"/>
      <c r="Z780" s="18"/>
      <c r="AA780" s="18"/>
      <c r="AB780" s="18"/>
    </row>
    <row r="781" spans="1:28" ht="13.2" x14ac:dyDescent="0.25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69"/>
      <c r="U781" s="18"/>
      <c r="V781" s="18"/>
      <c r="W781" s="18"/>
      <c r="X781" s="18"/>
      <c r="Y781" s="18"/>
      <c r="Z781" s="18"/>
      <c r="AA781" s="18"/>
      <c r="AB781" s="18"/>
    </row>
    <row r="782" spans="1:28" ht="13.2" x14ac:dyDescent="0.25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69"/>
      <c r="U782" s="18"/>
      <c r="V782" s="18"/>
      <c r="W782" s="18"/>
      <c r="X782" s="18"/>
      <c r="Y782" s="18"/>
      <c r="Z782" s="18"/>
      <c r="AA782" s="18"/>
      <c r="AB782" s="18"/>
    </row>
    <row r="783" spans="1:28" ht="13.2" x14ac:dyDescent="0.25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69"/>
      <c r="U783" s="18"/>
      <c r="V783" s="18"/>
      <c r="W783" s="18"/>
      <c r="X783" s="18"/>
      <c r="Y783" s="18"/>
      <c r="Z783" s="18"/>
      <c r="AA783" s="18"/>
      <c r="AB783" s="18"/>
    </row>
    <row r="784" spans="1:28" ht="13.2" x14ac:dyDescent="0.25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69"/>
      <c r="U784" s="18"/>
      <c r="V784" s="18"/>
      <c r="W784" s="18"/>
      <c r="X784" s="18"/>
      <c r="Y784" s="18"/>
      <c r="Z784" s="18"/>
      <c r="AA784" s="18"/>
      <c r="AB784" s="18"/>
    </row>
    <row r="785" spans="1:28" ht="13.2" x14ac:dyDescent="0.2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69"/>
      <c r="U785" s="18"/>
      <c r="V785" s="18"/>
      <c r="W785" s="18"/>
      <c r="X785" s="18"/>
      <c r="Y785" s="18"/>
      <c r="Z785" s="18"/>
      <c r="AA785" s="18"/>
      <c r="AB785" s="18"/>
    </row>
    <row r="786" spans="1:28" ht="13.2" x14ac:dyDescent="0.25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69"/>
      <c r="U786" s="18"/>
      <c r="V786" s="18"/>
      <c r="W786" s="18"/>
      <c r="X786" s="18"/>
      <c r="Y786" s="18"/>
      <c r="Z786" s="18"/>
      <c r="AA786" s="18"/>
      <c r="AB786" s="18"/>
    </row>
    <row r="787" spans="1:28" ht="13.2" x14ac:dyDescent="0.25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69"/>
      <c r="U787" s="18"/>
      <c r="V787" s="18"/>
      <c r="W787" s="18"/>
      <c r="X787" s="18"/>
      <c r="Y787" s="18"/>
      <c r="Z787" s="18"/>
      <c r="AA787" s="18"/>
      <c r="AB787" s="18"/>
    </row>
    <row r="788" spans="1:28" ht="13.2" x14ac:dyDescent="0.25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69"/>
      <c r="U788" s="18"/>
      <c r="V788" s="18"/>
      <c r="W788" s="18"/>
      <c r="X788" s="18"/>
      <c r="Y788" s="18"/>
      <c r="Z788" s="18"/>
      <c r="AA788" s="18"/>
      <c r="AB788" s="18"/>
    </row>
    <row r="789" spans="1:28" ht="13.2" x14ac:dyDescent="0.25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69"/>
      <c r="U789" s="18"/>
      <c r="V789" s="18"/>
      <c r="W789" s="18"/>
      <c r="X789" s="18"/>
      <c r="Y789" s="18"/>
      <c r="Z789" s="18"/>
      <c r="AA789" s="18"/>
      <c r="AB789" s="18"/>
    </row>
    <row r="790" spans="1:28" ht="13.2" x14ac:dyDescent="0.25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69"/>
      <c r="U790" s="18"/>
      <c r="V790" s="18"/>
      <c r="W790" s="18"/>
      <c r="X790" s="18"/>
      <c r="Y790" s="18"/>
      <c r="Z790" s="18"/>
      <c r="AA790" s="18"/>
      <c r="AB790" s="18"/>
    </row>
    <row r="791" spans="1:28" ht="13.2" x14ac:dyDescent="0.25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69"/>
      <c r="U791" s="18"/>
      <c r="V791" s="18"/>
      <c r="W791" s="18"/>
      <c r="X791" s="18"/>
      <c r="Y791" s="18"/>
      <c r="Z791" s="18"/>
      <c r="AA791" s="18"/>
      <c r="AB791" s="18"/>
    </row>
    <row r="792" spans="1:28" ht="13.2" x14ac:dyDescent="0.25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69"/>
      <c r="U792" s="18"/>
      <c r="V792" s="18"/>
      <c r="W792" s="18"/>
      <c r="X792" s="18"/>
      <c r="Y792" s="18"/>
      <c r="Z792" s="18"/>
      <c r="AA792" s="18"/>
      <c r="AB792" s="18"/>
    </row>
    <row r="793" spans="1:28" ht="13.2" x14ac:dyDescent="0.25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69"/>
      <c r="U793" s="18"/>
      <c r="V793" s="18"/>
      <c r="W793" s="18"/>
      <c r="X793" s="18"/>
      <c r="Y793" s="18"/>
      <c r="Z793" s="18"/>
      <c r="AA793" s="18"/>
      <c r="AB793" s="18"/>
    </row>
    <row r="794" spans="1:28" ht="13.2" x14ac:dyDescent="0.25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69"/>
      <c r="U794" s="18"/>
      <c r="V794" s="18"/>
      <c r="W794" s="18"/>
      <c r="X794" s="18"/>
      <c r="Y794" s="18"/>
      <c r="Z794" s="18"/>
      <c r="AA794" s="18"/>
      <c r="AB794" s="18"/>
    </row>
    <row r="795" spans="1:28" ht="13.2" x14ac:dyDescent="0.2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69"/>
      <c r="U795" s="18"/>
      <c r="V795" s="18"/>
      <c r="W795" s="18"/>
      <c r="X795" s="18"/>
      <c r="Y795" s="18"/>
      <c r="Z795" s="18"/>
      <c r="AA795" s="18"/>
      <c r="AB795" s="18"/>
    </row>
    <row r="796" spans="1:28" ht="13.2" x14ac:dyDescent="0.25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69"/>
      <c r="U796" s="18"/>
      <c r="V796" s="18"/>
      <c r="W796" s="18"/>
      <c r="X796" s="18"/>
      <c r="Y796" s="18"/>
      <c r="Z796" s="18"/>
      <c r="AA796" s="18"/>
      <c r="AB796" s="18"/>
    </row>
    <row r="797" spans="1:28" ht="13.2" x14ac:dyDescent="0.25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69"/>
      <c r="U797" s="18"/>
      <c r="V797" s="18"/>
      <c r="W797" s="18"/>
      <c r="X797" s="18"/>
      <c r="Y797" s="18"/>
      <c r="Z797" s="18"/>
      <c r="AA797" s="18"/>
      <c r="AB797" s="18"/>
    </row>
    <row r="798" spans="1:28" ht="13.2" x14ac:dyDescent="0.25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69"/>
      <c r="U798" s="18"/>
      <c r="V798" s="18"/>
      <c r="W798" s="18"/>
      <c r="X798" s="18"/>
      <c r="Y798" s="18"/>
      <c r="Z798" s="18"/>
      <c r="AA798" s="18"/>
      <c r="AB798" s="18"/>
    </row>
    <row r="799" spans="1:28" ht="13.2" x14ac:dyDescent="0.25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69"/>
      <c r="U799" s="18"/>
      <c r="V799" s="18"/>
      <c r="W799" s="18"/>
      <c r="X799" s="18"/>
      <c r="Y799" s="18"/>
      <c r="Z799" s="18"/>
      <c r="AA799" s="18"/>
      <c r="AB799" s="18"/>
    </row>
    <row r="800" spans="1:28" ht="13.2" x14ac:dyDescent="0.25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69"/>
      <c r="U800" s="18"/>
      <c r="V800" s="18"/>
      <c r="W800" s="18"/>
      <c r="X800" s="18"/>
      <c r="Y800" s="18"/>
      <c r="Z800" s="18"/>
      <c r="AA800" s="18"/>
      <c r="AB800" s="18"/>
    </row>
    <row r="801" spans="1:28" ht="13.2" x14ac:dyDescent="0.25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69"/>
      <c r="U801" s="18"/>
      <c r="V801" s="18"/>
      <c r="W801" s="18"/>
      <c r="X801" s="18"/>
      <c r="Y801" s="18"/>
      <c r="Z801" s="18"/>
      <c r="AA801" s="18"/>
      <c r="AB801" s="18"/>
    </row>
    <row r="802" spans="1:28" ht="13.2" x14ac:dyDescent="0.25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69"/>
      <c r="U802" s="18"/>
      <c r="V802" s="18"/>
      <c r="W802" s="18"/>
      <c r="X802" s="18"/>
      <c r="Y802" s="18"/>
      <c r="Z802" s="18"/>
      <c r="AA802" s="18"/>
      <c r="AB802" s="18"/>
    </row>
    <row r="803" spans="1:28" ht="13.2" x14ac:dyDescent="0.25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69"/>
      <c r="U803" s="18"/>
      <c r="V803" s="18"/>
      <c r="W803" s="18"/>
      <c r="X803" s="18"/>
      <c r="Y803" s="18"/>
      <c r="Z803" s="18"/>
      <c r="AA803" s="18"/>
      <c r="AB803" s="18"/>
    </row>
    <row r="804" spans="1:28" ht="13.2" x14ac:dyDescent="0.25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69"/>
      <c r="U804" s="18"/>
      <c r="V804" s="18"/>
      <c r="W804" s="18"/>
      <c r="X804" s="18"/>
      <c r="Y804" s="18"/>
      <c r="Z804" s="18"/>
      <c r="AA804" s="18"/>
      <c r="AB804" s="18"/>
    </row>
    <row r="805" spans="1:28" ht="13.2" x14ac:dyDescent="0.2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69"/>
      <c r="U805" s="18"/>
      <c r="V805" s="18"/>
      <c r="W805" s="18"/>
      <c r="X805" s="18"/>
      <c r="Y805" s="18"/>
      <c r="Z805" s="18"/>
      <c r="AA805" s="18"/>
      <c r="AB805" s="18"/>
    </row>
    <row r="806" spans="1:28" ht="13.2" x14ac:dyDescent="0.25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69"/>
      <c r="U806" s="18"/>
      <c r="V806" s="18"/>
      <c r="W806" s="18"/>
      <c r="X806" s="18"/>
      <c r="Y806" s="18"/>
      <c r="Z806" s="18"/>
      <c r="AA806" s="18"/>
      <c r="AB806" s="18"/>
    </row>
    <row r="807" spans="1:28" ht="13.2" x14ac:dyDescent="0.25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69"/>
      <c r="U807" s="18"/>
      <c r="V807" s="18"/>
      <c r="W807" s="18"/>
      <c r="X807" s="18"/>
      <c r="Y807" s="18"/>
      <c r="Z807" s="18"/>
      <c r="AA807" s="18"/>
      <c r="AB807" s="18"/>
    </row>
    <row r="808" spans="1:28" ht="13.2" x14ac:dyDescent="0.25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69"/>
      <c r="U808" s="18"/>
      <c r="V808" s="18"/>
      <c r="W808" s="18"/>
      <c r="X808" s="18"/>
      <c r="Y808" s="18"/>
      <c r="Z808" s="18"/>
      <c r="AA808" s="18"/>
      <c r="AB808" s="18"/>
    </row>
    <row r="809" spans="1:28" ht="13.2" x14ac:dyDescent="0.25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69"/>
      <c r="U809" s="18"/>
      <c r="V809" s="18"/>
      <c r="W809" s="18"/>
      <c r="X809" s="18"/>
      <c r="Y809" s="18"/>
      <c r="Z809" s="18"/>
      <c r="AA809" s="18"/>
      <c r="AB809" s="18"/>
    </row>
    <row r="810" spans="1:28" ht="13.2" x14ac:dyDescent="0.25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69"/>
      <c r="U810" s="18"/>
      <c r="V810" s="18"/>
      <c r="W810" s="18"/>
      <c r="X810" s="18"/>
      <c r="Y810" s="18"/>
      <c r="Z810" s="18"/>
      <c r="AA810" s="18"/>
      <c r="AB810" s="18"/>
    </row>
    <row r="811" spans="1:28" ht="13.2" x14ac:dyDescent="0.25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69"/>
      <c r="U811" s="18"/>
      <c r="V811" s="18"/>
      <c r="W811" s="18"/>
      <c r="X811" s="18"/>
      <c r="Y811" s="18"/>
      <c r="Z811" s="18"/>
      <c r="AA811" s="18"/>
      <c r="AB811" s="18"/>
    </row>
    <row r="812" spans="1:28" ht="13.2" x14ac:dyDescent="0.25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69"/>
      <c r="U812" s="18"/>
      <c r="V812" s="18"/>
      <c r="W812" s="18"/>
      <c r="X812" s="18"/>
      <c r="Y812" s="18"/>
      <c r="Z812" s="18"/>
      <c r="AA812" s="18"/>
      <c r="AB812" s="18"/>
    </row>
    <row r="813" spans="1:28" ht="13.2" x14ac:dyDescent="0.25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69"/>
      <c r="U813" s="18"/>
      <c r="V813" s="18"/>
      <c r="W813" s="18"/>
      <c r="X813" s="18"/>
      <c r="Y813" s="18"/>
      <c r="Z813" s="18"/>
      <c r="AA813" s="18"/>
      <c r="AB813" s="18"/>
    </row>
    <row r="814" spans="1:28" ht="13.2" x14ac:dyDescent="0.25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69"/>
      <c r="U814" s="18"/>
      <c r="V814" s="18"/>
      <c r="W814" s="18"/>
      <c r="X814" s="18"/>
      <c r="Y814" s="18"/>
      <c r="Z814" s="18"/>
      <c r="AA814" s="18"/>
      <c r="AB814" s="18"/>
    </row>
    <row r="815" spans="1:28" ht="13.2" x14ac:dyDescent="0.2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69"/>
      <c r="U815" s="18"/>
      <c r="V815" s="18"/>
      <c r="W815" s="18"/>
      <c r="X815" s="18"/>
      <c r="Y815" s="18"/>
      <c r="Z815" s="18"/>
      <c r="AA815" s="18"/>
      <c r="AB815" s="18"/>
    </row>
    <row r="816" spans="1:28" ht="13.2" x14ac:dyDescent="0.25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69"/>
      <c r="U816" s="18"/>
      <c r="V816" s="18"/>
      <c r="W816" s="18"/>
      <c r="X816" s="18"/>
      <c r="Y816" s="18"/>
      <c r="Z816" s="18"/>
      <c r="AA816" s="18"/>
      <c r="AB816" s="18"/>
    </row>
    <row r="817" spans="1:28" ht="13.2" x14ac:dyDescent="0.25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69"/>
      <c r="U817" s="18"/>
      <c r="V817" s="18"/>
      <c r="W817" s="18"/>
      <c r="X817" s="18"/>
      <c r="Y817" s="18"/>
      <c r="Z817" s="18"/>
      <c r="AA817" s="18"/>
      <c r="AB817" s="18"/>
    </row>
    <row r="818" spans="1:28" ht="13.2" x14ac:dyDescent="0.25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69"/>
      <c r="U818" s="18"/>
      <c r="V818" s="18"/>
      <c r="W818" s="18"/>
      <c r="X818" s="18"/>
      <c r="Y818" s="18"/>
      <c r="Z818" s="18"/>
      <c r="AA818" s="18"/>
      <c r="AB818" s="18"/>
    </row>
    <row r="819" spans="1:28" ht="13.2" x14ac:dyDescent="0.25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69"/>
      <c r="U819" s="18"/>
      <c r="V819" s="18"/>
      <c r="W819" s="18"/>
      <c r="X819" s="18"/>
      <c r="Y819" s="18"/>
      <c r="Z819" s="18"/>
      <c r="AA819" s="18"/>
      <c r="AB819" s="18"/>
    </row>
    <row r="820" spans="1:28" ht="13.2" x14ac:dyDescent="0.25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69"/>
      <c r="U820" s="18"/>
      <c r="V820" s="18"/>
      <c r="W820" s="18"/>
      <c r="X820" s="18"/>
      <c r="Y820" s="18"/>
      <c r="Z820" s="18"/>
      <c r="AA820" s="18"/>
      <c r="AB820" s="18"/>
    </row>
    <row r="821" spans="1:28" ht="13.2" x14ac:dyDescent="0.25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69"/>
      <c r="U821" s="18"/>
      <c r="V821" s="18"/>
      <c r="W821" s="18"/>
      <c r="X821" s="18"/>
      <c r="Y821" s="18"/>
      <c r="Z821" s="18"/>
      <c r="AA821" s="18"/>
      <c r="AB821" s="18"/>
    </row>
    <row r="822" spans="1:28" ht="13.2" x14ac:dyDescent="0.25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69"/>
      <c r="U822" s="18"/>
      <c r="V822" s="18"/>
      <c r="W822" s="18"/>
      <c r="X822" s="18"/>
      <c r="Y822" s="18"/>
      <c r="Z822" s="18"/>
      <c r="AA822" s="18"/>
      <c r="AB822" s="18"/>
    </row>
    <row r="823" spans="1:28" ht="13.2" x14ac:dyDescent="0.25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69"/>
      <c r="U823" s="18"/>
      <c r="V823" s="18"/>
      <c r="W823" s="18"/>
      <c r="X823" s="18"/>
      <c r="Y823" s="18"/>
      <c r="Z823" s="18"/>
      <c r="AA823" s="18"/>
      <c r="AB823" s="18"/>
    </row>
    <row r="824" spans="1:28" ht="13.2" x14ac:dyDescent="0.25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69"/>
      <c r="U824" s="18"/>
      <c r="V824" s="18"/>
      <c r="W824" s="18"/>
      <c r="X824" s="18"/>
      <c r="Y824" s="18"/>
      <c r="Z824" s="18"/>
      <c r="AA824" s="18"/>
      <c r="AB824" s="18"/>
    </row>
    <row r="825" spans="1:28" ht="13.2" x14ac:dyDescent="0.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69"/>
      <c r="U825" s="18"/>
      <c r="V825" s="18"/>
      <c r="W825" s="18"/>
      <c r="X825" s="18"/>
      <c r="Y825" s="18"/>
      <c r="Z825" s="18"/>
      <c r="AA825" s="18"/>
      <c r="AB825" s="18"/>
    </row>
    <row r="826" spans="1:28" ht="13.2" x14ac:dyDescent="0.25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69"/>
      <c r="U826" s="18"/>
      <c r="V826" s="18"/>
      <c r="W826" s="18"/>
      <c r="X826" s="18"/>
      <c r="Y826" s="18"/>
      <c r="Z826" s="18"/>
      <c r="AA826" s="18"/>
      <c r="AB826" s="18"/>
    </row>
    <row r="827" spans="1:28" ht="13.2" x14ac:dyDescent="0.25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69"/>
      <c r="U827" s="18"/>
      <c r="V827" s="18"/>
      <c r="W827" s="18"/>
      <c r="X827" s="18"/>
      <c r="Y827" s="18"/>
      <c r="Z827" s="18"/>
      <c r="AA827" s="18"/>
      <c r="AB827" s="18"/>
    </row>
    <row r="828" spans="1:28" ht="13.2" x14ac:dyDescent="0.25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69"/>
      <c r="U828" s="18"/>
      <c r="V828" s="18"/>
      <c r="W828" s="18"/>
      <c r="X828" s="18"/>
      <c r="Y828" s="18"/>
      <c r="Z828" s="18"/>
      <c r="AA828" s="18"/>
      <c r="AB828" s="18"/>
    </row>
    <row r="829" spans="1:28" ht="13.2" x14ac:dyDescent="0.25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69"/>
      <c r="U829" s="18"/>
      <c r="V829" s="18"/>
      <c r="W829" s="18"/>
      <c r="X829" s="18"/>
      <c r="Y829" s="18"/>
      <c r="Z829" s="18"/>
      <c r="AA829" s="18"/>
      <c r="AB829" s="18"/>
    </row>
    <row r="830" spans="1:28" ht="13.2" x14ac:dyDescent="0.25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69"/>
      <c r="U830" s="18"/>
      <c r="V830" s="18"/>
      <c r="W830" s="18"/>
      <c r="X830" s="18"/>
      <c r="Y830" s="18"/>
      <c r="Z830" s="18"/>
      <c r="AA830" s="18"/>
      <c r="AB830" s="18"/>
    </row>
    <row r="831" spans="1:28" ht="13.2" x14ac:dyDescent="0.25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69"/>
      <c r="U831" s="18"/>
      <c r="V831" s="18"/>
      <c r="W831" s="18"/>
      <c r="X831" s="18"/>
      <c r="Y831" s="18"/>
      <c r="Z831" s="18"/>
      <c r="AA831" s="18"/>
      <c r="AB831" s="18"/>
    </row>
    <row r="832" spans="1:28" ht="13.2" x14ac:dyDescent="0.25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69"/>
      <c r="U832" s="18"/>
      <c r="V832" s="18"/>
      <c r="W832" s="18"/>
      <c r="X832" s="18"/>
      <c r="Y832" s="18"/>
      <c r="Z832" s="18"/>
      <c r="AA832" s="18"/>
      <c r="AB832" s="18"/>
    </row>
    <row r="833" spans="1:28" ht="13.2" x14ac:dyDescent="0.25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69"/>
      <c r="U833" s="18"/>
      <c r="V833" s="18"/>
      <c r="W833" s="18"/>
      <c r="X833" s="18"/>
      <c r="Y833" s="18"/>
      <c r="Z833" s="18"/>
      <c r="AA833" s="18"/>
      <c r="AB833" s="18"/>
    </row>
    <row r="834" spans="1:28" ht="13.2" x14ac:dyDescent="0.25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69"/>
      <c r="U834" s="18"/>
      <c r="V834" s="18"/>
      <c r="W834" s="18"/>
      <c r="X834" s="18"/>
      <c r="Y834" s="18"/>
      <c r="Z834" s="18"/>
      <c r="AA834" s="18"/>
      <c r="AB834" s="18"/>
    </row>
    <row r="835" spans="1:28" ht="13.2" x14ac:dyDescent="0.2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69"/>
      <c r="U835" s="18"/>
      <c r="V835" s="18"/>
      <c r="W835" s="18"/>
      <c r="X835" s="18"/>
      <c r="Y835" s="18"/>
      <c r="Z835" s="18"/>
      <c r="AA835" s="18"/>
      <c r="AB835" s="18"/>
    </row>
    <row r="836" spans="1:28" ht="13.2" x14ac:dyDescent="0.25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69"/>
      <c r="U836" s="18"/>
      <c r="V836" s="18"/>
      <c r="W836" s="18"/>
      <c r="X836" s="18"/>
      <c r="Y836" s="18"/>
      <c r="Z836" s="18"/>
      <c r="AA836" s="18"/>
      <c r="AB836" s="18"/>
    </row>
    <row r="837" spans="1:28" ht="13.2" x14ac:dyDescent="0.25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69"/>
      <c r="U837" s="18"/>
      <c r="V837" s="18"/>
      <c r="W837" s="18"/>
      <c r="X837" s="18"/>
      <c r="Y837" s="18"/>
      <c r="Z837" s="18"/>
      <c r="AA837" s="18"/>
      <c r="AB837" s="18"/>
    </row>
    <row r="838" spans="1:28" ht="13.2" x14ac:dyDescent="0.25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69"/>
      <c r="U838" s="18"/>
      <c r="V838" s="18"/>
      <c r="W838" s="18"/>
      <c r="X838" s="18"/>
      <c r="Y838" s="18"/>
      <c r="Z838" s="18"/>
      <c r="AA838" s="18"/>
      <c r="AB838" s="18"/>
    </row>
    <row r="839" spans="1:28" ht="13.2" x14ac:dyDescent="0.25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69"/>
      <c r="U839" s="18"/>
      <c r="V839" s="18"/>
      <c r="W839" s="18"/>
      <c r="X839" s="18"/>
      <c r="Y839" s="18"/>
      <c r="Z839" s="18"/>
      <c r="AA839" s="18"/>
      <c r="AB839" s="18"/>
    </row>
    <row r="840" spans="1:28" ht="13.2" x14ac:dyDescent="0.25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69"/>
      <c r="U840" s="18"/>
      <c r="V840" s="18"/>
      <c r="W840" s="18"/>
      <c r="X840" s="18"/>
      <c r="Y840" s="18"/>
      <c r="Z840" s="18"/>
      <c r="AA840" s="18"/>
      <c r="AB840" s="18"/>
    </row>
    <row r="841" spans="1:28" ht="13.2" x14ac:dyDescent="0.25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69"/>
      <c r="U841" s="18"/>
      <c r="V841" s="18"/>
      <c r="W841" s="18"/>
      <c r="X841" s="18"/>
      <c r="Y841" s="18"/>
      <c r="Z841" s="18"/>
      <c r="AA841" s="18"/>
      <c r="AB841" s="18"/>
    </row>
    <row r="842" spans="1:28" ht="13.2" x14ac:dyDescent="0.25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69"/>
      <c r="U842" s="18"/>
      <c r="V842" s="18"/>
      <c r="W842" s="18"/>
      <c r="X842" s="18"/>
      <c r="Y842" s="18"/>
      <c r="Z842" s="18"/>
      <c r="AA842" s="18"/>
      <c r="AB842" s="18"/>
    </row>
    <row r="843" spans="1:28" ht="13.2" x14ac:dyDescent="0.25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69"/>
      <c r="U843" s="18"/>
      <c r="V843" s="18"/>
      <c r="W843" s="18"/>
      <c r="X843" s="18"/>
      <c r="Y843" s="18"/>
      <c r="Z843" s="18"/>
      <c r="AA843" s="18"/>
      <c r="AB843" s="18"/>
    </row>
    <row r="844" spans="1:28" ht="13.2" x14ac:dyDescent="0.25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69"/>
      <c r="U844" s="18"/>
      <c r="V844" s="18"/>
      <c r="W844" s="18"/>
      <c r="X844" s="18"/>
      <c r="Y844" s="18"/>
      <c r="Z844" s="18"/>
      <c r="AA844" s="18"/>
      <c r="AB844" s="18"/>
    </row>
    <row r="845" spans="1:28" ht="13.2" x14ac:dyDescent="0.2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69"/>
      <c r="U845" s="18"/>
      <c r="V845" s="18"/>
      <c r="W845" s="18"/>
      <c r="X845" s="18"/>
      <c r="Y845" s="18"/>
      <c r="Z845" s="18"/>
      <c r="AA845" s="18"/>
      <c r="AB845" s="18"/>
    </row>
    <row r="846" spans="1:28" ht="13.2" x14ac:dyDescent="0.25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69"/>
      <c r="U846" s="18"/>
      <c r="V846" s="18"/>
      <c r="W846" s="18"/>
      <c r="X846" s="18"/>
      <c r="Y846" s="18"/>
      <c r="Z846" s="18"/>
      <c r="AA846" s="18"/>
      <c r="AB846" s="18"/>
    </row>
    <row r="847" spans="1:28" ht="13.2" x14ac:dyDescent="0.25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69"/>
      <c r="U847" s="18"/>
      <c r="V847" s="18"/>
      <c r="W847" s="18"/>
      <c r="X847" s="18"/>
      <c r="Y847" s="18"/>
      <c r="Z847" s="18"/>
      <c r="AA847" s="18"/>
      <c r="AB847" s="18"/>
    </row>
    <row r="848" spans="1:28" ht="13.2" x14ac:dyDescent="0.25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69"/>
      <c r="U848" s="18"/>
      <c r="V848" s="18"/>
      <c r="W848" s="18"/>
      <c r="X848" s="18"/>
      <c r="Y848" s="18"/>
      <c r="Z848" s="18"/>
      <c r="AA848" s="18"/>
      <c r="AB848" s="18"/>
    </row>
    <row r="849" spans="1:28" ht="13.2" x14ac:dyDescent="0.25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69"/>
      <c r="U849" s="18"/>
      <c r="V849" s="18"/>
      <c r="W849" s="18"/>
      <c r="X849" s="18"/>
      <c r="Y849" s="18"/>
      <c r="Z849" s="18"/>
      <c r="AA849" s="18"/>
      <c r="AB849" s="18"/>
    </row>
    <row r="850" spans="1:28" ht="13.2" x14ac:dyDescent="0.25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69"/>
      <c r="U850" s="18"/>
      <c r="V850" s="18"/>
      <c r="W850" s="18"/>
      <c r="X850" s="18"/>
      <c r="Y850" s="18"/>
      <c r="Z850" s="18"/>
      <c r="AA850" s="18"/>
      <c r="AB850" s="18"/>
    </row>
    <row r="851" spans="1:28" ht="13.2" x14ac:dyDescent="0.25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69"/>
      <c r="U851" s="18"/>
      <c r="V851" s="18"/>
      <c r="W851" s="18"/>
      <c r="X851" s="18"/>
      <c r="Y851" s="18"/>
      <c r="Z851" s="18"/>
      <c r="AA851" s="18"/>
      <c r="AB851" s="18"/>
    </row>
    <row r="852" spans="1:28" ht="13.2" x14ac:dyDescent="0.25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69"/>
      <c r="U852" s="18"/>
      <c r="V852" s="18"/>
      <c r="W852" s="18"/>
      <c r="X852" s="18"/>
      <c r="Y852" s="18"/>
      <c r="Z852" s="18"/>
      <c r="AA852" s="18"/>
      <c r="AB852" s="18"/>
    </row>
    <row r="853" spans="1:28" ht="13.2" x14ac:dyDescent="0.25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69"/>
      <c r="U853" s="18"/>
      <c r="V853" s="18"/>
      <c r="W853" s="18"/>
      <c r="X853" s="18"/>
      <c r="Y853" s="18"/>
      <c r="Z853" s="18"/>
      <c r="AA853" s="18"/>
      <c r="AB853" s="18"/>
    </row>
    <row r="854" spans="1:28" ht="13.2" x14ac:dyDescent="0.25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69"/>
      <c r="U854" s="18"/>
      <c r="V854" s="18"/>
      <c r="W854" s="18"/>
      <c r="X854" s="18"/>
      <c r="Y854" s="18"/>
      <c r="Z854" s="18"/>
      <c r="AA854" s="18"/>
      <c r="AB854" s="18"/>
    </row>
    <row r="855" spans="1:28" ht="13.2" x14ac:dyDescent="0.2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69"/>
      <c r="U855" s="18"/>
      <c r="V855" s="18"/>
      <c r="W855" s="18"/>
      <c r="X855" s="18"/>
      <c r="Y855" s="18"/>
      <c r="Z855" s="18"/>
      <c r="AA855" s="18"/>
      <c r="AB855" s="18"/>
    </row>
    <row r="856" spans="1:28" ht="13.2" x14ac:dyDescent="0.25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69"/>
      <c r="U856" s="18"/>
      <c r="V856" s="18"/>
      <c r="W856" s="18"/>
      <c r="X856" s="18"/>
      <c r="Y856" s="18"/>
      <c r="Z856" s="18"/>
      <c r="AA856" s="18"/>
      <c r="AB856" s="18"/>
    </row>
    <row r="857" spans="1:28" ht="13.2" x14ac:dyDescent="0.25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69"/>
      <c r="U857" s="18"/>
      <c r="V857" s="18"/>
      <c r="W857" s="18"/>
      <c r="X857" s="18"/>
      <c r="Y857" s="18"/>
      <c r="Z857" s="18"/>
      <c r="AA857" s="18"/>
      <c r="AB857" s="18"/>
    </row>
    <row r="858" spans="1:28" ht="13.2" x14ac:dyDescent="0.25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69"/>
      <c r="U858" s="18"/>
      <c r="V858" s="18"/>
      <c r="W858" s="18"/>
      <c r="X858" s="18"/>
      <c r="Y858" s="18"/>
      <c r="Z858" s="18"/>
      <c r="AA858" s="18"/>
      <c r="AB858" s="18"/>
    </row>
    <row r="859" spans="1:28" ht="13.2" x14ac:dyDescent="0.25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69"/>
      <c r="U859" s="18"/>
      <c r="V859" s="18"/>
      <c r="W859" s="18"/>
      <c r="X859" s="18"/>
      <c r="Y859" s="18"/>
      <c r="Z859" s="18"/>
      <c r="AA859" s="18"/>
      <c r="AB859" s="18"/>
    </row>
    <row r="860" spans="1:28" ht="13.2" x14ac:dyDescent="0.25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69"/>
      <c r="U860" s="18"/>
      <c r="V860" s="18"/>
      <c r="W860" s="18"/>
      <c r="X860" s="18"/>
      <c r="Y860" s="18"/>
      <c r="Z860" s="18"/>
      <c r="AA860" s="18"/>
      <c r="AB860" s="18"/>
    </row>
    <row r="861" spans="1:28" ht="13.2" x14ac:dyDescent="0.25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69"/>
      <c r="U861" s="18"/>
      <c r="V861" s="18"/>
      <c r="W861" s="18"/>
      <c r="X861" s="18"/>
      <c r="Y861" s="18"/>
      <c r="Z861" s="18"/>
      <c r="AA861" s="18"/>
      <c r="AB861" s="18"/>
    </row>
    <row r="862" spans="1:28" ht="13.2" x14ac:dyDescent="0.25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69"/>
      <c r="U862" s="18"/>
      <c r="V862" s="18"/>
      <c r="W862" s="18"/>
      <c r="X862" s="18"/>
      <c r="Y862" s="18"/>
      <c r="Z862" s="18"/>
      <c r="AA862" s="18"/>
      <c r="AB862" s="18"/>
    </row>
    <row r="863" spans="1:28" ht="13.2" x14ac:dyDescent="0.25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69"/>
      <c r="U863" s="18"/>
      <c r="V863" s="18"/>
      <c r="W863" s="18"/>
      <c r="X863" s="18"/>
      <c r="Y863" s="18"/>
      <c r="Z863" s="18"/>
      <c r="AA863" s="18"/>
      <c r="AB863" s="18"/>
    </row>
    <row r="864" spans="1:28" ht="13.2" x14ac:dyDescent="0.25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69"/>
      <c r="U864" s="18"/>
      <c r="V864" s="18"/>
      <c r="W864" s="18"/>
      <c r="X864" s="18"/>
      <c r="Y864" s="18"/>
      <c r="Z864" s="18"/>
      <c r="AA864" s="18"/>
      <c r="AB864" s="18"/>
    </row>
    <row r="865" spans="1:28" ht="13.2" x14ac:dyDescent="0.2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69"/>
      <c r="U865" s="18"/>
      <c r="V865" s="18"/>
      <c r="W865" s="18"/>
      <c r="X865" s="18"/>
      <c r="Y865" s="18"/>
      <c r="Z865" s="18"/>
      <c r="AA865" s="18"/>
      <c r="AB865" s="18"/>
    </row>
    <row r="866" spans="1:28" ht="13.2" x14ac:dyDescent="0.25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69"/>
      <c r="U866" s="18"/>
      <c r="V866" s="18"/>
      <c r="W866" s="18"/>
      <c r="X866" s="18"/>
      <c r="Y866" s="18"/>
      <c r="Z866" s="18"/>
      <c r="AA866" s="18"/>
      <c r="AB866" s="18"/>
    </row>
    <row r="867" spans="1:28" ht="13.2" x14ac:dyDescent="0.25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69"/>
      <c r="U867" s="18"/>
      <c r="V867" s="18"/>
      <c r="W867" s="18"/>
      <c r="X867" s="18"/>
      <c r="Y867" s="18"/>
      <c r="Z867" s="18"/>
      <c r="AA867" s="18"/>
      <c r="AB867" s="18"/>
    </row>
    <row r="868" spans="1:28" ht="13.2" x14ac:dyDescent="0.25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69"/>
      <c r="U868" s="18"/>
      <c r="V868" s="18"/>
      <c r="W868" s="18"/>
      <c r="X868" s="18"/>
      <c r="Y868" s="18"/>
      <c r="Z868" s="18"/>
      <c r="AA868" s="18"/>
      <c r="AB868" s="18"/>
    </row>
    <row r="869" spans="1:28" ht="13.2" x14ac:dyDescent="0.25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69"/>
      <c r="U869" s="18"/>
      <c r="V869" s="18"/>
      <c r="W869" s="18"/>
      <c r="X869" s="18"/>
      <c r="Y869" s="18"/>
      <c r="Z869" s="18"/>
      <c r="AA869" s="18"/>
      <c r="AB869" s="18"/>
    </row>
    <row r="870" spans="1:28" ht="13.2" x14ac:dyDescent="0.25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69"/>
      <c r="U870" s="18"/>
      <c r="V870" s="18"/>
      <c r="W870" s="18"/>
      <c r="X870" s="18"/>
      <c r="Y870" s="18"/>
      <c r="Z870" s="18"/>
      <c r="AA870" s="18"/>
      <c r="AB870" s="18"/>
    </row>
    <row r="871" spans="1:28" ht="13.2" x14ac:dyDescent="0.25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69"/>
      <c r="U871" s="18"/>
      <c r="V871" s="18"/>
      <c r="W871" s="18"/>
      <c r="X871" s="18"/>
      <c r="Y871" s="18"/>
      <c r="Z871" s="18"/>
      <c r="AA871" s="18"/>
      <c r="AB871" s="18"/>
    </row>
    <row r="872" spans="1:28" ht="13.2" x14ac:dyDescent="0.25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69"/>
      <c r="U872" s="18"/>
      <c r="V872" s="18"/>
      <c r="W872" s="18"/>
      <c r="X872" s="18"/>
      <c r="Y872" s="18"/>
      <c r="Z872" s="18"/>
      <c r="AA872" s="18"/>
      <c r="AB872" s="18"/>
    </row>
    <row r="873" spans="1:28" ht="13.2" x14ac:dyDescent="0.25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69"/>
      <c r="U873" s="18"/>
      <c r="V873" s="18"/>
      <c r="W873" s="18"/>
      <c r="X873" s="18"/>
      <c r="Y873" s="18"/>
      <c r="Z873" s="18"/>
      <c r="AA873" s="18"/>
      <c r="AB873" s="18"/>
    </row>
    <row r="874" spans="1:28" ht="13.2" x14ac:dyDescent="0.25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69"/>
      <c r="U874" s="18"/>
      <c r="V874" s="18"/>
      <c r="W874" s="18"/>
      <c r="X874" s="18"/>
      <c r="Y874" s="18"/>
      <c r="Z874" s="18"/>
      <c r="AA874" s="18"/>
      <c r="AB874" s="18"/>
    </row>
    <row r="875" spans="1:28" ht="13.2" x14ac:dyDescent="0.2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69"/>
      <c r="U875" s="18"/>
      <c r="V875" s="18"/>
      <c r="W875" s="18"/>
      <c r="X875" s="18"/>
      <c r="Y875" s="18"/>
      <c r="Z875" s="18"/>
      <c r="AA875" s="18"/>
      <c r="AB875" s="18"/>
    </row>
    <row r="876" spans="1:28" ht="13.2" x14ac:dyDescent="0.25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69"/>
      <c r="U876" s="18"/>
      <c r="V876" s="18"/>
      <c r="W876" s="18"/>
      <c r="X876" s="18"/>
      <c r="Y876" s="18"/>
      <c r="Z876" s="18"/>
      <c r="AA876" s="18"/>
      <c r="AB876" s="18"/>
    </row>
    <row r="877" spans="1:28" ht="13.2" x14ac:dyDescent="0.25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69"/>
      <c r="U877" s="18"/>
      <c r="V877" s="18"/>
      <c r="W877" s="18"/>
      <c r="X877" s="18"/>
      <c r="Y877" s="18"/>
      <c r="Z877" s="18"/>
      <c r="AA877" s="18"/>
      <c r="AB877" s="18"/>
    </row>
    <row r="878" spans="1:28" ht="13.2" x14ac:dyDescent="0.25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69"/>
      <c r="U878" s="18"/>
      <c r="V878" s="18"/>
      <c r="W878" s="18"/>
      <c r="X878" s="18"/>
      <c r="Y878" s="18"/>
      <c r="Z878" s="18"/>
      <c r="AA878" s="18"/>
      <c r="AB878" s="18"/>
    </row>
    <row r="879" spans="1:28" ht="13.2" x14ac:dyDescent="0.25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69"/>
      <c r="U879" s="18"/>
      <c r="V879" s="18"/>
      <c r="W879" s="18"/>
      <c r="X879" s="18"/>
      <c r="Y879" s="18"/>
      <c r="Z879" s="18"/>
      <c r="AA879" s="18"/>
      <c r="AB879" s="18"/>
    </row>
    <row r="880" spans="1:28" ht="13.2" x14ac:dyDescent="0.25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69"/>
      <c r="U880" s="18"/>
      <c r="V880" s="18"/>
      <c r="W880" s="18"/>
      <c r="X880" s="18"/>
      <c r="Y880" s="18"/>
      <c r="Z880" s="18"/>
      <c r="AA880" s="18"/>
      <c r="AB880" s="18"/>
    </row>
    <row r="881" spans="1:28" ht="13.2" x14ac:dyDescent="0.25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69"/>
      <c r="U881" s="18"/>
      <c r="V881" s="18"/>
      <c r="W881" s="18"/>
      <c r="X881" s="18"/>
      <c r="Y881" s="18"/>
      <c r="Z881" s="18"/>
      <c r="AA881" s="18"/>
      <c r="AB881" s="18"/>
    </row>
    <row r="882" spans="1:28" ht="13.2" x14ac:dyDescent="0.25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69"/>
      <c r="U882" s="18"/>
      <c r="V882" s="18"/>
      <c r="W882" s="18"/>
      <c r="X882" s="18"/>
      <c r="Y882" s="18"/>
      <c r="Z882" s="18"/>
      <c r="AA882" s="18"/>
      <c r="AB882" s="18"/>
    </row>
    <row r="883" spans="1:28" ht="13.2" x14ac:dyDescent="0.25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69"/>
      <c r="U883" s="18"/>
      <c r="V883" s="18"/>
      <c r="W883" s="18"/>
      <c r="X883" s="18"/>
      <c r="Y883" s="18"/>
      <c r="Z883" s="18"/>
      <c r="AA883" s="18"/>
      <c r="AB883" s="18"/>
    </row>
    <row r="884" spans="1:28" ht="13.2" x14ac:dyDescent="0.25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69"/>
      <c r="U884" s="18"/>
      <c r="V884" s="18"/>
      <c r="W884" s="18"/>
      <c r="X884" s="18"/>
      <c r="Y884" s="18"/>
      <c r="Z884" s="18"/>
      <c r="AA884" s="18"/>
      <c r="AB884" s="18"/>
    </row>
    <row r="885" spans="1:28" ht="13.2" x14ac:dyDescent="0.2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69"/>
      <c r="U885" s="18"/>
      <c r="V885" s="18"/>
      <c r="W885" s="18"/>
      <c r="X885" s="18"/>
      <c r="Y885" s="18"/>
      <c r="Z885" s="18"/>
      <c r="AA885" s="18"/>
      <c r="AB885" s="18"/>
    </row>
    <row r="886" spans="1:28" ht="13.2" x14ac:dyDescent="0.25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69"/>
      <c r="U886" s="18"/>
      <c r="V886" s="18"/>
      <c r="W886" s="18"/>
      <c r="X886" s="18"/>
      <c r="Y886" s="18"/>
      <c r="Z886" s="18"/>
      <c r="AA886" s="18"/>
      <c r="AB886" s="18"/>
    </row>
    <row r="887" spans="1:28" ht="13.2" x14ac:dyDescent="0.25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69"/>
      <c r="U887" s="18"/>
      <c r="V887" s="18"/>
      <c r="W887" s="18"/>
      <c r="X887" s="18"/>
      <c r="Y887" s="18"/>
      <c r="Z887" s="18"/>
      <c r="AA887" s="18"/>
      <c r="AB887" s="18"/>
    </row>
    <row r="888" spans="1:28" ht="13.2" x14ac:dyDescent="0.25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69"/>
      <c r="U888" s="18"/>
      <c r="V888" s="18"/>
      <c r="W888" s="18"/>
      <c r="X888" s="18"/>
      <c r="Y888" s="18"/>
      <c r="Z888" s="18"/>
      <c r="AA888" s="18"/>
      <c r="AB888" s="18"/>
    </row>
    <row r="889" spans="1:28" ht="13.2" x14ac:dyDescent="0.25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69"/>
      <c r="U889" s="18"/>
      <c r="V889" s="18"/>
      <c r="W889" s="18"/>
      <c r="X889" s="18"/>
      <c r="Y889" s="18"/>
      <c r="Z889" s="18"/>
      <c r="AA889" s="18"/>
      <c r="AB889" s="18"/>
    </row>
    <row r="890" spans="1:28" ht="13.2" x14ac:dyDescent="0.25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69"/>
      <c r="U890" s="18"/>
      <c r="V890" s="18"/>
      <c r="W890" s="18"/>
      <c r="X890" s="18"/>
      <c r="Y890" s="18"/>
      <c r="Z890" s="18"/>
      <c r="AA890" s="18"/>
      <c r="AB890" s="18"/>
    </row>
    <row r="891" spans="1:28" ht="13.2" x14ac:dyDescent="0.25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69"/>
      <c r="U891" s="18"/>
      <c r="V891" s="18"/>
      <c r="W891" s="18"/>
      <c r="X891" s="18"/>
      <c r="Y891" s="18"/>
      <c r="Z891" s="18"/>
      <c r="AA891" s="18"/>
      <c r="AB891" s="18"/>
    </row>
    <row r="892" spans="1:28" ht="13.2" x14ac:dyDescent="0.25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69"/>
      <c r="U892" s="18"/>
      <c r="V892" s="18"/>
      <c r="W892" s="18"/>
      <c r="X892" s="18"/>
      <c r="Y892" s="18"/>
      <c r="Z892" s="18"/>
      <c r="AA892" s="18"/>
      <c r="AB892" s="18"/>
    </row>
    <row r="893" spans="1:28" ht="13.2" x14ac:dyDescent="0.25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69"/>
      <c r="U893" s="18"/>
      <c r="V893" s="18"/>
      <c r="W893" s="18"/>
      <c r="X893" s="18"/>
      <c r="Y893" s="18"/>
      <c r="Z893" s="18"/>
      <c r="AA893" s="18"/>
      <c r="AB893" s="18"/>
    </row>
    <row r="894" spans="1:28" ht="13.2" x14ac:dyDescent="0.25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69"/>
      <c r="U894" s="18"/>
      <c r="V894" s="18"/>
      <c r="W894" s="18"/>
      <c r="X894" s="18"/>
      <c r="Y894" s="18"/>
      <c r="Z894" s="18"/>
      <c r="AA894" s="18"/>
      <c r="AB894" s="18"/>
    </row>
    <row r="895" spans="1:28" ht="13.2" x14ac:dyDescent="0.2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69"/>
      <c r="U895" s="18"/>
      <c r="V895" s="18"/>
      <c r="W895" s="18"/>
      <c r="X895" s="18"/>
      <c r="Y895" s="18"/>
      <c r="Z895" s="18"/>
      <c r="AA895" s="18"/>
      <c r="AB895" s="18"/>
    </row>
    <row r="896" spans="1:28" ht="13.2" x14ac:dyDescent="0.25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69"/>
      <c r="U896" s="18"/>
      <c r="V896" s="18"/>
      <c r="W896" s="18"/>
      <c r="X896" s="18"/>
      <c r="Y896" s="18"/>
      <c r="Z896" s="18"/>
      <c r="AA896" s="18"/>
      <c r="AB896" s="18"/>
    </row>
    <row r="897" spans="1:28" ht="13.2" x14ac:dyDescent="0.25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69"/>
      <c r="U897" s="18"/>
      <c r="V897" s="18"/>
      <c r="W897" s="18"/>
      <c r="X897" s="18"/>
      <c r="Y897" s="18"/>
      <c r="Z897" s="18"/>
      <c r="AA897" s="18"/>
      <c r="AB897" s="18"/>
    </row>
    <row r="898" spans="1:28" ht="13.2" x14ac:dyDescent="0.25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69"/>
      <c r="U898" s="18"/>
      <c r="V898" s="18"/>
      <c r="W898" s="18"/>
      <c r="X898" s="18"/>
      <c r="Y898" s="18"/>
      <c r="Z898" s="18"/>
      <c r="AA898" s="18"/>
      <c r="AB898" s="18"/>
    </row>
    <row r="899" spans="1:28" ht="13.2" x14ac:dyDescent="0.25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69"/>
      <c r="U899" s="18"/>
      <c r="V899" s="18"/>
      <c r="W899" s="18"/>
      <c r="X899" s="18"/>
      <c r="Y899" s="18"/>
      <c r="Z899" s="18"/>
      <c r="AA899" s="18"/>
      <c r="AB899" s="18"/>
    </row>
    <row r="900" spans="1:28" ht="13.2" x14ac:dyDescent="0.25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69"/>
      <c r="U900" s="18"/>
      <c r="V900" s="18"/>
      <c r="W900" s="18"/>
      <c r="X900" s="18"/>
      <c r="Y900" s="18"/>
      <c r="Z900" s="18"/>
      <c r="AA900" s="18"/>
      <c r="AB900" s="18"/>
    </row>
    <row r="901" spans="1:28" ht="13.2" x14ac:dyDescent="0.25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69"/>
      <c r="U901" s="18"/>
      <c r="V901" s="18"/>
      <c r="W901" s="18"/>
      <c r="X901" s="18"/>
      <c r="Y901" s="18"/>
      <c r="Z901" s="18"/>
      <c r="AA901" s="18"/>
      <c r="AB901" s="18"/>
    </row>
    <row r="902" spans="1:28" ht="13.2" x14ac:dyDescent="0.25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69"/>
      <c r="U902" s="18"/>
      <c r="V902" s="18"/>
      <c r="W902" s="18"/>
      <c r="X902" s="18"/>
      <c r="Y902" s="18"/>
      <c r="Z902" s="18"/>
      <c r="AA902" s="18"/>
      <c r="AB902" s="18"/>
    </row>
    <row r="903" spans="1:28" ht="13.2" x14ac:dyDescent="0.25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69"/>
      <c r="U903" s="18"/>
      <c r="V903" s="18"/>
      <c r="W903" s="18"/>
      <c r="X903" s="18"/>
      <c r="Y903" s="18"/>
      <c r="Z903" s="18"/>
      <c r="AA903" s="18"/>
      <c r="AB903" s="18"/>
    </row>
    <row r="904" spans="1:28" ht="13.2" x14ac:dyDescent="0.25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69"/>
      <c r="U904" s="18"/>
      <c r="V904" s="18"/>
      <c r="W904" s="18"/>
      <c r="X904" s="18"/>
      <c r="Y904" s="18"/>
      <c r="Z904" s="18"/>
      <c r="AA904" s="18"/>
      <c r="AB904" s="18"/>
    </row>
    <row r="905" spans="1:28" ht="13.2" x14ac:dyDescent="0.2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69"/>
      <c r="U905" s="18"/>
      <c r="V905" s="18"/>
      <c r="W905" s="18"/>
      <c r="X905" s="18"/>
      <c r="Y905" s="18"/>
      <c r="Z905" s="18"/>
      <c r="AA905" s="18"/>
      <c r="AB905" s="18"/>
    </row>
    <row r="906" spans="1:28" ht="13.2" x14ac:dyDescent="0.25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69"/>
      <c r="U906" s="18"/>
      <c r="V906" s="18"/>
      <c r="W906" s="18"/>
      <c r="X906" s="18"/>
      <c r="Y906" s="18"/>
      <c r="Z906" s="18"/>
      <c r="AA906" s="18"/>
      <c r="AB906" s="18"/>
    </row>
    <row r="907" spans="1:28" ht="13.2" x14ac:dyDescent="0.25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69"/>
      <c r="U907" s="18"/>
      <c r="V907" s="18"/>
      <c r="W907" s="18"/>
      <c r="X907" s="18"/>
      <c r="Y907" s="18"/>
      <c r="Z907" s="18"/>
      <c r="AA907" s="18"/>
      <c r="AB907" s="18"/>
    </row>
    <row r="908" spans="1:28" ht="13.2" x14ac:dyDescent="0.25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69"/>
      <c r="U908" s="18"/>
      <c r="V908" s="18"/>
      <c r="W908" s="18"/>
      <c r="X908" s="18"/>
      <c r="Y908" s="18"/>
      <c r="Z908" s="18"/>
      <c r="AA908" s="18"/>
      <c r="AB908" s="18"/>
    </row>
    <row r="909" spans="1:28" ht="13.2" x14ac:dyDescent="0.25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69"/>
      <c r="U909" s="18"/>
      <c r="V909" s="18"/>
      <c r="W909" s="18"/>
      <c r="X909" s="18"/>
      <c r="Y909" s="18"/>
      <c r="Z909" s="18"/>
      <c r="AA909" s="18"/>
      <c r="AB909" s="18"/>
    </row>
    <row r="910" spans="1:28" ht="13.2" x14ac:dyDescent="0.25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69"/>
      <c r="U910" s="18"/>
      <c r="V910" s="18"/>
      <c r="W910" s="18"/>
      <c r="X910" s="18"/>
      <c r="Y910" s="18"/>
      <c r="Z910" s="18"/>
      <c r="AA910" s="18"/>
      <c r="AB910" s="18"/>
    </row>
    <row r="911" spans="1:28" ht="13.2" x14ac:dyDescent="0.25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69"/>
      <c r="U911" s="18"/>
      <c r="V911" s="18"/>
      <c r="W911" s="18"/>
      <c r="X911" s="18"/>
      <c r="Y911" s="18"/>
      <c r="Z911" s="18"/>
      <c r="AA911" s="18"/>
      <c r="AB911" s="18"/>
    </row>
    <row r="912" spans="1:28" ht="13.2" x14ac:dyDescent="0.25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69"/>
      <c r="U912" s="18"/>
      <c r="V912" s="18"/>
      <c r="W912" s="18"/>
      <c r="X912" s="18"/>
      <c r="Y912" s="18"/>
      <c r="Z912" s="18"/>
      <c r="AA912" s="18"/>
      <c r="AB912" s="18"/>
    </row>
    <row r="913" spans="1:28" ht="13.2" x14ac:dyDescent="0.25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69"/>
      <c r="U913" s="18"/>
      <c r="V913" s="18"/>
      <c r="W913" s="18"/>
      <c r="X913" s="18"/>
      <c r="Y913" s="18"/>
      <c r="Z913" s="18"/>
      <c r="AA913" s="18"/>
      <c r="AB913" s="18"/>
    </row>
    <row r="914" spans="1:28" ht="13.2" x14ac:dyDescent="0.25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69"/>
      <c r="U914" s="18"/>
      <c r="V914" s="18"/>
      <c r="W914" s="18"/>
      <c r="X914" s="18"/>
      <c r="Y914" s="18"/>
      <c r="Z914" s="18"/>
      <c r="AA914" s="18"/>
      <c r="AB914" s="18"/>
    </row>
    <row r="915" spans="1:28" ht="13.2" x14ac:dyDescent="0.2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69"/>
      <c r="U915" s="18"/>
      <c r="V915" s="18"/>
      <c r="W915" s="18"/>
      <c r="X915" s="18"/>
      <c r="Y915" s="18"/>
      <c r="Z915" s="18"/>
      <c r="AA915" s="18"/>
      <c r="AB915" s="18"/>
    </row>
    <row r="916" spans="1:28" ht="13.2" x14ac:dyDescent="0.25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69"/>
      <c r="U916" s="18"/>
      <c r="V916" s="18"/>
      <c r="W916" s="18"/>
      <c r="X916" s="18"/>
      <c r="Y916" s="18"/>
      <c r="Z916" s="18"/>
      <c r="AA916" s="18"/>
      <c r="AB916" s="18"/>
    </row>
    <row r="917" spans="1:28" ht="13.2" x14ac:dyDescent="0.25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69"/>
      <c r="U917" s="18"/>
      <c r="V917" s="18"/>
      <c r="W917" s="18"/>
      <c r="X917" s="18"/>
      <c r="Y917" s="18"/>
      <c r="Z917" s="18"/>
      <c r="AA917" s="18"/>
      <c r="AB917" s="18"/>
    </row>
    <row r="918" spans="1:28" ht="13.2" x14ac:dyDescent="0.25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69"/>
      <c r="U918" s="18"/>
      <c r="V918" s="18"/>
      <c r="W918" s="18"/>
      <c r="X918" s="18"/>
      <c r="Y918" s="18"/>
      <c r="Z918" s="18"/>
      <c r="AA918" s="18"/>
      <c r="AB918" s="18"/>
    </row>
    <row r="919" spans="1:28" ht="13.2" x14ac:dyDescent="0.25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69"/>
      <c r="U919" s="18"/>
      <c r="V919" s="18"/>
      <c r="W919" s="18"/>
      <c r="X919" s="18"/>
      <c r="Y919" s="18"/>
      <c r="Z919" s="18"/>
      <c r="AA919" s="18"/>
      <c r="AB919" s="18"/>
    </row>
    <row r="920" spans="1:28" ht="13.2" x14ac:dyDescent="0.25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69"/>
      <c r="U920" s="18"/>
      <c r="V920" s="18"/>
      <c r="W920" s="18"/>
      <c r="X920" s="18"/>
      <c r="Y920" s="18"/>
      <c r="Z920" s="18"/>
      <c r="AA920" s="18"/>
      <c r="AB920" s="18"/>
    </row>
    <row r="921" spans="1:28" ht="13.2" x14ac:dyDescent="0.25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69"/>
      <c r="U921" s="18"/>
      <c r="V921" s="18"/>
      <c r="W921" s="18"/>
      <c r="X921" s="18"/>
      <c r="Y921" s="18"/>
      <c r="Z921" s="18"/>
      <c r="AA921" s="18"/>
      <c r="AB921" s="18"/>
    </row>
    <row r="922" spans="1:28" ht="13.2" x14ac:dyDescent="0.25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69"/>
      <c r="U922" s="18"/>
      <c r="V922" s="18"/>
      <c r="W922" s="18"/>
      <c r="X922" s="18"/>
      <c r="Y922" s="18"/>
      <c r="Z922" s="18"/>
      <c r="AA922" s="18"/>
      <c r="AB922" s="18"/>
    </row>
    <row r="923" spans="1:28" ht="13.2" x14ac:dyDescent="0.25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69"/>
      <c r="U923" s="18"/>
      <c r="V923" s="18"/>
      <c r="W923" s="18"/>
      <c r="X923" s="18"/>
      <c r="Y923" s="18"/>
      <c r="Z923" s="18"/>
      <c r="AA923" s="18"/>
      <c r="AB923" s="18"/>
    </row>
    <row r="924" spans="1:28" ht="13.2" x14ac:dyDescent="0.25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69"/>
      <c r="U924" s="18"/>
      <c r="V924" s="18"/>
      <c r="W924" s="18"/>
      <c r="X924" s="18"/>
      <c r="Y924" s="18"/>
      <c r="Z924" s="18"/>
      <c r="AA924" s="18"/>
      <c r="AB924" s="18"/>
    </row>
    <row r="925" spans="1:28" ht="13.2" x14ac:dyDescent="0.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69"/>
      <c r="U925" s="18"/>
      <c r="V925" s="18"/>
      <c r="W925" s="18"/>
      <c r="X925" s="18"/>
      <c r="Y925" s="18"/>
      <c r="Z925" s="18"/>
      <c r="AA925" s="18"/>
      <c r="AB925" s="18"/>
    </row>
    <row r="926" spans="1:28" ht="13.2" x14ac:dyDescent="0.25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69"/>
      <c r="U926" s="18"/>
      <c r="V926" s="18"/>
      <c r="W926" s="18"/>
      <c r="X926" s="18"/>
      <c r="Y926" s="18"/>
      <c r="Z926" s="18"/>
      <c r="AA926" s="18"/>
      <c r="AB926" s="18"/>
    </row>
    <row r="927" spans="1:28" ht="13.2" x14ac:dyDescent="0.25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69"/>
      <c r="U927" s="18"/>
      <c r="V927" s="18"/>
      <c r="W927" s="18"/>
      <c r="X927" s="18"/>
      <c r="Y927" s="18"/>
      <c r="Z927" s="18"/>
      <c r="AA927" s="18"/>
      <c r="AB927" s="18"/>
    </row>
    <row r="928" spans="1:28" ht="13.2" x14ac:dyDescent="0.25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69"/>
      <c r="U928" s="18"/>
      <c r="V928" s="18"/>
      <c r="W928" s="18"/>
      <c r="X928" s="18"/>
      <c r="Y928" s="18"/>
      <c r="Z928" s="18"/>
      <c r="AA928" s="18"/>
      <c r="AB928" s="18"/>
    </row>
    <row r="929" spans="1:28" ht="13.2" x14ac:dyDescent="0.25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69"/>
      <c r="U929" s="18"/>
      <c r="V929" s="18"/>
      <c r="W929" s="18"/>
      <c r="X929" s="18"/>
      <c r="Y929" s="18"/>
      <c r="Z929" s="18"/>
      <c r="AA929" s="18"/>
      <c r="AB929" s="18"/>
    </row>
    <row r="930" spans="1:28" ht="13.2" x14ac:dyDescent="0.25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69"/>
      <c r="U930" s="18"/>
      <c r="V930" s="18"/>
      <c r="W930" s="18"/>
      <c r="X930" s="18"/>
      <c r="Y930" s="18"/>
      <c r="Z930" s="18"/>
      <c r="AA930" s="18"/>
      <c r="AB930" s="18"/>
    </row>
    <row r="931" spans="1:28" ht="13.2" x14ac:dyDescent="0.25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69"/>
      <c r="U931" s="18"/>
      <c r="V931" s="18"/>
      <c r="W931" s="18"/>
      <c r="X931" s="18"/>
      <c r="Y931" s="18"/>
      <c r="Z931" s="18"/>
      <c r="AA931" s="18"/>
      <c r="AB931" s="18"/>
    </row>
    <row r="932" spans="1:28" ht="13.2" x14ac:dyDescent="0.25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69"/>
      <c r="U932" s="18"/>
      <c r="V932" s="18"/>
      <c r="W932" s="18"/>
      <c r="X932" s="18"/>
      <c r="Y932" s="18"/>
      <c r="Z932" s="18"/>
      <c r="AA932" s="18"/>
      <c r="AB932" s="18"/>
    </row>
    <row r="933" spans="1:28" ht="13.2" x14ac:dyDescent="0.25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69"/>
      <c r="U933" s="18"/>
      <c r="V933" s="18"/>
      <c r="W933" s="18"/>
      <c r="X933" s="18"/>
      <c r="Y933" s="18"/>
      <c r="Z933" s="18"/>
      <c r="AA933" s="18"/>
      <c r="AB933" s="18"/>
    </row>
    <row r="934" spans="1:28" ht="13.2" x14ac:dyDescent="0.25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69"/>
      <c r="U934" s="18"/>
      <c r="V934" s="18"/>
      <c r="W934" s="18"/>
      <c r="X934" s="18"/>
      <c r="Y934" s="18"/>
      <c r="Z934" s="18"/>
      <c r="AA934" s="18"/>
      <c r="AB934" s="18"/>
    </row>
    <row r="935" spans="1:28" ht="13.2" x14ac:dyDescent="0.2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69"/>
      <c r="U935" s="18"/>
      <c r="V935" s="18"/>
      <c r="W935" s="18"/>
      <c r="X935" s="18"/>
      <c r="Y935" s="18"/>
      <c r="Z935" s="18"/>
      <c r="AA935" s="18"/>
      <c r="AB935" s="18"/>
    </row>
    <row r="936" spans="1:28" ht="13.2" x14ac:dyDescent="0.25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69"/>
      <c r="U936" s="18"/>
      <c r="V936" s="18"/>
      <c r="W936" s="18"/>
      <c r="X936" s="18"/>
      <c r="Y936" s="18"/>
      <c r="Z936" s="18"/>
      <c r="AA936" s="18"/>
      <c r="AB936" s="18"/>
    </row>
    <row r="937" spans="1:28" ht="13.2" x14ac:dyDescent="0.25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69"/>
      <c r="U937" s="18"/>
      <c r="V937" s="18"/>
      <c r="W937" s="18"/>
      <c r="X937" s="18"/>
      <c r="Y937" s="18"/>
      <c r="Z937" s="18"/>
      <c r="AA937" s="18"/>
      <c r="AB937" s="18"/>
    </row>
    <row r="938" spans="1:28" ht="13.2" x14ac:dyDescent="0.25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69"/>
      <c r="U938" s="18"/>
      <c r="V938" s="18"/>
      <c r="W938" s="18"/>
      <c r="X938" s="18"/>
      <c r="Y938" s="18"/>
      <c r="Z938" s="18"/>
      <c r="AA938" s="18"/>
      <c r="AB938" s="18"/>
    </row>
    <row r="939" spans="1:28" ht="13.2" x14ac:dyDescent="0.25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69"/>
      <c r="U939" s="18"/>
      <c r="V939" s="18"/>
      <c r="W939" s="18"/>
      <c r="X939" s="18"/>
      <c r="Y939" s="18"/>
      <c r="Z939" s="18"/>
      <c r="AA939" s="18"/>
      <c r="AB939" s="18"/>
    </row>
    <row r="940" spans="1:28" ht="13.2" x14ac:dyDescent="0.25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69"/>
      <c r="U940" s="18"/>
      <c r="V940" s="18"/>
      <c r="W940" s="18"/>
      <c r="X940" s="18"/>
      <c r="Y940" s="18"/>
      <c r="Z940" s="18"/>
      <c r="AA940" s="18"/>
      <c r="AB940" s="18"/>
    </row>
    <row r="941" spans="1:28" ht="13.2" x14ac:dyDescent="0.25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69"/>
      <c r="U941" s="18"/>
      <c r="V941" s="18"/>
      <c r="W941" s="18"/>
      <c r="X941" s="18"/>
      <c r="Y941" s="18"/>
      <c r="Z941" s="18"/>
      <c r="AA941" s="18"/>
      <c r="AB941" s="18"/>
    </row>
    <row r="942" spans="1:28" ht="13.2" x14ac:dyDescent="0.25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69"/>
      <c r="U942" s="18"/>
      <c r="V942" s="18"/>
      <c r="W942" s="18"/>
      <c r="X942" s="18"/>
      <c r="Y942" s="18"/>
      <c r="Z942" s="18"/>
      <c r="AA942" s="18"/>
      <c r="AB942" s="18"/>
    </row>
    <row r="943" spans="1:28" ht="13.2" x14ac:dyDescent="0.25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69"/>
      <c r="U943" s="18"/>
      <c r="V943" s="18"/>
      <c r="W943" s="18"/>
      <c r="X943" s="18"/>
      <c r="Y943" s="18"/>
      <c r="Z943" s="18"/>
      <c r="AA943" s="18"/>
      <c r="AB943" s="18"/>
    </row>
    <row r="944" spans="1:28" ht="13.2" x14ac:dyDescent="0.25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69"/>
      <c r="U944" s="18"/>
      <c r="V944" s="18"/>
      <c r="W944" s="18"/>
      <c r="X944" s="18"/>
      <c r="Y944" s="18"/>
      <c r="Z944" s="18"/>
      <c r="AA944" s="18"/>
      <c r="AB944" s="18"/>
    </row>
    <row r="945" spans="1:28" ht="13.2" x14ac:dyDescent="0.2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69"/>
      <c r="U945" s="18"/>
      <c r="V945" s="18"/>
      <c r="W945" s="18"/>
      <c r="X945" s="18"/>
      <c r="Y945" s="18"/>
      <c r="Z945" s="18"/>
      <c r="AA945" s="18"/>
      <c r="AB945" s="18"/>
    </row>
    <row r="946" spans="1:28" ht="13.2" x14ac:dyDescent="0.25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69"/>
      <c r="U946" s="18"/>
      <c r="V946" s="18"/>
      <c r="W946" s="18"/>
      <c r="X946" s="18"/>
      <c r="Y946" s="18"/>
      <c r="Z946" s="18"/>
      <c r="AA946" s="18"/>
      <c r="AB946" s="18"/>
    </row>
    <row r="947" spans="1:28" ht="13.2" x14ac:dyDescent="0.25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69"/>
      <c r="U947" s="18"/>
      <c r="V947" s="18"/>
      <c r="W947" s="18"/>
      <c r="X947" s="18"/>
      <c r="Y947" s="18"/>
      <c r="Z947" s="18"/>
      <c r="AA947" s="18"/>
      <c r="AB947" s="18"/>
    </row>
    <row r="948" spans="1:28" ht="13.2" x14ac:dyDescent="0.25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69"/>
      <c r="U948" s="18"/>
      <c r="V948" s="18"/>
      <c r="W948" s="18"/>
      <c r="X948" s="18"/>
      <c r="Y948" s="18"/>
      <c r="Z948" s="18"/>
      <c r="AA948" s="18"/>
      <c r="AB948" s="18"/>
    </row>
    <row r="949" spans="1:28" ht="13.2" x14ac:dyDescent="0.25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69"/>
      <c r="U949" s="18"/>
      <c r="V949" s="18"/>
      <c r="W949" s="18"/>
      <c r="X949" s="18"/>
      <c r="Y949" s="18"/>
      <c r="Z949" s="18"/>
      <c r="AA949" s="18"/>
      <c r="AB949" s="18"/>
    </row>
    <row r="950" spans="1:28" ht="13.2" x14ac:dyDescent="0.25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69"/>
      <c r="U950" s="18"/>
      <c r="V950" s="18"/>
      <c r="W950" s="18"/>
      <c r="X950" s="18"/>
      <c r="Y950" s="18"/>
      <c r="Z950" s="18"/>
      <c r="AA950" s="18"/>
      <c r="AB950" s="18"/>
    </row>
  </sheetData>
  <mergeCells count="1">
    <mergeCell ref="T7:T16"/>
  </mergeCells>
  <conditionalFormatting sqref="D69:O69 D76:O76 D92:O92">
    <cfRule type="cellIs" dxfId="1" priority="1" operator="lessThan">
      <formula>0</formula>
    </cfRule>
    <cfRule type="cellIs" dxfId="0" priority="2" operator="greater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2022</vt:lpstr>
      <vt:lpstr>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Laura</cp:lastModifiedBy>
  <dcterms:created xsi:type="dcterms:W3CDTF">2023-09-05T19:58:01Z</dcterms:created>
  <dcterms:modified xsi:type="dcterms:W3CDTF">2023-09-06T01:41:46Z</dcterms:modified>
</cp:coreProperties>
</file>