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1" activeTab="4"/>
  </bookViews>
  <sheets>
    <sheet name="Free Cash Flow" sheetId="2" r:id="rId1"/>
    <sheet name="Fixed Assets" sheetId="3" r:id="rId2"/>
    <sheet name="Net Working Capital" sheetId="4" r:id="rId3"/>
    <sheet name="DCF" sheetId="5" r:id="rId4"/>
    <sheet name="WACC" sheetId="6" r:id="rId5"/>
    <sheet name="Income Statement" sheetId="8" r:id="rId6"/>
    <sheet name="Balance Sheet" sheetId="9" r:id="rId7"/>
    <sheet name="Cash Flow Statemen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C11" authorId="0">
      <text>
        <r>
          <rPr>
            <sz val="10"/>
            <rFont val="SimSun"/>
            <charset val="134"/>
          </rPr>
          <t>======
ID#AAAAccCPVgc
kenji    (2022-07-02 07:51:37)
Industry Growth Rate</t>
        </r>
      </text>
    </comment>
    <comment ref="C20" authorId="0">
      <text>
        <r>
          <rPr>
            <sz val="10"/>
            <rFont val="SimSun"/>
            <charset val="134"/>
          </rPr>
          <t>======
ID#AAAAccCPVgg
kenji    (2022-07-02 07:51:37)
Source: Company 10k filing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3" authorId="0">
      <text>
        <r>
          <rPr>
            <sz val="10"/>
            <rFont val="SimSun"/>
            <charset val="134"/>
          </rPr>
          <t>======
ID#AAAAccCPVgU
kenji    (2022-07-02 07:51:37)
Source: Bloomberg</t>
        </r>
      </text>
    </comment>
    <comment ref="C7" authorId="0">
      <text>
        <r>
          <rPr>
            <sz val="10"/>
            <rFont val="SimSun"/>
            <charset val="134"/>
          </rPr>
          <t>======
ID#AAAAccCPVgk
kenji    (2022-07-02 07:51:37)
US Corporate Tax Rate</t>
        </r>
      </text>
    </comment>
    <comment ref="C11" authorId="0">
      <text/>
    </comment>
    <comment ref="C12" authorId="0">
      <text>
        <r>
          <rPr>
            <sz val="10"/>
            <rFont val="SimSun"/>
            <charset val="134"/>
          </rPr>
          <t>======
ID#AAAAccCPVgo
kenji    (2022-07-02 07:51:37)
Source: Bloomberg</t>
        </r>
      </text>
    </comment>
    <comment ref="C14" authorId="0">
      <text>
        <r>
          <rPr>
            <sz val="10"/>
            <rFont val="SimSun"/>
            <charset val="134"/>
          </rPr>
          <t>======
ID#AAAAccCPVgY
kenji    (2022-07-02 07:51:37)
Source: Bloomberg</t>
        </r>
      </text>
    </comment>
  </commentList>
</comments>
</file>

<file path=xl/sharedStrings.xml><?xml version="1.0" encoding="utf-8"?>
<sst xmlns="http://schemas.openxmlformats.org/spreadsheetml/2006/main" count="195" uniqueCount="173">
  <si>
    <t>Unlevered Free Cash Flow (mm)</t>
  </si>
  <si>
    <t>Fiscal Year</t>
  </si>
  <si>
    <t>Revenue</t>
  </si>
  <si>
    <t>COGS</t>
  </si>
  <si>
    <t>Gross Profit</t>
  </si>
  <si>
    <t>Operating Expenses</t>
  </si>
  <si>
    <t>Selling, General, Administrative</t>
  </si>
  <si>
    <t>Total Operating Expenses</t>
  </si>
  <si>
    <t>EBITDA</t>
  </si>
  <si>
    <t>Depreciation &amp; Amortization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</si>
  <si>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</si>
  <si>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</si>
  <si>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</si>
  <si>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</si>
  <si>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</si>
  <si>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</si>
  <si>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</si>
  <si>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Assets</t>
  </si>
  <si>
    <t>Current Liabilitites</t>
  </si>
  <si>
    <t>Unlevered Free Cash Flow</t>
  </si>
  <si>
    <t>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</si>
  <si>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</si>
  <si>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</si>
  <si>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</si>
  <si>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</si>
  <si>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</si>
  <si>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</si>
  <si>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</si>
  <si>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CapEx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</si>
  <si>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</si>
  <si>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</si>
  <si>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</si>
  <si>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</si>
  <si>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</si>
  <si>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</si>
  <si>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</si>
  <si>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Accounts Payable</t>
  </si>
  <si>
    <t>Accrued Salaries and Benefits</t>
  </si>
  <si>
    <t>Accrued Member Rewards</t>
  </si>
  <si>
    <t>Deferred Membership Fees</t>
  </si>
  <si>
    <t>Other Current Liabilities</t>
  </si>
  <si>
    <t>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</si>
  <si>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</si>
  <si>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</si>
  <si>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</si>
  <si>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</si>
  <si>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</si>
  <si>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</si>
  <si>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</si>
  <si>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</si>
  <si>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Projection Year</t>
  </si>
  <si>
    <t>Present Value of Free Cash Flow</t>
  </si>
  <si>
    <t>Implied Share Price Calculation</t>
  </si>
  <si>
    <t>Sum of PV of FCF</t>
  </si>
  <si>
    <t>Growth Rate</t>
  </si>
  <si>
    <t>WACC</t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</si>
  <si>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</si>
  <si>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</si>
  <si>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</si>
  <si>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</si>
  <si>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</si>
  <si>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</si>
  <si>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</si>
  <si>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t>Diluted Shares Outstanding (mm)</t>
  </si>
  <si>
    <t>Implied Share Price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</si>
  <si>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</si>
  <si>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</si>
  <si>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</si>
  <si>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</si>
  <si>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</si>
  <si>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</si>
  <si>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</si>
  <si>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</si>
  <si>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</si>
  <si>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</si>
  <si>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Levered Beta</t>
  </si>
  <si>
    <t>E/(D+E)</t>
  </si>
  <si>
    <t>Cost of Equity</t>
  </si>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</sst>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0.0%"/>
    <numFmt numFmtId="182" formatCode="yyyy\A"/>
    <numFmt numFmtId="183" formatCode="yyyy\E"/>
    <numFmt numFmtId="184" formatCode="0.0"/>
    <numFmt numFmtId="185" formatCode="#,##0_);\(#,##0\);\-\-_)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0"/>
      <name val="Calibri"/>
      <charset val="134"/>
    </font>
    <font>
      <sz val="11"/>
      <name val="Calibri"/>
      <charset val="134"/>
      <scheme val="minor"/>
    </font>
    <font>
      <sz val="11"/>
      <color rgb="FF0000FF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0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180" fontId="1" fillId="0" borderId="0" xfId="0" applyNumberFormat="1" applyFont="1"/>
    <xf numFmtId="4" fontId="1" fillId="0" borderId="0" xfId="0" applyNumberFormat="1" applyFont="1"/>
    <xf numFmtId="0" fontId="2" fillId="2" borderId="0" xfId="0" applyFont="1" applyFill="1" applyBorder="1" applyAlignment="1">
      <alignment horizontal="center"/>
    </xf>
    <xf numFmtId="0" fontId="3" fillId="0" borderId="0" xfId="0" applyFont="1" applyBorder="1"/>
    <xf numFmtId="0" fontId="1" fillId="0" borderId="0" xfId="0" applyFont="1"/>
    <xf numFmtId="3" fontId="4" fillId="0" borderId="0" xfId="0" applyNumberFormat="1" applyFont="1"/>
    <xf numFmtId="181" fontId="1" fillId="0" borderId="0" xfId="0" applyNumberFormat="1" applyFont="1"/>
    <xf numFmtId="181" fontId="4" fillId="0" borderId="0" xfId="0" applyNumberFormat="1" applyFont="1"/>
    <xf numFmtId="0" fontId="5" fillId="0" borderId="1" xfId="0" applyFont="1" applyBorder="1"/>
    <xf numFmtId="181" fontId="5" fillId="0" borderId="1" xfId="0" applyNumberFormat="1" applyFont="1" applyBorder="1"/>
    <xf numFmtId="0" fontId="5" fillId="0" borderId="0" xfId="0" applyFont="1"/>
    <xf numFmtId="181" fontId="5" fillId="0" borderId="0" xfId="0" applyNumberFormat="1" applyFont="1"/>
    <xf numFmtId="0" fontId="4" fillId="0" borderId="0" xfId="0" applyFont="1"/>
    <xf numFmtId="0" fontId="5" fillId="3" borderId="1" xfId="0" applyFont="1" applyFill="1" applyBorder="1"/>
    <xf numFmtId="181" fontId="5" fillId="3" borderId="1" xfId="0" applyNumberFormat="1" applyFont="1" applyFill="1" applyBorder="1"/>
    <xf numFmtId="0" fontId="2" fillId="2" borderId="0" xfId="0" applyFont="1" applyFill="1" applyBorder="1"/>
    <xf numFmtId="0" fontId="1" fillId="4" borderId="2" xfId="0" applyFont="1" applyFill="1" applyBorder="1"/>
    <xf numFmtId="182" fontId="1" fillId="4" borderId="2" xfId="0" applyNumberFormat="1" applyFont="1" applyFill="1" applyBorder="1"/>
    <xf numFmtId="183" fontId="1" fillId="4" borderId="2" xfId="0" applyNumberFormat="1" applyFont="1" applyFill="1" applyBorder="1"/>
    <xf numFmtId="3" fontId="5" fillId="0" borderId="1" xfId="0" applyNumberFormat="1" applyFont="1" applyBorder="1"/>
    <xf numFmtId="9" fontId="4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/>
    <xf numFmtId="3" fontId="1" fillId="0" borderId="1" xfId="0" applyNumberFormat="1" applyFont="1" applyBorder="1"/>
    <xf numFmtId="2" fontId="4" fillId="0" borderId="0" xfId="0" applyNumberFormat="1" applyFont="1"/>
    <xf numFmtId="4" fontId="5" fillId="3" borderId="1" xfId="0" applyNumberFormat="1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/>
    <xf numFmtId="184" fontId="1" fillId="5" borderId="0" xfId="0" applyNumberFormat="1" applyFont="1" applyFill="1" applyBorder="1"/>
    <xf numFmtId="181" fontId="1" fillId="5" borderId="0" xfId="0" applyNumberFormat="1" applyFont="1" applyFill="1" applyBorder="1"/>
    <xf numFmtId="185" fontId="1" fillId="0" borderId="0" xfId="0" applyNumberFormat="1" applyFont="1"/>
    <xf numFmtId="0" fontId="1" fillId="0" borderId="2" xfId="0" applyFont="1" applyBorder="1"/>
    <xf numFmtId="185" fontId="1" fillId="0" borderId="2" xfId="0" applyNumberFormat="1" applyFont="1" applyBorder="1"/>
    <xf numFmtId="185" fontId="5" fillId="0" borderId="0" xfId="0" applyNumberFormat="1" applyFont="1"/>
    <xf numFmtId="185" fontId="5" fillId="3" borderId="1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00"/>
  <sheetViews>
    <sheetView showGridLines="0" zoomScale="62" zoomScaleNormal="62" workbookViewId="0">
      <selection activeCell="C34" sqref="C34"/>
    </sheetView>
  </sheetViews>
  <sheetFormatPr defaultColWidth="14.4259259259259" defaultRowHeight="15" customHeight="1"/>
  <cols>
    <col min="1" max="1" width="8.86111111111111" customWidth="1"/>
    <col min="2" max="2" width="45.4259259259259" customWidth="1"/>
    <col min="3" max="10" width="10.4259259259259" customWidth="1"/>
    <col min="11" max="26" width="8.86111111111111" customWidth="1"/>
  </cols>
  <sheetData>
    <row r="1" ht="14.25" customHeight="1"/>
    <row r="2" ht="14.25" customHeight="1" spans="2:10">
      <c r="B2" s="19" t="s">
        <v>0</v>
      </c>
      <c r="C2" s="19"/>
      <c r="D2" s="19"/>
      <c r="E2" s="19"/>
      <c r="F2" s="19"/>
      <c r="G2" s="19"/>
      <c r="H2" s="19"/>
      <c r="I2" s="19"/>
      <c r="J2" s="19"/>
    </row>
    <row r="3" ht="14.25" customHeight="1" spans="2:10">
      <c r="B3" s="20" t="s">
        <v>1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</row>
    <row r="4" ht="14.25" customHeight="1" spans="2:10">
      <c r="B4" s="1" t="s">
        <v>2</v>
      </c>
      <c r="C4" s="34">
        <f>'Income Statement'!C5</f>
        <v>152703</v>
      </c>
      <c r="D4" s="34">
        <f>'Income Statement'!D5</f>
        <v>166761</v>
      </c>
      <c r="E4" s="34">
        <f>'Income Statement'!E5</f>
        <v>195929</v>
      </c>
      <c r="F4" s="34">
        <f>E4*(1+F25)</f>
        <v>215521.9</v>
      </c>
      <c r="G4" s="34">
        <f>F4*(1+G25)</f>
        <v>237074.09</v>
      </c>
      <c r="H4" s="34">
        <f>G4*(1+H25)</f>
        <v>258410.7581</v>
      </c>
      <c r="I4" s="34">
        <f>H4*(1+I25)</f>
        <v>276499.511167</v>
      </c>
      <c r="J4" s="34">
        <f>I4*(1+J25)</f>
        <v>290324.48672535</v>
      </c>
    </row>
    <row r="5" ht="14.25" customHeight="1" spans="2:10">
      <c r="B5" s="35" t="s">
        <v>3</v>
      </c>
      <c r="C5" s="36">
        <f>'Income Statement'!C7</f>
        <v>132886</v>
      </c>
      <c r="D5" s="36">
        <f>'Income Statement'!D7</f>
        <v>144939</v>
      </c>
      <c r="E5" s="36">
        <f>'Income Statement'!E7</f>
        <v>170684</v>
      </c>
      <c r="F5" s="36">
        <f>F4*F27</f>
        <v>187541.379896909</v>
      </c>
      <c r="G5" s="36">
        <f>G4*G27</f>
        <v>206295.5178866</v>
      </c>
      <c r="H5" s="36">
        <f>H4*H27</f>
        <v>224862.114496394</v>
      </c>
      <c r="I5" s="36">
        <f>I4*I27</f>
        <v>240602.462511141</v>
      </c>
      <c r="J5" s="36">
        <f>J4*J27</f>
        <v>252632.585636698</v>
      </c>
    </row>
    <row r="6" ht="14.25" customHeight="1" spans="2:10">
      <c r="B6" s="14" t="s">
        <v>4</v>
      </c>
      <c r="C6" s="37">
        <f t="shared" ref="C6:E6" si="0">C4-C5</f>
        <v>19817</v>
      </c>
      <c r="D6" s="37">
        <f t="shared" si="0"/>
        <v>21822</v>
      </c>
      <c r="E6" s="37">
        <f t="shared" si="0"/>
        <v>25245</v>
      </c>
      <c r="F6" s="37">
        <f>F4-F5</f>
        <v>27980.5201030913</v>
      </c>
      <c r="G6" s="37">
        <f>G4-G5</f>
        <v>30778.5721134004</v>
      </c>
      <c r="H6" s="37">
        <f>H4-H5</f>
        <v>33548.6436036065</v>
      </c>
      <c r="I6" s="37">
        <f>I4-I5</f>
        <v>35897.048655859</v>
      </c>
      <c r="J6" s="37">
        <f>J4-J5</f>
        <v>37691.9010886519</v>
      </c>
    </row>
    <row r="7" ht="14.25" customHeight="1" spans="2:10">
      <c r="B7" s="1" t="s">
        <v>5</v>
      </c>
      <c r="C7" s="34"/>
      <c r="D7" s="34"/>
      <c r="E7" s="34"/>
      <c r="F7" s="34"/>
      <c r="G7" s="34"/>
      <c r="H7" s="34"/>
      <c r="I7" s="34"/>
      <c r="J7" s="34"/>
    </row>
    <row r="8" ht="14.25" customHeight="1" spans="2:10">
      <c r="B8" s="1" t="s">
        <v>6</v>
      </c>
      <c r="C8" s="34">
        <f>SUM('Income Statement'!C8,'Income Statement'!C10)</f>
        <v>13588</v>
      </c>
      <c r="D8" s="34">
        <f>SUM('Income Statement'!D8,'Income Statement'!D10)</f>
        <v>14742</v>
      </c>
      <c r="E8" s="34">
        <f>SUM('Income Statement'!E8,'Income Statement'!E10)</f>
        <v>16756</v>
      </c>
      <c r="F8" s="34">
        <f>F4*F28</f>
        <v>18887.3284795863</v>
      </c>
      <c r="G8" s="34">
        <f>G4*G28</f>
        <v>20776.0613275449</v>
      </c>
      <c r="H8" s="34">
        <f>H4*H28</f>
        <v>22645.9068470239</v>
      </c>
      <c r="I8" s="34">
        <f>I4*I28</f>
        <v>24231.1203263156</v>
      </c>
      <c r="J8" s="34">
        <f>J4*J28</f>
        <v>25442.6763426314</v>
      </c>
    </row>
    <row r="9" ht="14.25" customHeight="1" spans="2:10">
      <c r="B9" s="35" t="s">
        <v>7</v>
      </c>
      <c r="C9" s="36">
        <f t="shared" ref="C9:E9" si="1">SUM(C8)</f>
        <v>13588</v>
      </c>
      <c r="D9" s="36">
        <f t="shared" si="1"/>
        <v>14742</v>
      </c>
      <c r="E9" s="36">
        <f t="shared" si="1"/>
        <v>16756</v>
      </c>
      <c r="F9" s="36">
        <f>F8</f>
        <v>18887.3284795863</v>
      </c>
      <c r="G9" s="36">
        <f>G8</f>
        <v>20776.0613275449</v>
      </c>
      <c r="H9" s="36">
        <f>H8</f>
        <v>22645.9068470239</v>
      </c>
      <c r="I9" s="36">
        <f>I8</f>
        <v>24231.1203263156</v>
      </c>
      <c r="J9" s="36">
        <f>J8</f>
        <v>25442.6763426314</v>
      </c>
    </row>
    <row r="10" ht="14.25" customHeight="1" spans="2:10">
      <c r="B10" s="14" t="s">
        <v>8</v>
      </c>
      <c r="C10" s="37">
        <f t="shared" ref="C10:E10" si="2">C6-C9</f>
        <v>6229</v>
      </c>
      <c r="D10" s="37">
        <f t="shared" si="2"/>
        <v>7080</v>
      </c>
      <c r="E10" s="37">
        <f t="shared" si="2"/>
        <v>8489</v>
      </c>
      <c r="F10" s="37">
        <f>F6-F9</f>
        <v>9093.19162350506</v>
      </c>
      <c r="G10" s="37">
        <f>G6-G9</f>
        <v>10002.5107858556</v>
      </c>
      <c r="H10" s="37">
        <f>H6-H9</f>
        <v>10902.7367565826</v>
      </c>
      <c r="I10" s="37">
        <f>I6-I9</f>
        <v>11665.9283295434</v>
      </c>
      <c r="J10" s="37">
        <f>J6-J9</f>
        <v>12249.2247460205</v>
      </c>
    </row>
    <row r="11" ht="14.25" customHeight="1" spans="2:10">
      <c r="B11" s="35" t="s">
        <v>9</v>
      </c>
      <c r="C11" s="36">
        <f>'Income Statement'!C9</f>
        <v>1492</v>
      </c>
      <c r="D11" s="36">
        <f>'Income Statement'!D9</f>
        <v>1645</v>
      </c>
      <c r="E11" s="36">
        <f>'Income Statement'!E9</f>
        <v>1781</v>
      </c>
      <c r="F11" s="36">
        <f>'Fixed Assets'!F5</f>
        <v>1995.95711545158</v>
      </c>
      <c r="G11" s="36">
        <f>'Fixed Assets'!G5</f>
        <v>2144.34451164045</v>
      </c>
      <c r="H11" s="36">
        <f>'Fixed Assets'!H5</f>
        <v>2303.7636174674</v>
      </c>
      <c r="I11" s="36">
        <f>'Fixed Assets'!I5</f>
        <v>2475.03457413487</v>
      </c>
      <c r="J11" s="36">
        <f>'Fixed Assets'!J5</f>
        <v>2659.03849540659</v>
      </c>
    </row>
    <row r="12" ht="14.25" customHeight="1" spans="2:10">
      <c r="B12" s="14" t="s">
        <v>10</v>
      </c>
      <c r="C12" s="37">
        <f t="shared" ref="C12:E12" si="3">C10-C11</f>
        <v>4737</v>
      </c>
      <c r="D12" s="37">
        <f t="shared" si="3"/>
        <v>5435</v>
      </c>
      <c r="E12" s="37">
        <f t="shared" si="3"/>
        <v>6708</v>
      </c>
      <c r="F12" s="37">
        <f>F10-F11</f>
        <v>7097.23450805347</v>
      </c>
      <c r="G12" s="37">
        <f>G10-G11</f>
        <v>7858.1662742151</v>
      </c>
      <c r="H12" s="37">
        <f>H10-H11</f>
        <v>8598.97313911517</v>
      </c>
      <c r="I12" s="37">
        <f>I10-I11</f>
        <v>9190.89375540849</v>
      </c>
      <c r="J12" s="37">
        <f>J10-J11</f>
        <v>9590.18625061393</v>
      </c>
    </row>
    <row r="13" ht="14.25" customHeight="1" spans="2:10">
      <c r="B13" s="35" t="s">
        <v>11</v>
      </c>
      <c r="C13" s="36">
        <f>'Income Statement'!C16</f>
        <v>1061</v>
      </c>
      <c r="D13" s="36">
        <f>'Income Statement'!D16</f>
        <v>1308</v>
      </c>
      <c r="E13" s="36">
        <f>'Income Statement'!E16</f>
        <v>1601</v>
      </c>
      <c r="F13" s="36">
        <f>F12*F29</f>
        <v>1490.41924669123</v>
      </c>
      <c r="G13" s="36">
        <f>G12*G29</f>
        <v>1650.21491758517</v>
      </c>
      <c r="H13" s="36">
        <f>H12*H29</f>
        <v>1805.78435921419</v>
      </c>
      <c r="I13" s="36">
        <f>I12*I29</f>
        <v>1930.08768863578</v>
      </c>
      <c r="J13" s="36">
        <f>J12*J29</f>
        <v>2013.93911262892</v>
      </c>
    </row>
    <row r="14" ht="14.25" customHeight="1" spans="2:11">
      <c r="B14" s="14" t="s">
        <v>12</v>
      </c>
      <c r="C14" s="37">
        <f t="shared" ref="C14:E14" si="4">C12-C13</f>
        <v>3676</v>
      </c>
      <c r="D14" s="37">
        <f t="shared" si="4"/>
        <v>4127</v>
      </c>
      <c r="E14" s="37">
        <f t="shared" si="4"/>
        <v>5107</v>
      </c>
      <c r="F14" s="37">
        <f>F12-F13</f>
        <v>5606.81526136224</v>
      </c>
      <c r="G14" s="37">
        <f>G12-G13</f>
        <v>6207.95135662993</v>
      </c>
      <c r="H14" s="37">
        <f>H12-H13</f>
        <v>6793.18877990099</v>
      </c>
      <c r="I14" s="37">
        <f>I12-I13</f>
        <v>7260.80606677271</v>
      </c>
      <c r="J14" s="37">
        <f>J12-J13</f>
        <v>7576.247137985</v>
      </c>
      <c r="K14" s="37"/>
    </row>
    <row r="15" ht="14.25" customHeight="1" spans="2:10">
      <c r="B15" s="1" t="s">
        <v>13</v>
      </c>
      <c r="C15" s="34">
        <f t="shared" ref="C15:E15" si="5">C11</f>
        <v>1492</v>
      </c>
      <c r="D15" s="34">
        <f t="shared" si="5"/>
        <v>1645</v>
      </c>
      <c r="E15" s="34">
        <f t="shared" si="5"/>
        <v>1781</v>
      </c>
      <c r="F15" s="34">
        <f>'Fixed Assets'!F5</f>
        <v>1995.95711545158</v>
      </c>
      <c r="G15" s="34">
        <f>'Fixed Assets'!G5</f>
        <v>2144.34451164045</v>
      </c>
      <c r="H15" s="34">
        <f>'Fixed Assets'!H5</f>
        <v>2303.7636174674</v>
      </c>
      <c r="I15" s="34">
        <f>'Fixed Assets'!I5</f>
        <v>2475.03457413487</v>
      </c>
      <c r="J15" s="34">
        <f>'Fixed Assets'!J5</f>
        <v>2659.03849540659</v>
      </c>
    </row>
    <row r="16" ht="14.25" customHeight="1" spans="2:10">
      <c r="B16" s="1" t="s">
        <v>14</v>
      </c>
      <c r="C16" s="34">
        <f>'Fixed Assets'!C6</f>
        <v>2701</v>
      </c>
      <c r="D16" s="34">
        <f>'Fixed Assets'!D6</f>
        <v>5350</v>
      </c>
      <c r="E16" s="34">
        <f>'Fixed Assets'!E6</f>
        <v>3568</v>
      </c>
      <c r="F16" s="34">
        <f>'Fixed Assets'!F6</f>
        <v>3957.3</v>
      </c>
      <c r="G16" s="34">
        <f>'Fixed Assets'!G6</f>
        <v>4251.50143268226</v>
      </c>
      <c r="H16" s="34">
        <f>'Fixed Assets'!H6</f>
        <v>4567.57497083853</v>
      </c>
      <c r="I16" s="34">
        <f>'Fixed Assets'!I6</f>
        <v>4907.1466738442</v>
      </c>
      <c r="J16" s="34">
        <f>'Fixed Assets'!J6</f>
        <v>5271.9634888006</v>
      </c>
    </row>
    <row r="17" ht="14.25" customHeight="1" spans="2:10">
      <c r="B17" s="1" t="s">
        <v>15</v>
      </c>
      <c r="C17" s="34">
        <f>C18-('Net Working Capital'!C7-'Net Working Capital'!C14)</f>
        <v>-691</v>
      </c>
      <c r="D17" s="34">
        <f t="shared" ref="D17:E17" si="6">D18-C18</f>
        <v>-2437</v>
      </c>
      <c r="E17" s="34">
        <f t="shared" si="6"/>
        <v>-1378</v>
      </c>
      <c r="F17" s="34">
        <f>F18-E18</f>
        <v>-169.041651821419</v>
      </c>
      <c r="G17" s="34">
        <f>G18-F18</f>
        <v>-1237.18640345583</v>
      </c>
      <c r="H17" s="34">
        <f>H18-G18</f>
        <v>-1490.57211567074</v>
      </c>
      <c r="I17" s="34">
        <f>I18-H18</f>
        <v>-804.402653050482</v>
      </c>
      <c r="J17" s="34">
        <f>J18-I18</f>
        <v>-603.469426789638</v>
      </c>
    </row>
    <row r="18" ht="14.25" customHeight="1" spans="2:10">
      <c r="B18" s="25" t="s">
        <v>16</v>
      </c>
      <c r="C18" s="34">
        <f t="shared" ref="C18:E18" si="7">C19-C20</f>
        <v>-7497</v>
      </c>
      <c r="D18" s="34">
        <f t="shared" si="7"/>
        <v>-9934</v>
      </c>
      <c r="E18" s="34">
        <f t="shared" si="7"/>
        <v>-11312</v>
      </c>
      <c r="F18" s="34">
        <f>F19-F20</f>
        <v>-11481.0416518214</v>
      </c>
      <c r="G18" s="34">
        <f>G19-G20</f>
        <v>-12718.2280552772</v>
      </c>
      <c r="H18" s="34">
        <f>H19-H20</f>
        <v>-14208.800170948</v>
      </c>
      <c r="I18" s="34">
        <f>I19-I20</f>
        <v>-15013.2028239985</v>
      </c>
      <c r="J18" s="34">
        <f>J19-J20</f>
        <v>-15616.6722507881</v>
      </c>
    </row>
    <row r="19" ht="14.25" customHeight="1" spans="2:10">
      <c r="B19" s="25" t="s">
        <v>17</v>
      </c>
      <c r="C19" s="34">
        <f>'Net Working Capital'!D7</f>
        <v>14041</v>
      </c>
      <c r="D19" s="34">
        <f>'Net Working Capital'!E7</f>
        <v>14815</v>
      </c>
      <c r="E19" s="34">
        <f>'Net Working Capital'!F7</f>
        <v>17330</v>
      </c>
      <c r="F19" s="34">
        <f>'Net Working Capital'!G7</f>
        <v>19467.2285581972</v>
      </c>
      <c r="G19" s="34">
        <f>'Net Working Capital'!H7</f>
        <v>21311.0009323647</v>
      </c>
      <c r="H19" s="34">
        <f>'Net Working Capital'!I7</f>
        <v>23096.3268996556</v>
      </c>
      <c r="I19" s="34">
        <f>'Net Working Capital'!J7</f>
        <v>24744.2824263632</v>
      </c>
      <c r="J19" s="34">
        <f>'Net Working Capital'!K7</f>
        <v>26062.9593342771</v>
      </c>
    </row>
    <row r="20" ht="14.25" customHeight="1" spans="2:10">
      <c r="B20" s="25" t="s">
        <v>18</v>
      </c>
      <c r="C20" s="34">
        <f>'Net Working Capital'!D14</f>
        <v>21538</v>
      </c>
      <c r="D20" s="34">
        <f>'Net Working Capital'!E14</f>
        <v>24749</v>
      </c>
      <c r="E20" s="34">
        <f>'Net Working Capital'!F14</f>
        <v>28642</v>
      </c>
      <c r="F20" s="34">
        <f>'Net Working Capital'!G14</f>
        <v>30948.2702100186</v>
      </c>
      <c r="G20" s="34">
        <f>'Net Working Capital'!H14</f>
        <v>34029.2289876419</v>
      </c>
      <c r="H20" s="34">
        <f>'Net Working Capital'!I14</f>
        <v>37305.1270706036</v>
      </c>
      <c r="I20" s="34">
        <f>'Net Working Capital'!J14</f>
        <v>39757.4852503617</v>
      </c>
      <c r="J20" s="34">
        <f>'Net Working Capital'!K14</f>
        <v>41679.6315850652</v>
      </c>
    </row>
    <row r="21" ht="14.25" customHeight="1" spans="2:10">
      <c r="B21" s="17" t="s">
        <v>19</v>
      </c>
      <c r="C21" s="38">
        <f t="shared" ref="C21:E21" si="8">C14+C15-C16-C17</f>
        <v>3158</v>
      </c>
      <c r="D21" s="38">
        <f t="shared" si="8"/>
        <v>2859</v>
      </c>
      <c r="E21" s="38">
        <f t="shared" si="8"/>
        <v>4698</v>
      </c>
      <c r="F21" s="38">
        <f>F14+F15-F16-F17</f>
        <v>3814.51402863525</v>
      </c>
      <c r="G21" s="38">
        <f>G14+G15-G16-G17</f>
        <v>5337.98083904395</v>
      </c>
      <c r="H21" s="38">
        <f>H14+H15-H16-H17</f>
        <v>6019.94954220059</v>
      </c>
      <c r="I21" s="38">
        <f>I14+I15-I16-I17</f>
        <v>5633.09662011385</v>
      </c>
      <c r="J21" s="38">
        <f>J14+J15-J16-J17</f>
        <v>5566.79157138063</v>
      </c>
    </row>
    <row r="22" ht="14.25" customHeight="1"/>
    <row r="23" ht="14.25" customHeight="1" spans="2:10">
      <c r="B23" s="19" t="s">
        <v>20</v>
      </c>
      <c r="C23" s="19"/>
      <c r="D23" s="19"/>
      <c r="E23" s="19"/>
      <c r="F23" s="19"/>
      <c r="G23" s="19"/>
      <c r="H23" s="19"/>
      <c r="I23" s="19"/>
      <c r="J23" s="19"/>
    </row>
    <row r="24" ht="14.25" customHeight="1" spans="2:10">
      <c r="B24" s="20" t="str">
        <f t="shared" ref="B24:J24" si="9">B3</f>
        <v>Fiscal Year</v>
      </c>
      <c r="C24" s="21">
        <f t="shared" si="9"/>
        <v>43830</v>
      </c>
      <c r="D24" s="21">
        <f t="shared" si="9"/>
        <v>44196</v>
      </c>
      <c r="E24" s="21">
        <f t="shared" si="9"/>
        <v>44561</v>
      </c>
      <c r="F24" s="22">
        <f t="shared" si="9"/>
        <v>44926</v>
      </c>
      <c r="G24" s="22">
        <f t="shared" si="9"/>
        <v>45291</v>
      </c>
      <c r="H24" s="22">
        <f t="shared" si="9"/>
        <v>45657</v>
      </c>
      <c r="I24" s="22">
        <f t="shared" si="9"/>
        <v>46022</v>
      </c>
      <c r="J24" s="22">
        <f t="shared" si="9"/>
        <v>46387</v>
      </c>
    </row>
    <row r="25" ht="14.25" customHeight="1" spans="2:10">
      <c r="B25" s="30" t="s">
        <v>21</v>
      </c>
      <c r="C25" s="30"/>
      <c r="D25" s="33">
        <f t="shared" ref="D25:E25" si="10">D4/C4-1</f>
        <v>0.0920610597041316</v>
      </c>
      <c r="E25" s="33">
        <f t="shared" si="10"/>
        <v>0.174909001505148</v>
      </c>
      <c r="F25" s="33">
        <v>0.1</v>
      </c>
      <c r="G25" s="33">
        <v>0.1</v>
      </c>
      <c r="H25" s="33">
        <v>0.09</v>
      </c>
      <c r="I25" s="33">
        <v>0.07</v>
      </c>
      <c r="J25" s="33">
        <v>0.05</v>
      </c>
    </row>
    <row r="26" ht="14.25" customHeight="1" spans="2:10">
      <c r="B26" s="30"/>
      <c r="C26" s="30"/>
      <c r="D26" s="30"/>
      <c r="E26" s="30"/>
      <c r="F26" s="30"/>
      <c r="G26" s="30"/>
      <c r="H26" s="30"/>
      <c r="I26" s="30"/>
      <c r="J26" s="30"/>
    </row>
    <row r="27" ht="14.25" customHeight="1" spans="2:10">
      <c r="B27" s="30" t="s">
        <v>22</v>
      </c>
      <c r="C27" s="33">
        <f t="shared" ref="C27:E27" si="11">C5/C4</f>
        <v>0.870225208411099</v>
      </c>
      <c r="D27" s="33">
        <f t="shared" si="11"/>
        <v>0.869142065590876</v>
      </c>
      <c r="E27" s="33">
        <f t="shared" si="11"/>
        <v>0.871152305171771</v>
      </c>
      <c r="F27" s="33">
        <f t="shared" ref="F27:F28" si="12">AVERAGE(C27:E27)</f>
        <v>0.870173193057915</v>
      </c>
      <c r="G27" s="33">
        <f t="shared" ref="G27:J27" si="13">F27</f>
        <v>0.870173193057915</v>
      </c>
      <c r="H27" s="33">
        <f t="shared" si="13"/>
        <v>0.870173193057915</v>
      </c>
      <c r="I27" s="33">
        <f t="shared" si="13"/>
        <v>0.870173193057915</v>
      </c>
      <c r="J27" s="33">
        <f t="shared" si="13"/>
        <v>0.870173193057915</v>
      </c>
    </row>
    <row r="28" ht="14.25" customHeight="1" spans="2:10">
      <c r="B28" s="30" t="s">
        <v>23</v>
      </c>
      <c r="C28" s="33">
        <f t="shared" ref="C28:E28" si="14">C8/C4</f>
        <v>0.0889831895902504</v>
      </c>
      <c r="D28" s="33">
        <f t="shared" si="14"/>
        <v>0.0884019644880997</v>
      </c>
      <c r="E28" s="33">
        <f t="shared" si="14"/>
        <v>0.0855207753829193</v>
      </c>
      <c r="F28" s="33">
        <f t="shared" si="12"/>
        <v>0.0876353098204232</v>
      </c>
      <c r="G28" s="33">
        <f t="shared" ref="G28:J28" si="15">F28</f>
        <v>0.0876353098204232</v>
      </c>
      <c r="H28" s="33">
        <f t="shared" si="15"/>
        <v>0.0876353098204232</v>
      </c>
      <c r="I28" s="33">
        <f t="shared" si="15"/>
        <v>0.0876353098204232</v>
      </c>
      <c r="J28" s="33">
        <f t="shared" si="15"/>
        <v>0.0876353098204232</v>
      </c>
    </row>
    <row r="29" ht="14.25" customHeight="1" spans="2:10">
      <c r="B29" s="30" t="s">
        <v>24</v>
      </c>
      <c r="C29" s="33">
        <f t="shared" ref="C29:E29" si="16">C13/C12</f>
        <v>0.223981422841461</v>
      </c>
      <c r="D29" s="33">
        <f t="shared" si="16"/>
        <v>0.24066237350506</v>
      </c>
      <c r="E29" s="33">
        <f t="shared" si="16"/>
        <v>0.238670244484198</v>
      </c>
      <c r="F29" s="33">
        <v>0.21</v>
      </c>
      <c r="G29" s="33">
        <v>0.21</v>
      </c>
      <c r="H29" s="33">
        <v>0.21</v>
      </c>
      <c r="I29" s="33">
        <v>0.21</v>
      </c>
      <c r="J29" s="33">
        <v>0.21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  <ignoredErrors>
    <ignoredError sqref="F13:G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000"/>
  <sheetViews>
    <sheetView showGridLines="0" zoomScale="67" zoomScaleNormal="67" workbookViewId="0">
      <selection activeCell="E9" sqref="E9"/>
    </sheetView>
  </sheetViews>
  <sheetFormatPr defaultColWidth="14.4259259259259" defaultRowHeight="15" customHeight="1"/>
  <cols>
    <col min="1" max="1" width="8.86111111111111" customWidth="1"/>
    <col min="2" max="2" width="27.8611111111111" customWidth="1"/>
    <col min="3" max="10" width="8.42592592592593" customWidth="1"/>
    <col min="11" max="26" width="8.86111111111111" customWidth="1"/>
  </cols>
  <sheetData>
    <row r="1" ht="14.25" customHeight="1"/>
    <row r="2" ht="14.25" customHeight="1" spans="2:10">
      <c r="B2" s="19" t="s">
        <v>25</v>
      </c>
      <c r="C2" s="19"/>
      <c r="D2" s="19"/>
      <c r="E2" s="19"/>
      <c r="F2" s="19"/>
      <c r="G2" s="19"/>
      <c r="H2" s="19"/>
      <c r="I2" s="19"/>
      <c r="J2" s="19"/>
    </row>
    <row r="3" ht="14.25" customHeight="1" spans="2:10">
      <c r="B3" s="20" t="s">
        <v>1</v>
      </c>
      <c r="C3" s="21">
        <v>43830</v>
      </c>
      <c r="D3" s="21">
        <v>44196</v>
      </c>
      <c r="E3" s="21">
        <v>44561</v>
      </c>
      <c r="F3" s="22">
        <v>44926</v>
      </c>
      <c r="G3" s="22">
        <v>45291</v>
      </c>
      <c r="H3" s="22">
        <v>45657</v>
      </c>
      <c r="I3" s="22">
        <v>46022</v>
      </c>
      <c r="J3" s="22">
        <v>46387</v>
      </c>
    </row>
    <row r="4" ht="14.25" customHeight="1" spans="2:10">
      <c r="B4" s="1" t="s">
        <v>26</v>
      </c>
      <c r="C4" s="2">
        <f>SUM('Balance Sheet'!C11:C12)</f>
        <v>19681</v>
      </c>
      <c r="D4" s="2">
        <f>SUM('Balance Sheet'!D11:D12)</f>
        <v>20890</v>
      </c>
      <c r="E4" s="2">
        <f>SUM('Balance Sheet'!E11:E12)</f>
        <v>24595</v>
      </c>
      <c r="F4" s="2">
        <f>E7</f>
        <v>26382</v>
      </c>
      <c r="G4" s="2">
        <f>F7</f>
        <v>28343.3428845484</v>
      </c>
      <c r="H4" s="2">
        <f>G7</f>
        <v>30450.4998055902</v>
      </c>
      <c r="I4" s="2">
        <f>H7</f>
        <v>32714.3111589614</v>
      </c>
      <c r="J4" s="2">
        <f>I7</f>
        <v>35146.4232586707</v>
      </c>
    </row>
    <row r="5" ht="14.25" customHeight="1" spans="2:10">
      <c r="B5" s="1" t="s">
        <v>27</v>
      </c>
      <c r="C5" s="2">
        <f>'Free Cash Flow'!C11</f>
        <v>1492</v>
      </c>
      <c r="D5" s="2">
        <f>'Free Cash Flow'!D11</f>
        <v>1645</v>
      </c>
      <c r="E5" s="2">
        <f>'Free Cash Flow'!E11</f>
        <v>1781</v>
      </c>
      <c r="F5" s="2">
        <f>F11*F4</f>
        <v>1995.95711545158</v>
      </c>
      <c r="G5" s="2">
        <f>G11*G4</f>
        <v>2144.34451164045</v>
      </c>
      <c r="H5" s="2">
        <f>H11*H4</f>
        <v>2303.7636174674</v>
      </c>
      <c r="I5" s="2">
        <f>I11*I4</f>
        <v>2475.03457413487</v>
      </c>
      <c r="J5" s="2">
        <f>J11*J4</f>
        <v>2659.03849540659</v>
      </c>
    </row>
    <row r="6" ht="14.25" customHeight="1" spans="2:10">
      <c r="B6" s="1" t="s">
        <v>28</v>
      </c>
      <c r="C6" s="2">
        <f t="shared" ref="C6:E6" si="0">C7-C4+C5</f>
        <v>2701</v>
      </c>
      <c r="D6" s="2">
        <f t="shared" si="0"/>
        <v>5350</v>
      </c>
      <c r="E6" s="2">
        <f t="shared" si="0"/>
        <v>3568</v>
      </c>
      <c r="F6" s="2">
        <f>F12*F4</f>
        <v>3957.3</v>
      </c>
      <c r="G6" s="2">
        <f>G12*G4</f>
        <v>4251.50143268226</v>
      </c>
      <c r="H6" s="2">
        <f>H12*H4</f>
        <v>4567.57497083853</v>
      </c>
      <c r="I6" s="2">
        <f>I12*I4</f>
        <v>4907.1466738442</v>
      </c>
      <c r="J6" s="2">
        <f>J12*J4</f>
        <v>5271.9634888006</v>
      </c>
    </row>
    <row r="7" ht="14.25" customHeight="1" spans="2:10">
      <c r="B7" s="12" t="s">
        <v>29</v>
      </c>
      <c r="C7" s="23">
        <f>SUM('Balance Sheet'!D11:D12)</f>
        <v>20890</v>
      </c>
      <c r="D7" s="23">
        <f>SUM('Balance Sheet'!E11:E12)</f>
        <v>24595</v>
      </c>
      <c r="E7" s="23">
        <f>SUM('Balance Sheet'!F11:F12)</f>
        <v>26382</v>
      </c>
      <c r="F7" s="23">
        <f>F4-F5+F6</f>
        <v>28343.3428845484</v>
      </c>
      <c r="G7" s="23">
        <f>G4-G5+G6</f>
        <v>30450.4998055902</v>
      </c>
      <c r="H7" s="23">
        <f>H4-H5+H6</f>
        <v>32714.3111589614</v>
      </c>
      <c r="I7" s="23">
        <f>I4-I5+I6</f>
        <v>35146.4232586707</v>
      </c>
      <c r="J7" s="23">
        <f>J4-J5+J6</f>
        <v>37759.3482520647</v>
      </c>
    </row>
    <row r="8" ht="14.25" customHeight="1" spans="5:5">
      <c r="E8" s="2"/>
    </row>
    <row r="9" ht="14.25" customHeight="1" spans="2:10">
      <c r="B9" s="19" t="s">
        <v>20</v>
      </c>
      <c r="C9" s="19"/>
      <c r="D9" s="19"/>
      <c r="E9" s="19"/>
      <c r="F9" s="19"/>
      <c r="G9" s="19"/>
      <c r="H9" s="19"/>
      <c r="I9" s="19"/>
      <c r="J9" s="19"/>
    </row>
    <row r="10" ht="14.25" customHeight="1" spans="2:10">
      <c r="B10" s="20" t="s">
        <v>1</v>
      </c>
      <c r="C10" s="21">
        <v>43830</v>
      </c>
      <c r="D10" s="21">
        <v>44196</v>
      </c>
      <c r="E10" s="21">
        <v>44561</v>
      </c>
      <c r="F10" s="22">
        <v>44926</v>
      </c>
      <c r="G10" s="22">
        <v>45291</v>
      </c>
      <c r="H10" s="22">
        <v>45657</v>
      </c>
      <c r="I10" s="22">
        <v>46022</v>
      </c>
      <c r="J10" s="22">
        <v>46387</v>
      </c>
    </row>
    <row r="11" ht="14.25" customHeight="1" spans="2:10">
      <c r="B11" s="30" t="s">
        <v>30</v>
      </c>
      <c r="C11" s="33">
        <f t="shared" ref="C11:E11" si="1">C5/C4</f>
        <v>0.0758091560388192</v>
      </c>
      <c r="D11" s="33">
        <f t="shared" si="1"/>
        <v>0.078745811393011</v>
      </c>
      <c r="E11" s="33">
        <f t="shared" si="1"/>
        <v>0.0724130920918886</v>
      </c>
      <c r="F11" s="33">
        <f>AVERAGE(C11:E11)</f>
        <v>0.0756560198412396</v>
      </c>
      <c r="G11" s="33">
        <f t="shared" ref="G11:J11" si="2">F11</f>
        <v>0.0756560198412396</v>
      </c>
      <c r="H11" s="33">
        <f t="shared" si="2"/>
        <v>0.0756560198412396</v>
      </c>
      <c r="I11" s="33">
        <f t="shared" si="2"/>
        <v>0.0756560198412396</v>
      </c>
      <c r="J11" s="33">
        <f t="shared" si="2"/>
        <v>0.0756560198412396</v>
      </c>
    </row>
    <row r="12" ht="14.25" customHeight="1" spans="2:10">
      <c r="B12" s="30" t="s">
        <v>31</v>
      </c>
      <c r="C12" s="33">
        <f t="shared" ref="C12:E12" si="3">C6/C4</f>
        <v>0.137238961434886</v>
      </c>
      <c r="D12" s="33">
        <f t="shared" si="3"/>
        <v>0.256103398755385</v>
      </c>
      <c r="E12" s="33">
        <f t="shared" si="3"/>
        <v>0.145070136206546</v>
      </c>
      <c r="F12" s="33">
        <v>0.15</v>
      </c>
      <c r="G12" s="33">
        <f t="shared" ref="G12:J12" si="4">F12</f>
        <v>0.15</v>
      </c>
      <c r="H12" s="33">
        <f t="shared" si="4"/>
        <v>0.15</v>
      </c>
      <c r="I12" s="33">
        <f t="shared" si="4"/>
        <v>0.15</v>
      </c>
      <c r="J12" s="33">
        <f t="shared" si="4"/>
        <v>0.15</v>
      </c>
    </row>
    <row r="13" ht="14.25" customHeight="1" spans="3:10">
      <c r="C13" s="10"/>
      <c r="D13" s="10"/>
      <c r="E13" s="10"/>
      <c r="F13" s="10"/>
      <c r="G13" s="10"/>
      <c r="H13" s="10"/>
      <c r="I13" s="10"/>
      <c r="J13" s="10"/>
    </row>
    <row r="14" ht="14.25" customHeight="1" spans="3:10">
      <c r="C14" s="10"/>
      <c r="D14" s="10"/>
      <c r="E14" s="10"/>
      <c r="F14" s="10"/>
      <c r="G14" s="10"/>
      <c r="H14" s="10"/>
      <c r="I14" s="10"/>
      <c r="J14" s="10"/>
    </row>
    <row r="15" ht="14.25" customHeight="1" spans="3:10">
      <c r="C15" s="10"/>
      <c r="D15" s="10"/>
      <c r="E15" s="10"/>
      <c r="F15" s="10"/>
      <c r="G15" s="10"/>
      <c r="H15" s="10"/>
      <c r="I15" s="10"/>
      <c r="J15" s="10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00"/>
  <sheetViews>
    <sheetView showGridLines="0" zoomScale="54" zoomScaleNormal="54" workbookViewId="0">
      <selection activeCell="M10" sqref="M10"/>
    </sheetView>
  </sheetViews>
  <sheetFormatPr defaultColWidth="14.4259259259259" defaultRowHeight="15" customHeight="1"/>
  <cols>
    <col min="1" max="1" width="8.86111111111111" customWidth="1"/>
    <col min="2" max="2" width="40.5740740740741" customWidth="1"/>
    <col min="3" max="3" width="9.57407407407407" customWidth="1"/>
    <col min="4" max="26" width="8.86111111111111" customWidth="1"/>
  </cols>
  <sheetData>
    <row r="1" ht="14.25" customHeight="1"/>
    <row r="2" ht="14.25" customHeight="1" spans="2:11">
      <c r="B2" s="19" t="s">
        <v>32</v>
      </c>
      <c r="C2" s="19"/>
      <c r="D2" s="19"/>
      <c r="E2" s="19"/>
      <c r="F2" s="19"/>
      <c r="G2" s="19"/>
      <c r="H2" s="19"/>
      <c r="I2" s="19"/>
      <c r="J2" s="19"/>
      <c r="K2" s="19"/>
    </row>
    <row r="3" ht="14.25" customHeight="1" spans="2:11">
      <c r="B3" s="20" t="s">
        <v>1</v>
      </c>
      <c r="C3" s="21">
        <v>43465</v>
      </c>
      <c r="D3" s="21">
        <v>43830</v>
      </c>
      <c r="E3" s="21">
        <v>44196</v>
      </c>
      <c r="F3" s="21">
        <v>44561</v>
      </c>
      <c r="G3" s="22">
        <v>44926</v>
      </c>
      <c r="H3" s="22">
        <v>45291</v>
      </c>
      <c r="I3" s="22">
        <v>45657</v>
      </c>
      <c r="J3" s="22">
        <v>46022</v>
      </c>
      <c r="K3" s="22">
        <v>46387</v>
      </c>
    </row>
    <row r="4" ht="14.25" customHeight="1" spans="2:11">
      <c r="B4" s="1" t="s">
        <v>33</v>
      </c>
      <c r="C4" s="2">
        <f>'Balance Sheet'!C6</f>
        <v>1669</v>
      </c>
      <c r="D4" s="2">
        <f>'Balance Sheet'!D6</f>
        <v>1535</v>
      </c>
      <c r="E4" s="2">
        <f>'Balance Sheet'!E6</f>
        <v>1550</v>
      </c>
      <c r="F4" s="2">
        <f>'Balance Sheet'!F6</f>
        <v>1803</v>
      </c>
      <c r="G4" s="2">
        <f>G21*G18/360</f>
        <v>2173.42878646742</v>
      </c>
      <c r="H4" s="2">
        <f>H21*H18/360</f>
        <v>2289.76449061108</v>
      </c>
      <c r="I4" s="2">
        <f>I21*I18/360</f>
        <v>2470.40542674312</v>
      </c>
      <c r="J4" s="2">
        <f>J21*J18/360</f>
        <v>2661.66954850937</v>
      </c>
      <c r="K4" s="2">
        <f>K21*K18/360</f>
        <v>2825.52707680605</v>
      </c>
    </row>
    <row r="5" ht="14.25" customHeight="1" spans="2:11">
      <c r="B5" s="1" t="s">
        <v>34</v>
      </c>
      <c r="C5" s="2">
        <f>'Balance Sheet'!C7</f>
        <v>11040</v>
      </c>
      <c r="D5" s="2">
        <f>'Balance Sheet'!D7</f>
        <v>11395</v>
      </c>
      <c r="E5" s="2">
        <f>'Balance Sheet'!E7</f>
        <v>12242</v>
      </c>
      <c r="F5" s="2">
        <f>'Balance Sheet'!F7</f>
        <v>14215</v>
      </c>
      <c r="G5" s="2">
        <f>G22*G19/360</f>
        <v>16088.2928081968</v>
      </c>
      <c r="H5" s="2">
        <f>H22*H19/360</f>
        <v>17498.0458702756</v>
      </c>
      <c r="I5" s="2">
        <f>I22*I19/360</f>
        <v>19020.5951313225</v>
      </c>
      <c r="J5" s="2">
        <f>J22*J19/360</f>
        <v>20359.5373844185</v>
      </c>
      <c r="K5" s="2">
        <f>K22*K19/360</f>
        <v>21461.9208735372</v>
      </c>
    </row>
    <row r="6" ht="14.25" customHeight="1" spans="2:11">
      <c r="B6" s="1" t="s">
        <v>35</v>
      </c>
      <c r="C6" s="2">
        <f>'Balance Sheet'!C8</f>
        <v>321</v>
      </c>
      <c r="D6" s="2">
        <f>'Balance Sheet'!D8</f>
        <v>1111</v>
      </c>
      <c r="E6" s="2">
        <f>'Balance Sheet'!E8</f>
        <v>1023</v>
      </c>
      <c r="F6" s="2">
        <f>'Balance Sheet'!F8</f>
        <v>1312</v>
      </c>
      <c r="G6" s="2">
        <f>G25*G18</f>
        <v>1205.50696353293</v>
      </c>
      <c r="H6" s="2">
        <f>H25*H18</f>
        <v>1523.19057147797</v>
      </c>
      <c r="I6" s="2">
        <f>I25*I18</f>
        <v>1605.32634159002</v>
      </c>
      <c r="J6" s="2">
        <f>J25*J18</f>
        <v>1723.07549343534</v>
      </c>
      <c r="K6" s="2">
        <f>K25*K18</f>
        <v>1775.51138393389</v>
      </c>
    </row>
    <row r="7" ht="14.25" customHeight="1" spans="2:11">
      <c r="B7" s="12" t="s">
        <v>17</v>
      </c>
      <c r="C7" s="23">
        <f t="shared" ref="C7:F7" si="0">SUM(C4:C6)</f>
        <v>13030</v>
      </c>
      <c r="D7" s="23">
        <f t="shared" si="0"/>
        <v>14041</v>
      </c>
      <c r="E7" s="23">
        <f t="shared" si="0"/>
        <v>14815</v>
      </c>
      <c r="F7" s="23">
        <f t="shared" si="0"/>
        <v>17330</v>
      </c>
      <c r="G7" s="23">
        <f>G4+G5+G6</f>
        <v>19467.2285581972</v>
      </c>
      <c r="H7" s="23">
        <f>H4+H5+H6</f>
        <v>21311.0009323647</v>
      </c>
      <c r="I7" s="23">
        <f>I4+I5+I6</f>
        <v>23096.3268996556</v>
      </c>
      <c r="J7" s="23">
        <f>J4+J5+J6</f>
        <v>24744.2824263632</v>
      </c>
      <c r="K7" s="23">
        <f>K4+K5+K6</f>
        <v>26062.9593342771</v>
      </c>
    </row>
    <row r="8" ht="14.25" customHeight="1"/>
    <row r="9" ht="14.25" customHeight="1" spans="2:11">
      <c r="B9" s="1" t="s">
        <v>36</v>
      </c>
      <c r="C9" s="2">
        <f>'Balance Sheet'!C16</f>
        <v>11237</v>
      </c>
      <c r="D9" s="2">
        <f>'Balance Sheet'!D16</f>
        <v>11679</v>
      </c>
      <c r="E9" s="2">
        <f>'Balance Sheet'!E16</f>
        <v>14172</v>
      </c>
      <c r="F9" s="2">
        <f>'Balance Sheet'!F16</f>
        <v>16278</v>
      </c>
      <c r="G9" s="2">
        <f>G23*G19/360</f>
        <v>17454.5049986808</v>
      </c>
      <c r="H9" s="2">
        <f>H23*H19/360</f>
        <v>19294.0875164324</v>
      </c>
      <c r="I9" s="2">
        <f>I23*I19/360</f>
        <v>21347.5597213188</v>
      </c>
      <c r="J9" s="2">
        <f>J23*J19/360</f>
        <v>22670.8901313486</v>
      </c>
      <c r="K9" s="2">
        <f>K23*K19/360</f>
        <v>23732.2001179023</v>
      </c>
    </row>
    <row r="10" ht="14.25" customHeight="1" spans="2:11">
      <c r="B10" s="1" t="s">
        <v>37</v>
      </c>
      <c r="C10" s="2">
        <f>'Balance Sheet'!C17</f>
        <v>2994</v>
      </c>
      <c r="D10" s="2">
        <f>'Balance Sheet'!D17</f>
        <v>3176</v>
      </c>
      <c r="E10" s="2">
        <f>'Balance Sheet'!E17</f>
        <v>3605</v>
      </c>
      <c r="F10" s="2">
        <f>'Balance Sheet'!F17</f>
        <v>4090</v>
      </c>
      <c r="G10" s="2">
        <f>G26*G$18</f>
        <v>4549.60636133779</v>
      </c>
      <c r="H10" s="2">
        <f>H26*H$18</f>
        <v>5002.31864989506</v>
      </c>
      <c r="I10" s="2">
        <f>I26*I$18</f>
        <v>5472.01730713664</v>
      </c>
      <c r="J10" s="2">
        <f>J26*J$18</f>
        <v>5824.49782978998</v>
      </c>
      <c r="K10" s="2">
        <f>K26*K$18</f>
        <v>6129.52910822435</v>
      </c>
    </row>
    <row r="11" ht="14.25" customHeight="1" spans="2:11">
      <c r="B11" s="1" t="s">
        <v>38</v>
      </c>
      <c r="C11" s="2">
        <f>'Balance Sheet'!C18</f>
        <v>1057</v>
      </c>
      <c r="D11" s="2">
        <f>'Balance Sheet'!D18</f>
        <v>1180</v>
      </c>
      <c r="E11" s="2">
        <f>'Balance Sheet'!E18</f>
        <v>1393</v>
      </c>
      <c r="F11" s="2">
        <f>'Balance Sheet'!F18</f>
        <v>1671</v>
      </c>
      <c r="G11" s="2">
        <f>G27*G$18</f>
        <v>1724.1752</v>
      </c>
      <c r="H11" s="2">
        <f>H27*H19</f>
        <v>1701.93802256445</v>
      </c>
      <c r="I11" s="2">
        <f>I27*I19</f>
        <v>1869.16632675127</v>
      </c>
      <c r="J11" s="2">
        <f>J27*J19</f>
        <v>2018.80503700754</v>
      </c>
      <c r="K11" s="2">
        <f>K27*K19</f>
        <v>2081.25829338983</v>
      </c>
    </row>
    <row r="12" ht="14.25" customHeight="1" spans="2:11">
      <c r="B12" s="1" t="s">
        <v>39</v>
      </c>
      <c r="C12" s="2">
        <f>'Balance Sheet'!C19</f>
        <v>1624</v>
      </c>
      <c r="D12" s="2">
        <f>'Balance Sheet'!D19</f>
        <v>1711</v>
      </c>
      <c r="E12" s="2">
        <f>'Balance Sheet'!E19</f>
        <v>1851</v>
      </c>
      <c r="F12" s="2">
        <f>'Balance Sheet'!F19</f>
        <v>2042</v>
      </c>
      <c r="G12" s="2">
        <f>G28*G$18</f>
        <v>2316.860425</v>
      </c>
      <c r="H12" s="2">
        <f>H28*H$18</f>
        <v>2533.729336875</v>
      </c>
      <c r="I12" s="2">
        <f>I28*I$18</f>
        <v>2741.57663671719</v>
      </c>
      <c r="J12" s="2">
        <f>J28*J$18</f>
        <v>2906.48509589999</v>
      </c>
      <c r="K12" s="2">
        <f>K28*K$18</f>
        <v>3088.95047155536</v>
      </c>
    </row>
    <row r="13" ht="14.25" customHeight="1" spans="2:11">
      <c r="B13" s="1" t="s">
        <v>40</v>
      </c>
      <c r="C13" s="2">
        <f>'Balance Sheet'!C21</f>
        <v>2924</v>
      </c>
      <c r="D13" s="2">
        <f>'Balance Sheet'!D21</f>
        <v>3792</v>
      </c>
      <c r="E13" s="2">
        <f>'Balance Sheet'!E21</f>
        <v>3728</v>
      </c>
      <c r="F13" s="2">
        <f>'Balance Sheet'!F21</f>
        <v>4561</v>
      </c>
      <c r="G13" s="2">
        <f>G29*G$18</f>
        <v>4903.123225</v>
      </c>
      <c r="H13" s="2">
        <f>H29*H$18</f>
        <v>5497.155461875</v>
      </c>
      <c r="I13" s="2">
        <f>I29*I$18</f>
        <v>5874.80707867969</v>
      </c>
      <c r="J13" s="2">
        <f>J29*J$18</f>
        <v>6336.80715631558</v>
      </c>
      <c r="K13" s="2">
        <f>K29*K$18</f>
        <v>6647.69359399344</v>
      </c>
    </row>
    <row r="14" ht="14.25" customHeight="1" spans="2:11">
      <c r="B14" s="12" t="s">
        <v>41</v>
      </c>
      <c r="C14" s="23">
        <f t="shared" ref="C14:F14" si="1">SUM(C9:C13)</f>
        <v>19836</v>
      </c>
      <c r="D14" s="23">
        <f t="shared" si="1"/>
        <v>21538</v>
      </c>
      <c r="E14" s="23">
        <f t="shared" si="1"/>
        <v>24749</v>
      </c>
      <c r="F14" s="23">
        <f t="shared" si="1"/>
        <v>28642</v>
      </c>
      <c r="G14" s="23">
        <f>SUM(G9:G13)</f>
        <v>30948.2702100186</v>
      </c>
      <c r="H14" s="23">
        <f>SUM(H9:H13)</f>
        <v>34029.2289876419</v>
      </c>
      <c r="I14" s="23">
        <f>SUM(I9:I13)</f>
        <v>37305.1270706036</v>
      </c>
      <c r="J14" s="23">
        <f>SUM(J9:J13)</f>
        <v>39757.4852503617</v>
      </c>
      <c r="K14" s="23">
        <f>SUM(K9:K13)</f>
        <v>41679.6315850652</v>
      </c>
    </row>
    <row r="15" ht="14.25" customHeight="1"/>
    <row r="16" ht="14.25" customHeight="1" spans="2:11">
      <c r="B16" s="19" t="s">
        <v>20</v>
      </c>
      <c r="C16" s="19"/>
      <c r="D16" s="19"/>
      <c r="E16" s="19"/>
      <c r="F16" s="19"/>
      <c r="G16" s="19"/>
      <c r="H16" s="19"/>
      <c r="I16" s="19"/>
      <c r="J16" s="19"/>
      <c r="K16" s="19"/>
    </row>
    <row r="17" ht="14.25" customHeight="1" spans="2:11">
      <c r="B17" s="20" t="s">
        <v>1</v>
      </c>
      <c r="C17" s="21">
        <v>43465</v>
      </c>
      <c r="D17" s="21">
        <v>43830</v>
      </c>
      <c r="E17" s="21">
        <v>44196</v>
      </c>
      <c r="F17" s="21">
        <v>44561</v>
      </c>
      <c r="G17" s="22">
        <v>44926</v>
      </c>
      <c r="H17" s="22">
        <v>45291</v>
      </c>
      <c r="I17" s="22">
        <v>45657</v>
      </c>
      <c r="J17" s="22">
        <v>46022</v>
      </c>
      <c r="K17" s="22">
        <v>46387</v>
      </c>
    </row>
    <row r="18" ht="14.25" customHeight="1" spans="2:11">
      <c r="B18" s="30" t="s">
        <v>2</v>
      </c>
      <c r="C18" s="31">
        <v>141576</v>
      </c>
      <c r="D18" s="31">
        <f>'Free Cash Flow'!C4</f>
        <v>152703</v>
      </c>
      <c r="E18" s="31">
        <f>'Free Cash Flow'!D4</f>
        <v>166761</v>
      </c>
      <c r="F18" s="31">
        <f>'Free Cash Flow'!E4</f>
        <v>195929</v>
      </c>
      <c r="G18" s="31">
        <f>'Free Cash Flow'!F4</f>
        <v>215521.9</v>
      </c>
      <c r="H18" s="31">
        <f>'Free Cash Flow'!G4</f>
        <v>237074.09</v>
      </c>
      <c r="I18" s="31">
        <f>'Free Cash Flow'!H4</f>
        <v>258410.7581</v>
      </c>
      <c r="J18" s="31">
        <f>'Free Cash Flow'!I4</f>
        <v>276499.511167</v>
      </c>
      <c r="K18" s="31">
        <f>'Free Cash Flow'!J4</f>
        <v>290324.48672535</v>
      </c>
    </row>
    <row r="19" ht="14.25" customHeight="1" spans="2:11">
      <c r="B19" s="30" t="s">
        <v>3</v>
      </c>
      <c r="C19" s="31">
        <v>123152</v>
      </c>
      <c r="D19" s="31">
        <f>'Free Cash Flow'!C5</f>
        <v>132886</v>
      </c>
      <c r="E19" s="31">
        <f>'Free Cash Flow'!D5</f>
        <v>144939</v>
      </c>
      <c r="F19" s="31">
        <f>'Free Cash Flow'!E5</f>
        <v>170684</v>
      </c>
      <c r="G19" s="31">
        <f>'Free Cash Flow'!F5</f>
        <v>187541.379896909</v>
      </c>
      <c r="H19" s="31">
        <f>'Free Cash Flow'!G5</f>
        <v>206295.5178866</v>
      </c>
      <c r="I19" s="31">
        <f>'Free Cash Flow'!H5</f>
        <v>224862.114496394</v>
      </c>
      <c r="J19" s="31">
        <f>'Free Cash Flow'!I5</f>
        <v>240602.462511141</v>
      </c>
      <c r="K19" s="31">
        <f>'Free Cash Flow'!J5</f>
        <v>252632.585636698</v>
      </c>
    </row>
    <row r="20" ht="14.25" customHeight="1" spans="2:11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ht="14.25" customHeight="1" spans="2:11">
      <c r="B21" s="30" t="s">
        <v>42</v>
      </c>
      <c r="C21" s="32">
        <f>C4/C18*360</f>
        <v>4.24393965078827</v>
      </c>
      <c r="D21" s="32">
        <f>D4/D18*360</f>
        <v>3.61878941474627</v>
      </c>
      <c r="E21" s="32">
        <f>E4/E18*360</f>
        <v>3.34610610394517</v>
      </c>
      <c r="F21" s="32">
        <f>F4/F18*360</f>
        <v>3.31283270980814</v>
      </c>
      <c r="G21" s="32">
        <f>AVERAGE(C21:F21)</f>
        <v>3.63041696982196</v>
      </c>
      <c r="H21" s="32">
        <f>AVERAGE(D21:G21)</f>
        <v>3.47703629958039</v>
      </c>
      <c r="I21" s="32">
        <f>AVERAGE(E21:H21)</f>
        <v>3.44159802078892</v>
      </c>
      <c r="J21" s="32">
        <f>AVERAGE(F21:I21)</f>
        <v>3.46547099999985</v>
      </c>
      <c r="K21" s="32">
        <f>AVERAGE(G21:J21)</f>
        <v>3.50363057254778</v>
      </c>
    </row>
    <row r="22" ht="14.25" customHeight="1" spans="2:11">
      <c r="B22" s="30" t="s">
        <v>43</v>
      </c>
      <c r="C22" s="32">
        <f>C5/C19*360</f>
        <v>32.272313888528</v>
      </c>
      <c r="D22" s="32">
        <f>D5/D19*360</f>
        <v>30.8700690817693</v>
      </c>
      <c r="E22" s="32">
        <f>E5/E19*360</f>
        <v>30.4067228282243</v>
      </c>
      <c r="F22" s="32">
        <f>F5/F19*360</f>
        <v>29.9817206065009</v>
      </c>
      <c r="G22" s="32">
        <f>AVERAGE(C22:F22)</f>
        <v>30.8827066012556</v>
      </c>
      <c r="H22" s="32">
        <f>AVERAGE(D22:G22)</f>
        <v>30.5353047794375</v>
      </c>
      <c r="I22" s="32">
        <f>AVERAGE(E22:H22)</f>
        <v>30.4516137038546</v>
      </c>
      <c r="J22" s="32">
        <f>AVERAGE(F22:I22)</f>
        <v>30.4628364227622</v>
      </c>
      <c r="K22" s="32">
        <f>AVERAGE(G22:J22)</f>
        <v>30.5831153768275</v>
      </c>
    </row>
    <row r="23" ht="14.25" customHeight="1" spans="2:11">
      <c r="B23" s="30" t="s">
        <v>44</v>
      </c>
      <c r="C23" s="32">
        <f>C9/C19*360</f>
        <v>32.8481876055606</v>
      </c>
      <c r="D23" s="32">
        <f>D9/D19*360</f>
        <v>31.6394503559442</v>
      </c>
      <c r="E23" s="32">
        <f>E9/E19*360</f>
        <v>35.2004636433258</v>
      </c>
      <c r="F23" s="32">
        <f>F9/F19*360</f>
        <v>34.3329193128823</v>
      </c>
      <c r="G23" s="32">
        <f>AVERAGE(C23:F23)</f>
        <v>33.5052552294282</v>
      </c>
      <c r="H23" s="32">
        <f>AVERAGE(D23:G23)</f>
        <v>33.6695221353951</v>
      </c>
      <c r="I23" s="32">
        <f>AVERAGE(E23:H23)</f>
        <v>34.1770400802579</v>
      </c>
      <c r="J23" s="32">
        <f>AVERAGE(F23:I23)</f>
        <v>33.9211841894909</v>
      </c>
      <c r="K23" s="32">
        <f>AVERAGE(G23:J23)</f>
        <v>33.818250408643</v>
      </c>
    </row>
    <row r="24" ht="14.25" customHeight="1" spans="2:11"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ht="14.25" customHeight="1" spans="2:11">
      <c r="B25" s="30" t="s">
        <v>45</v>
      </c>
      <c r="C25" s="33">
        <f>C6/C18</f>
        <v>0.00226733344634684</v>
      </c>
      <c r="D25" s="33">
        <f>D6/D18</f>
        <v>0.0072755610564298</v>
      </c>
      <c r="E25" s="33">
        <f>E6/E18</f>
        <v>0.00613452785723281</v>
      </c>
      <c r="F25" s="33">
        <f>F6/F18</f>
        <v>0.00669630325270889</v>
      </c>
      <c r="G25" s="33">
        <f>AVERAGE(C25:F25)</f>
        <v>0.00559343140317958</v>
      </c>
      <c r="H25" s="33">
        <f>AVERAGE(D25:G25)</f>
        <v>0.00642495589238777</v>
      </c>
      <c r="I25" s="33">
        <f>AVERAGE(E25:H25)</f>
        <v>0.00621230460137726</v>
      </c>
      <c r="J25" s="33">
        <f>AVERAGE(F25:I25)</f>
        <v>0.00623174878741338</v>
      </c>
      <c r="K25" s="33">
        <f>AVERAGE(G25:J25)</f>
        <v>0.0061156101710895</v>
      </c>
    </row>
    <row r="26" ht="14.25" customHeight="1" spans="2:11">
      <c r="B26" s="30" t="s">
        <v>46</v>
      </c>
      <c r="C26" s="33">
        <f>C10/C18</f>
        <v>0.0211476521444313</v>
      </c>
      <c r="D26" s="33">
        <f>D10/D18</f>
        <v>0.0207985435780568</v>
      </c>
      <c r="E26" s="33">
        <f>E10/E18</f>
        <v>0.0216177643453805</v>
      </c>
      <c r="F26" s="33">
        <f>F10/F18</f>
        <v>0.0208749087679721</v>
      </c>
      <c r="G26" s="33">
        <f>AVERAGE(C26:F26)</f>
        <v>0.0211097172089601</v>
      </c>
      <c r="H26" s="33">
        <f>AVERAGE(D26:G26)</f>
        <v>0.0211002334750924</v>
      </c>
      <c r="I26" s="33">
        <f>AVERAGE(E26:H26)</f>
        <v>0.0211756559493513</v>
      </c>
      <c r="J26" s="33">
        <f>AVERAGE(F26:I26)</f>
        <v>0.021065128850344</v>
      </c>
      <c r="K26" s="33">
        <f>AVERAGE(G26:J26)</f>
        <v>0.0211126838709369</v>
      </c>
    </row>
    <row r="27" ht="14.25" customHeight="1" spans="2:11">
      <c r="B27" s="30" t="s">
        <v>47</v>
      </c>
      <c r="C27" s="33">
        <v>0.007</v>
      </c>
      <c r="D27" s="33">
        <v>0.008</v>
      </c>
      <c r="E27" s="33">
        <v>0.008</v>
      </c>
      <c r="F27" s="33">
        <v>0.009</v>
      </c>
      <c r="G27" s="33">
        <f>AVERAGE(C27:F27)</f>
        <v>0.008</v>
      </c>
      <c r="H27" s="33">
        <f>AVERAGE(D27:G27)</f>
        <v>0.00825</v>
      </c>
      <c r="I27" s="33">
        <f>AVERAGE(E27:H27)</f>
        <v>0.0083125</v>
      </c>
      <c r="J27" s="33">
        <f>AVERAGE(F27:I27)</f>
        <v>0.008390625</v>
      </c>
      <c r="K27" s="33">
        <f>AVERAGE(G27:J27)</f>
        <v>0.00823828125</v>
      </c>
    </row>
    <row r="28" ht="14.25" customHeight="1" spans="2:11">
      <c r="B28" s="30" t="s">
        <v>48</v>
      </c>
      <c r="C28" s="33">
        <v>0.011</v>
      </c>
      <c r="D28" s="33">
        <v>0.011</v>
      </c>
      <c r="E28" s="33">
        <v>0.011</v>
      </c>
      <c r="F28" s="33">
        <v>0.01</v>
      </c>
      <c r="G28" s="33">
        <f>AVERAGE(C28:F28)</f>
        <v>0.01075</v>
      </c>
      <c r="H28" s="33">
        <f>AVERAGE(D28:G28)</f>
        <v>0.0106875</v>
      </c>
      <c r="I28" s="33">
        <f>AVERAGE(E28:H28)</f>
        <v>0.010609375</v>
      </c>
      <c r="J28" s="33">
        <f>AVERAGE(F28:I28)</f>
        <v>0.01051171875</v>
      </c>
      <c r="K28" s="33">
        <f>AVERAGE(G28:J28)</f>
        <v>0.0106396484375</v>
      </c>
    </row>
    <row r="29" ht="14.25" customHeight="1" spans="2:11">
      <c r="B29" s="30" t="s">
        <v>49</v>
      </c>
      <c r="C29" s="33">
        <v>0.021</v>
      </c>
      <c r="D29" s="33">
        <v>0.025</v>
      </c>
      <c r="E29" s="33">
        <v>0.022</v>
      </c>
      <c r="F29" s="33">
        <v>0.023</v>
      </c>
      <c r="G29" s="33">
        <f>AVERAGE(C29:F29)</f>
        <v>0.02275</v>
      </c>
      <c r="H29" s="33">
        <f>AVERAGE(D29:G29)</f>
        <v>0.0231875</v>
      </c>
      <c r="I29" s="33">
        <f>AVERAGE(E29:H29)</f>
        <v>0.022734375</v>
      </c>
      <c r="J29" s="33">
        <f>AVERAGE(F29:I29)</f>
        <v>0.02291796875</v>
      </c>
      <c r="K29" s="33">
        <f>AVERAGE(G29:J29)</f>
        <v>0.0228974609375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00"/>
  <sheetViews>
    <sheetView showGridLines="0" zoomScale="76" zoomScaleNormal="76" workbookViewId="0">
      <selection activeCell="H23" sqref="H23"/>
    </sheetView>
  </sheetViews>
  <sheetFormatPr defaultColWidth="14.4259259259259" defaultRowHeight="15" customHeight="1"/>
  <cols>
    <col min="1" max="1" width="8.86111111111111" customWidth="1"/>
    <col min="2" max="2" width="28.5740740740741" customWidth="1"/>
    <col min="3" max="10" width="9.42592592592593" customWidth="1"/>
    <col min="11" max="11" width="8.13888888888889" customWidth="1"/>
    <col min="12" max="26" width="8.86111111111111" customWidth="1"/>
  </cols>
  <sheetData>
    <row r="1" ht="14.25" customHeight="1"/>
    <row r="2" ht="14.25" customHeight="1" spans="2:11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</row>
    <row r="3" ht="14.25" customHeight="1" spans="2:11">
      <c r="B3" s="20" t="s">
        <v>1</v>
      </c>
      <c r="C3" s="21"/>
      <c r="D3" s="21">
        <v>43830</v>
      </c>
      <c r="E3" s="21">
        <v>44196</v>
      </c>
      <c r="F3" s="21">
        <v>44561</v>
      </c>
      <c r="G3" s="22">
        <v>44926</v>
      </c>
      <c r="H3" s="22">
        <v>45291</v>
      </c>
      <c r="I3" s="22">
        <v>45657</v>
      </c>
      <c r="J3" s="22">
        <v>46022</v>
      </c>
      <c r="K3" s="22">
        <v>46387</v>
      </c>
    </row>
    <row r="4" ht="14.25" customHeight="1" spans="2:11">
      <c r="B4" s="1" t="s">
        <v>19</v>
      </c>
      <c r="C4" s="2"/>
      <c r="D4" s="2">
        <f>'Free Cash Flow'!C21</f>
        <v>3158</v>
      </c>
      <c r="E4" s="2">
        <f>'Free Cash Flow'!D21</f>
        <v>2859</v>
      </c>
      <c r="F4" s="2">
        <f>'Free Cash Flow'!E21</f>
        <v>4698</v>
      </c>
      <c r="G4" s="2">
        <f>'Free Cash Flow'!F21</f>
        <v>3814.51402863525</v>
      </c>
      <c r="H4" s="2">
        <f>'Free Cash Flow'!G21</f>
        <v>5337.98083904395</v>
      </c>
      <c r="I4" s="2">
        <f>'Free Cash Flow'!H21</f>
        <v>6019.94954220059</v>
      </c>
      <c r="J4" s="2">
        <f>'Free Cash Flow'!I21</f>
        <v>5633.09662011385</v>
      </c>
      <c r="K4" s="2">
        <f>'Free Cash Flow'!J21</f>
        <v>5566.79157138063</v>
      </c>
    </row>
    <row r="5" ht="14.25" customHeight="1"/>
    <row r="6" ht="14.25" customHeight="1" spans="2:11">
      <c r="B6" s="1" t="s">
        <v>50</v>
      </c>
      <c r="G6" s="1">
        <v>1</v>
      </c>
      <c r="H6" s="1">
        <v>2</v>
      </c>
      <c r="I6" s="1">
        <v>3</v>
      </c>
      <c r="J6" s="1">
        <v>4</v>
      </c>
      <c r="K6" s="1">
        <v>5</v>
      </c>
    </row>
    <row r="7" ht="14.25" customHeight="1" spans="2:11">
      <c r="B7" s="12" t="s">
        <v>51</v>
      </c>
      <c r="C7" s="12"/>
      <c r="D7" s="12"/>
      <c r="E7" s="12"/>
      <c r="F7" s="12"/>
      <c r="G7" s="23">
        <f>G4/(1+$C$12)^G6</f>
        <v>3590.62872034486</v>
      </c>
      <c r="H7" s="23">
        <f>H4/(1+$C$12)^H6</f>
        <v>4729.76516506186</v>
      </c>
      <c r="I7" s="23">
        <f>I4/(1+$C$12)^I6</f>
        <v>5020.95932163893</v>
      </c>
      <c r="J7" s="23">
        <f>J4/(1+$C$12)^J6</f>
        <v>4422.54576841916</v>
      </c>
      <c r="K7" s="23">
        <f>K4/(1+$C$12)^K6</f>
        <v>4113.97246460952</v>
      </c>
    </row>
    <row r="8" ht="14.25" customHeight="1"/>
    <row r="9" ht="14.25" customHeight="1" spans="2:3">
      <c r="B9" s="6" t="s">
        <v>52</v>
      </c>
      <c r="C9" s="7"/>
    </row>
    <row r="10" ht="14.25" customHeight="1" spans="2:3">
      <c r="B10" s="8" t="s">
        <v>53</v>
      </c>
      <c r="C10" s="2">
        <f>SUM(G7:K7)</f>
        <v>21877.8714400743</v>
      </c>
    </row>
    <row r="11" ht="14.25" customHeight="1" spans="2:3">
      <c r="B11" s="8" t="s">
        <v>54</v>
      </c>
      <c r="C11" s="24">
        <v>0.03</v>
      </c>
    </row>
    <row r="12" customHeight="1" spans="2:3">
      <c r="B12" s="8" t="s">
        <v>55</v>
      </c>
      <c r="C12" s="10">
        <f>WACC!C18</f>
        <v>0.0623526757366551</v>
      </c>
    </row>
    <row r="13" ht="14.25" customHeight="1" spans="2:3">
      <c r="B13" s="8" t="s">
        <v>56</v>
      </c>
      <c r="C13" s="2">
        <f>K4*(1+C11)/(C12-C11)</f>
        <v>177227.854820853</v>
      </c>
    </row>
    <row r="14" ht="14.25" customHeight="1" spans="2:4">
      <c r="B14" s="8" t="s">
        <v>57</v>
      </c>
      <c r="C14" s="2">
        <f>C13/(1+C12)^K6</f>
        <v>130974.99795811</v>
      </c>
      <c r="D14" s="2"/>
    </row>
    <row r="15" ht="14.25" customHeight="1" spans="2:3">
      <c r="B15" s="8" t="s">
        <v>58</v>
      </c>
      <c r="C15" s="2">
        <f>C14+C10</f>
        <v>152852.869398185</v>
      </c>
    </row>
    <row r="16" ht="14.25" customHeight="1" spans="2:3">
      <c r="B16" s="25" t="s">
        <v>59</v>
      </c>
      <c r="C16" s="2">
        <f>'Balance Sheet'!F4</f>
        <v>11258</v>
      </c>
    </row>
    <row r="17" ht="14.25" customHeight="1" spans="2:3">
      <c r="B17" s="25" t="s">
        <v>60</v>
      </c>
      <c r="C17" s="2">
        <f>WACC!C4</f>
        <v>7491</v>
      </c>
    </row>
    <row r="18" ht="14.25" customHeight="1" spans="2:3">
      <c r="B18" s="25" t="s">
        <v>61</v>
      </c>
      <c r="C18" s="2">
        <f>'Balance Sheet'!F35</f>
        <v>514</v>
      </c>
    </row>
    <row r="19" ht="14.25" customHeight="1" spans="2:3">
      <c r="B19" s="26" t="s">
        <v>62</v>
      </c>
      <c r="C19" s="27">
        <f>C15+C16-C17-C18</f>
        <v>156105.869398185</v>
      </c>
    </row>
    <row r="20" ht="14.25" customHeight="1" spans="2:3">
      <c r="B20" s="8" t="s">
        <v>63</v>
      </c>
      <c r="C20" s="28">
        <v>444.346</v>
      </c>
    </row>
    <row r="21" ht="14.25" customHeight="1" spans="2:3">
      <c r="B21" s="17" t="s">
        <v>64</v>
      </c>
      <c r="C21" s="29">
        <f>C19/C20</f>
        <v>351.316022644931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9:C9"/>
  </mergeCells>
  <pageMargins left="0.7" right="0.7" top="0.75" bottom="0.75" header="0" footer="0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000"/>
  <sheetViews>
    <sheetView showGridLines="0" tabSelected="1" workbookViewId="0">
      <selection activeCell="B17" sqref="B17"/>
    </sheetView>
  </sheetViews>
  <sheetFormatPr defaultColWidth="14.4259259259259" defaultRowHeight="15" customHeight="1" outlineLevelCol="2"/>
  <cols>
    <col min="1" max="1" width="8.86111111111111" customWidth="1"/>
    <col min="2" max="2" width="37.1388888888889" customWidth="1"/>
    <col min="3" max="26" width="8.86111111111111" customWidth="1"/>
  </cols>
  <sheetData>
    <row r="1" ht="14.25" customHeight="1"/>
    <row r="2" ht="14.25" customHeight="1" spans="2:3">
      <c r="B2" s="6" t="s">
        <v>65</v>
      </c>
      <c r="C2" s="7"/>
    </row>
    <row r="3" ht="14.25" customHeight="1" spans="2:3">
      <c r="B3" s="8" t="s">
        <v>66</v>
      </c>
      <c r="C3" s="9">
        <v>214560</v>
      </c>
    </row>
    <row r="4" ht="14.25" customHeight="1" spans="2:3">
      <c r="B4" s="8" t="s">
        <v>67</v>
      </c>
      <c r="C4" s="2">
        <f>SUM('Balance Sheet'!F20,'Balance Sheet'!F24)</f>
        <v>7491</v>
      </c>
    </row>
    <row r="5" ht="14.25" customHeight="1" spans="2:3">
      <c r="B5" s="8"/>
      <c r="C5" s="8"/>
    </row>
    <row r="6" ht="14.25" customHeight="1" spans="2:3">
      <c r="B6" s="8" t="s">
        <v>68</v>
      </c>
      <c r="C6" s="10">
        <f>'Income Statement'!E13/C4</f>
        <v>-0.0228273928714457</v>
      </c>
    </row>
    <row r="7" ht="14.25" customHeight="1" spans="2:3">
      <c r="B7" s="8" t="s">
        <v>69</v>
      </c>
      <c r="C7" s="11">
        <v>0.21</v>
      </c>
    </row>
    <row r="8" ht="14.25" customHeight="1" spans="2:3">
      <c r="B8" s="8" t="s">
        <v>70</v>
      </c>
      <c r="C8" s="10">
        <f>C4/SUM(C3:C4)</f>
        <v>0.0337354931975087</v>
      </c>
    </row>
    <row r="9" ht="14.25" customHeight="1" spans="2:3">
      <c r="B9" s="12" t="s">
        <v>71</v>
      </c>
      <c r="C9" s="13">
        <f>-C6*(1-C7)</f>
        <v>0.0180336403684421</v>
      </c>
    </row>
    <row r="10" ht="14.25" customHeight="1" spans="2:3">
      <c r="B10" s="14"/>
      <c r="C10" s="15"/>
    </row>
    <row r="11" ht="14.25" customHeight="1" spans="2:3">
      <c r="B11" s="8" t="s">
        <v>72</v>
      </c>
      <c r="C11" s="11">
        <v>0.031</v>
      </c>
    </row>
    <row r="12" ht="14.25" customHeight="1" spans="2:3">
      <c r="B12" s="8" t="s">
        <v>73</v>
      </c>
      <c r="C12" s="11">
        <v>0.078</v>
      </c>
    </row>
    <row r="13" ht="14.25" customHeight="1" spans="2:3">
      <c r="B13" s="8" t="s">
        <v>74</v>
      </c>
      <c r="C13" s="10">
        <f>C12-C11</f>
        <v>0.047</v>
      </c>
    </row>
    <row r="14" ht="14.25" customHeight="1" spans="2:3">
      <c r="B14" s="8" t="s">
        <v>75</v>
      </c>
      <c r="C14" s="16">
        <v>0.7</v>
      </c>
    </row>
    <row r="15" ht="14.25" customHeight="1" spans="2:3">
      <c r="B15" s="8" t="s">
        <v>76</v>
      </c>
      <c r="C15" s="10">
        <f>C3/SUM(C3:C4)</f>
        <v>0.966264506802491</v>
      </c>
    </row>
    <row r="16" ht="14.25" customHeight="1" spans="2:3">
      <c r="B16" s="12" t="s">
        <v>77</v>
      </c>
      <c r="C16" s="13">
        <f>C11+C14*(C13)</f>
        <v>0.0639</v>
      </c>
    </row>
    <row r="17" ht="14.25" customHeight="1" spans="2:3">
      <c r="B17" s="8"/>
      <c r="C17" s="8"/>
    </row>
    <row r="18" ht="14.25" customHeight="1" spans="2:3">
      <c r="B18" s="17" t="s">
        <v>55</v>
      </c>
      <c r="C18" s="18">
        <f>C9*C8+C16*C15</f>
        <v>0.0623526757366551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ageMargins left="0.7" right="0.7" top="0.75" bottom="0.75" header="0" footer="0"/>
  <pageSetup paperSize="1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000"/>
  <sheetViews>
    <sheetView zoomScale="74" zoomScaleNormal="74" workbookViewId="0">
      <selection activeCell="A1" sqref="A1"/>
    </sheetView>
  </sheetViews>
  <sheetFormatPr defaultColWidth="14.4259259259259" defaultRowHeight="15" customHeight="1" outlineLevelCol="6"/>
  <cols>
    <col min="1" max="1" width="8.86111111111111" customWidth="1"/>
    <col min="2" max="2" width="69.4259259259259" customWidth="1"/>
    <col min="3" max="6" width="15.4259259259259" customWidth="1"/>
    <col min="7" max="26" width="8.86111111111111" customWidth="1"/>
  </cols>
  <sheetData>
    <row r="1" ht="14.25" customHeight="1"/>
    <row r="2" ht="14.25" customHeight="1" spans="2:2">
      <c r="B2" s="1" t="s">
        <v>78</v>
      </c>
    </row>
    <row r="3" ht="14.25" customHeight="1" spans="3:5">
      <c r="C3" s="3" t="s">
        <v>79</v>
      </c>
      <c r="D3" s="3" t="s">
        <v>80</v>
      </c>
      <c r="E3" s="3" t="s">
        <v>81</v>
      </c>
    </row>
    <row r="4" ht="14.25" customHeight="1" spans="2:2">
      <c r="B4" s="1" t="s">
        <v>82</v>
      </c>
    </row>
    <row r="5" ht="14.25" customHeight="1" spans="2:5">
      <c r="B5" s="1" t="s">
        <v>83</v>
      </c>
      <c r="C5" s="4">
        <v>152703</v>
      </c>
      <c r="D5" s="4">
        <v>166761</v>
      </c>
      <c r="E5" s="4">
        <v>195929</v>
      </c>
    </row>
    <row r="6" ht="14.25" customHeight="1" spans="2:2">
      <c r="B6" s="1" t="s">
        <v>84</v>
      </c>
    </row>
    <row r="7" ht="14.25" customHeight="1" spans="2:5">
      <c r="B7" s="1" t="s">
        <v>85</v>
      </c>
      <c r="C7" s="2">
        <v>132886</v>
      </c>
      <c r="D7" s="2">
        <v>144939</v>
      </c>
      <c r="E7" s="2">
        <v>170684</v>
      </c>
    </row>
    <row r="8" ht="14.25" customHeight="1" spans="2:7">
      <c r="B8" s="1" t="s">
        <v>86</v>
      </c>
      <c r="C8" s="2">
        <v>13502</v>
      </c>
      <c r="D8" s="2">
        <v>14687</v>
      </c>
      <c r="E8" s="2">
        <v>16680</v>
      </c>
      <c r="G8" s="4"/>
    </row>
    <row r="9" ht="14.25" customHeight="1" spans="2:5">
      <c r="B9" s="1" t="s">
        <v>9</v>
      </c>
      <c r="C9" s="2">
        <v>1492</v>
      </c>
      <c r="D9" s="2">
        <v>1645</v>
      </c>
      <c r="E9" s="2">
        <v>1781</v>
      </c>
    </row>
    <row r="10" ht="14.25" customHeight="1" spans="2:5">
      <c r="B10" s="1" t="s">
        <v>87</v>
      </c>
      <c r="C10" s="2">
        <v>86</v>
      </c>
      <c r="D10" s="2">
        <v>55</v>
      </c>
      <c r="E10" s="2">
        <v>76</v>
      </c>
    </row>
    <row r="11" ht="14.25" customHeight="1" spans="2:5">
      <c r="B11" s="1" t="s">
        <v>88</v>
      </c>
      <c r="C11" s="2">
        <v>4737</v>
      </c>
      <c r="D11" s="2">
        <v>5435</v>
      </c>
      <c r="E11" s="2">
        <v>6708</v>
      </c>
    </row>
    <row r="12" ht="14.25" customHeight="1" spans="2:5">
      <c r="B12" s="1" t="s">
        <v>89</v>
      </c>
      <c r="C12" s="2"/>
      <c r="D12" s="2"/>
      <c r="E12" s="2"/>
    </row>
    <row r="13" ht="14.25" customHeight="1" spans="2:5">
      <c r="B13" s="1" t="s">
        <v>90</v>
      </c>
      <c r="C13" s="2">
        <v>-150</v>
      </c>
      <c r="D13" s="2">
        <v>-160</v>
      </c>
      <c r="E13" s="2">
        <v>-171</v>
      </c>
    </row>
    <row r="14" ht="14.25" customHeight="1" spans="2:5">
      <c r="B14" s="1" t="s">
        <v>91</v>
      </c>
      <c r="C14" s="2">
        <v>178</v>
      </c>
      <c r="D14" s="2">
        <v>92</v>
      </c>
      <c r="E14" s="2">
        <v>143</v>
      </c>
    </row>
    <row r="15" ht="14.25" customHeight="1" spans="2:5">
      <c r="B15" s="1" t="s">
        <v>92</v>
      </c>
      <c r="C15" s="2">
        <v>4765</v>
      </c>
      <c r="D15" s="2">
        <v>5367</v>
      </c>
      <c r="E15" s="2">
        <v>6680</v>
      </c>
    </row>
    <row r="16" ht="14.25" customHeight="1" spans="2:5">
      <c r="B16" s="1" t="s">
        <v>93</v>
      </c>
      <c r="C16" s="2">
        <v>1061</v>
      </c>
      <c r="D16" s="2">
        <v>1308</v>
      </c>
      <c r="E16" s="2">
        <v>1601</v>
      </c>
    </row>
    <row r="17" ht="14.25" customHeight="1" spans="2:5">
      <c r="B17" s="1" t="s">
        <v>94</v>
      </c>
      <c r="C17" s="2">
        <v>3704</v>
      </c>
      <c r="D17" s="2">
        <v>4059</v>
      </c>
      <c r="E17" s="2">
        <v>5079</v>
      </c>
    </row>
    <row r="18" ht="14.25" customHeight="1" spans="3:5">
      <c r="C18" s="2"/>
      <c r="D18" s="2"/>
      <c r="E18" s="2"/>
    </row>
    <row r="19" ht="14.25" customHeight="1" spans="2:5">
      <c r="B19" s="1" t="s">
        <v>95</v>
      </c>
      <c r="C19" s="2">
        <v>442923</v>
      </c>
      <c r="D19" s="2">
        <v>443901</v>
      </c>
      <c r="E19" s="2">
        <v>444346</v>
      </c>
    </row>
    <row r="20" ht="14.25" customHeight="1" spans="3:5">
      <c r="C20" s="2"/>
      <c r="D20" s="2"/>
      <c r="E20" s="2"/>
    </row>
    <row r="21" ht="14.25" customHeight="1" spans="2:5">
      <c r="B21" s="1" t="s">
        <v>96</v>
      </c>
      <c r="C21" s="2">
        <v>149351</v>
      </c>
      <c r="D21" s="2">
        <v>163220</v>
      </c>
      <c r="E21" s="2">
        <v>192052</v>
      </c>
    </row>
    <row r="22" ht="14.25" customHeight="1" spans="2:5">
      <c r="B22" s="1" t="s">
        <v>97</v>
      </c>
      <c r="C22" s="2">
        <v>3352</v>
      </c>
      <c r="D22" s="2">
        <v>3541</v>
      </c>
      <c r="E22" s="2">
        <v>3877</v>
      </c>
    </row>
    <row r="23" ht="14.25" customHeight="1" spans="4:6">
      <c r="D23" s="5"/>
      <c r="E23" s="5"/>
      <c r="F23" s="5"/>
    </row>
    <row r="24" ht="14.25" customHeight="1" spans="4:6">
      <c r="D24" s="2"/>
      <c r="E24" s="2"/>
      <c r="F24" s="2"/>
    </row>
    <row r="25" ht="14.25" customHeight="1" spans="4:6">
      <c r="D25" s="2"/>
      <c r="E25" s="2"/>
      <c r="F25" s="2"/>
    </row>
    <row r="26" ht="14.25" customHeight="1" spans="4:6">
      <c r="D26" s="2"/>
      <c r="E26" s="2"/>
      <c r="F26" s="2"/>
    </row>
    <row r="27" ht="14.25" customHeight="1" spans="4:6">
      <c r="D27" s="2"/>
      <c r="E27" s="2"/>
      <c r="F27" s="2"/>
    </row>
    <row r="28" ht="14.25" customHeight="1" spans="4:6">
      <c r="D28" s="2"/>
      <c r="E28" s="2"/>
      <c r="F28" s="2"/>
    </row>
    <row r="29" ht="14.25" customHeight="1" spans="4:6">
      <c r="D29" s="2"/>
      <c r="E29" s="2"/>
      <c r="F29" s="2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000"/>
  <sheetViews>
    <sheetView zoomScale="66" zoomScaleNormal="66" topLeftCell="B1" workbookViewId="0">
      <selection activeCell="A1" sqref="A1"/>
    </sheetView>
  </sheetViews>
  <sheetFormatPr defaultColWidth="14.4259259259259" defaultRowHeight="15" customHeight="1" outlineLevelCol="5"/>
  <cols>
    <col min="1" max="1" width="8.86111111111111" customWidth="1"/>
    <col min="2" max="2" width="104.861111111111" customWidth="1"/>
    <col min="3" max="5" width="11.8611111111111" customWidth="1"/>
    <col min="6" max="6" width="11.5740740740741" customWidth="1"/>
    <col min="7" max="26" width="8.86111111111111" customWidth="1"/>
  </cols>
  <sheetData>
    <row r="1" ht="14.25" customHeight="1"/>
    <row r="2" ht="14.25" customHeight="1" spans="2:6">
      <c r="B2" s="1" t="s">
        <v>98</v>
      </c>
      <c r="C2" s="1" t="s">
        <v>99</v>
      </c>
      <c r="D2" s="1" t="s">
        <v>79</v>
      </c>
      <c r="E2" s="1" t="s">
        <v>80</v>
      </c>
      <c r="F2" s="1" t="s">
        <v>81</v>
      </c>
    </row>
    <row r="3" ht="14.25" customHeight="1" spans="2:2">
      <c r="B3" s="1" t="s">
        <v>100</v>
      </c>
    </row>
    <row r="4" ht="14.25" customHeight="1" spans="2:6">
      <c r="B4" s="1" t="s">
        <v>101</v>
      </c>
      <c r="C4" s="2">
        <v>6055</v>
      </c>
      <c r="D4" s="2">
        <v>8384</v>
      </c>
      <c r="E4" s="2">
        <v>12277</v>
      </c>
      <c r="F4" s="2">
        <v>11258</v>
      </c>
    </row>
    <row r="5" ht="14.25" customHeight="1" spans="2:6">
      <c r="B5" s="1" t="s">
        <v>102</v>
      </c>
      <c r="C5" s="2">
        <v>1204</v>
      </c>
      <c r="D5" s="2">
        <v>1060</v>
      </c>
      <c r="E5" s="2">
        <v>1028</v>
      </c>
      <c r="F5" s="2">
        <v>917</v>
      </c>
    </row>
    <row r="6" ht="14.25" customHeight="1" spans="2:6">
      <c r="B6" s="1" t="s">
        <v>103</v>
      </c>
      <c r="C6" s="2">
        <v>1669</v>
      </c>
      <c r="D6" s="2">
        <v>1535</v>
      </c>
      <c r="E6" s="2">
        <v>1550</v>
      </c>
      <c r="F6" s="2">
        <v>1803</v>
      </c>
    </row>
    <row r="7" ht="14.25" customHeight="1" spans="2:6">
      <c r="B7" s="1" t="s">
        <v>104</v>
      </c>
      <c r="C7" s="2">
        <v>11040</v>
      </c>
      <c r="D7" s="2">
        <v>11395</v>
      </c>
      <c r="E7" s="2">
        <v>12242</v>
      </c>
      <c r="F7" s="2">
        <v>14215</v>
      </c>
    </row>
    <row r="8" ht="14.25" customHeight="1" spans="2:6">
      <c r="B8" s="1" t="s">
        <v>105</v>
      </c>
      <c r="C8" s="2">
        <v>321</v>
      </c>
      <c r="D8" s="2">
        <v>1111</v>
      </c>
      <c r="E8" s="2">
        <v>1023</v>
      </c>
      <c r="F8" s="2">
        <v>1312</v>
      </c>
    </row>
    <row r="9" ht="14.25" customHeight="1" spans="2:6">
      <c r="B9" s="1" t="s">
        <v>106</v>
      </c>
      <c r="C9" s="2">
        <v>20289</v>
      </c>
      <c r="D9" s="2">
        <v>23485</v>
      </c>
      <c r="E9" s="2">
        <v>28120</v>
      </c>
      <c r="F9" s="2">
        <v>29505</v>
      </c>
    </row>
    <row r="10" ht="14.25" customHeight="1" spans="2:6">
      <c r="B10" s="1" t="s">
        <v>107</v>
      </c>
      <c r="C10" s="2"/>
      <c r="D10" s="2"/>
      <c r="E10" s="2"/>
      <c r="F10" s="2"/>
    </row>
    <row r="11" ht="14.25" customHeight="1" spans="2:6">
      <c r="B11" s="1" t="s">
        <v>108</v>
      </c>
      <c r="C11" s="2">
        <v>19681</v>
      </c>
      <c r="D11" s="2">
        <v>20890</v>
      </c>
      <c r="E11" s="2">
        <v>21807</v>
      </c>
      <c r="F11" s="2">
        <v>23492</v>
      </c>
    </row>
    <row r="12" ht="14.25" customHeight="1" spans="2:6">
      <c r="B12" s="1" t="s">
        <v>109</v>
      </c>
      <c r="C12" s="2"/>
      <c r="D12" s="2">
        <v>0</v>
      </c>
      <c r="E12" s="2">
        <v>2788</v>
      </c>
      <c r="F12" s="2">
        <v>2890</v>
      </c>
    </row>
    <row r="13" ht="14.25" customHeight="1" spans="2:6">
      <c r="B13" s="1" t="s">
        <v>110</v>
      </c>
      <c r="C13" s="2">
        <v>860</v>
      </c>
      <c r="D13" s="2">
        <v>1025</v>
      </c>
      <c r="E13" s="2">
        <v>2841</v>
      </c>
      <c r="F13" s="2">
        <v>3381</v>
      </c>
    </row>
    <row r="14" ht="14.25" customHeight="1" spans="2:6">
      <c r="B14" s="1" t="s">
        <v>111</v>
      </c>
      <c r="C14" s="2">
        <v>40830</v>
      </c>
      <c r="D14" s="2">
        <v>45400</v>
      </c>
      <c r="E14" s="2">
        <v>55556</v>
      </c>
      <c r="F14" s="2">
        <v>59268</v>
      </c>
    </row>
    <row r="15" ht="14.25" customHeight="1" spans="2:6">
      <c r="B15" s="1" t="s">
        <v>112</v>
      </c>
      <c r="C15" s="2"/>
      <c r="D15" s="2"/>
      <c r="E15" s="2"/>
      <c r="F15" s="2"/>
    </row>
    <row r="16" ht="14.25" customHeight="1" spans="2:6">
      <c r="B16" s="1" t="s">
        <v>113</v>
      </c>
      <c r="C16" s="2">
        <v>11237</v>
      </c>
      <c r="D16" s="2">
        <v>11679</v>
      </c>
      <c r="E16" s="2">
        <v>14172</v>
      </c>
      <c r="F16" s="2">
        <v>16278</v>
      </c>
    </row>
    <row r="17" ht="14.25" customHeight="1" spans="2:6">
      <c r="B17" s="1" t="s">
        <v>114</v>
      </c>
      <c r="C17" s="2">
        <v>2994</v>
      </c>
      <c r="D17" s="2">
        <v>3176</v>
      </c>
      <c r="E17" s="2">
        <v>3605</v>
      </c>
      <c r="F17" s="2">
        <v>4090</v>
      </c>
    </row>
    <row r="18" ht="14.25" customHeight="1" spans="2:6">
      <c r="B18" s="1" t="s">
        <v>115</v>
      </c>
      <c r="C18" s="2">
        <v>1057</v>
      </c>
      <c r="D18" s="2">
        <v>1180</v>
      </c>
      <c r="E18" s="2">
        <v>1393</v>
      </c>
      <c r="F18" s="2">
        <v>1671</v>
      </c>
    </row>
    <row r="19" ht="14.25" customHeight="1" spans="2:6">
      <c r="B19" s="1" t="s">
        <v>116</v>
      </c>
      <c r="C19" s="2">
        <v>1624</v>
      </c>
      <c r="D19" s="2">
        <v>1711</v>
      </c>
      <c r="E19" s="2">
        <v>1851</v>
      </c>
      <c r="F19" s="2">
        <v>2042</v>
      </c>
    </row>
    <row r="20" ht="14.25" customHeight="1" spans="2:6">
      <c r="B20" s="1" t="s">
        <v>117</v>
      </c>
      <c r="C20" s="2">
        <v>90</v>
      </c>
      <c r="D20" s="2">
        <v>1699</v>
      </c>
      <c r="E20" s="2">
        <v>95</v>
      </c>
      <c r="F20" s="2">
        <v>799</v>
      </c>
    </row>
    <row r="21" ht="14.25" customHeight="1" spans="2:6">
      <c r="B21" s="1" t="s">
        <v>118</v>
      </c>
      <c r="C21" s="2">
        <v>2924</v>
      </c>
      <c r="D21" s="2">
        <v>3792</v>
      </c>
      <c r="E21" s="2">
        <v>3728</v>
      </c>
      <c r="F21" s="2">
        <v>4561</v>
      </c>
    </row>
    <row r="22" ht="14.25" customHeight="1" spans="2:6">
      <c r="B22" s="1" t="s">
        <v>119</v>
      </c>
      <c r="C22" s="2">
        <v>19926</v>
      </c>
      <c r="D22" s="2">
        <v>23237</v>
      </c>
      <c r="E22" s="2">
        <v>24844</v>
      </c>
      <c r="F22" s="2">
        <v>29441</v>
      </c>
    </row>
    <row r="23" ht="14.25" customHeight="1" spans="2:6">
      <c r="B23" s="1" t="s">
        <v>120</v>
      </c>
      <c r="C23" s="2"/>
      <c r="D23" s="2"/>
      <c r="E23" s="2"/>
      <c r="F23" s="2"/>
    </row>
    <row r="24" ht="14.25" customHeight="1" spans="2:6">
      <c r="B24" s="1" t="s">
        <v>121</v>
      </c>
      <c r="C24" s="2">
        <v>6487</v>
      </c>
      <c r="D24" s="2">
        <v>5124</v>
      </c>
      <c r="E24" s="2">
        <v>7514</v>
      </c>
      <c r="F24" s="2">
        <v>6692</v>
      </c>
    </row>
    <row r="25" ht="14.25" customHeight="1" spans="2:6">
      <c r="B25" s="1" t="s">
        <v>122</v>
      </c>
      <c r="C25" s="2"/>
      <c r="D25" s="2">
        <v>0</v>
      </c>
      <c r="E25" s="2">
        <v>2558</v>
      </c>
      <c r="F25" s="2">
        <v>2642</v>
      </c>
    </row>
    <row r="26" ht="14.25" customHeight="1" spans="2:6">
      <c r="B26" s="1" t="s">
        <v>123</v>
      </c>
      <c r="C26" s="2">
        <v>1314</v>
      </c>
      <c r="D26" s="2">
        <v>1455</v>
      </c>
      <c r="E26" s="2">
        <v>1935</v>
      </c>
      <c r="F26" s="2">
        <v>2415</v>
      </c>
    </row>
    <row r="27" ht="14.25" customHeight="1" spans="2:6">
      <c r="B27" s="1" t="s">
        <v>124</v>
      </c>
      <c r="C27" s="2">
        <v>27727</v>
      </c>
      <c r="D27" s="2">
        <v>29816</v>
      </c>
      <c r="E27" s="2">
        <v>36851</v>
      </c>
      <c r="F27" s="2">
        <v>41190</v>
      </c>
    </row>
    <row r="28" ht="14.25" customHeight="1" spans="2:6">
      <c r="B28" s="1" t="s">
        <v>125</v>
      </c>
      <c r="C28" s="2"/>
      <c r="D28" s="2"/>
      <c r="E28" s="2"/>
      <c r="F28" s="2"/>
    </row>
    <row r="29" ht="14.25" customHeight="1" spans="2:6">
      <c r="B29" s="1" t="s">
        <v>126</v>
      </c>
      <c r="C29" s="2">
        <v>0</v>
      </c>
      <c r="D29" s="2">
        <v>0</v>
      </c>
      <c r="E29" s="2">
        <v>0</v>
      </c>
      <c r="F29" s="2">
        <v>0</v>
      </c>
    </row>
    <row r="30" ht="14.25" customHeight="1" spans="2:6">
      <c r="B30" s="1" t="s">
        <v>127</v>
      </c>
      <c r="C30" s="2">
        <v>4</v>
      </c>
      <c r="D30" s="2">
        <v>4</v>
      </c>
      <c r="E30" s="2">
        <v>4</v>
      </c>
      <c r="F30" s="2">
        <v>4</v>
      </c>
    </row>
    <row r="31" ht="14.25" customHeight="1" spans="2:6">
      <c r="B31" s="1" t="s">
        <v>128</v>
      </c>
      <c r="C31" s="2">
        <v>6107</v>
      </c>
      <c r="D31" s="2">
        <v>6417</v>
      </c>
      <c r="E31" s="2">
        <v>6698</v>
      </c>
      <c r="F31" s="2">
        <v>7031</v>
      </c>
    </row>
    <row r="32" ht="14.25" customHeight="1" spans="2:6">
      <c r="B32" s="1" t="s">
        <v>129</v>
      </c>
      <c r="C32" s="2">
        <v>-1199</v>
      </c>
      <c r="D32" s="2">
        <v>-1436</v>
      </c>
      <c r="E32" s="2">
        <v>-1297</v>
      </c>
      <c r="F32" s="2">
        <v>-1137</v>
      </c>
    </row>
    <row r="33" ht="14.25" customHeight="1" spans="2:6">
      <c r="B33" s="1" t="s">
        <v>130</v>
      </c>
      <c r="C33" s="2">
        <v>7887</v>
      </c>
      <c r="D33" s="2">
        <v>10258</v>
      </c>
      <c r="E33" s="2">
        <v>12879</v>
      </c>
      <c r="F33" s="2">
        <v>11666</v>
      </c>
    </row>
    <row r="34" ht="14.25" customHeight="1" spans="2:6">
      <c r="B34" s="1" t="s">
        <v>131</v>
      </c>
      <c r="C34" s="2">
        <v>12799</v>
      </c>
      <c r="D34" s="2">
        <v>15243</v>
      </c>
      <c r="E34" s="2">
        <v>18284</v>
      </c>
      <c r="F34" s="2">
        <v>17564</v>
      </c>
    </row>
    <row r="35" ht="14.25" customHeight="1" spans="2:6">
      <c r="B35" s="1" t="s">
        <v>132</v>
      </c>
      <c r="C35" s="2">
        <v>304</v>
      </c>
      <c r="D35" s="2">
        <v>341</v>
      </c>
      <c r="E35" s="2">
        <v>421</v>
      </c>
      <c r="F35" s="2">
        <v>514</v>
      </c>
    </row>
    <row r="36" ht="14.25" customHeight="1" spans="2:6">
      <c r="B36" s="1" t="s">
        <v>133</v>
      </c>
      <c r="C36" s="2">
        <v>13103</v>
      </c>
      <c r="D36" s="2">
        <v>15584</v>
      </c>
      <c r="E36" s="2">
        <v>18705</v>
      </c>
      <c r="F36" s="2">
        <v>18078</v>
      </c>
    </row>
    <row r="37" ht="14.25" customHeight="1" spans="2:6">
      <c r="B37" s="1" t="s">
        <v>134</v>
      </c>
      <c r="C37" s="2">
        <v>40830</v>
      </c>
      <c r="D37" s="2">
        <v>45400</v>
      </c>
      <c r="E37" s="2">
        <v>55556</v>
      </c>
      <c r="F37" s="2">
        <v>59268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00"/>
  <sheetViews>
    <sheetView zoomScale="93" zoomScaleNormal="93" topLeftCell="A8" workbookViewId="0">
      <selection activeCell="J17" sqref="J17"/>
    </sheetView>
  </sheetViews>
  <sheetFormatPr defaultColWidth="14.4259259259259" defaultRowHeight="15" customHeight="1" outlineLevelCol="4"/>
  <cols>
    <col min="1" max="1" width="8.86111111111111" customWidth="1"/>
    <col min="2" max="2" width="101.425925925926" customWidth="1"/>
    <col min="3" max="5" width="15.4259259259259" customWidth="1"/>
    <col min="6" max="26" width="8.86111111111111" customWidth="1"/>
  </cols>
  <sheetData>
    <row r="1" ht="14.25" customHeight="1"/>
    <row r="2" ht="14.25" customHeight="1" spans="2:2">
      <c r="B2" s="1" t="s">
        <v>135</v>
      </c>
    </row>
    <row r="3" ht="14.25" customHeight="1" spans="3:5">
      <c r="C3" s="1" t="s">
        <v>79</v>
      </c>
      <c r="D3" s="1" t="s">
        <v>80</v>
      </c>
      <c r="E3" s="1" t="s">
        <v>81</v>
      </c>
    </row>
    <row r="4" ht="14.25" customHeight="1" spans="2:2">
      <c r="B4" s="1" t="s">
        <v>136</v>
      </c>
    </row>
    <row r="5" ht="14.25" customHeight="1" spans="2:5">
      <c r="B5" s="1" t="s">
        <v>137</v>
      </c>
      <c r="C5" s="1">
        <v>3704</v>
      </c>
      <c r="D5" s="1">
        <v>4059</v>
      </c>
      <c r="E5" s="1">
        <v>5079</v>
      </c>
    </row>
    <row r="6" ht="14.25" customHeight="1" spans="2:2">
      <c r="B6" s="1" t="s">
        <v>138</v>
      </c>
    </row>
    <row r="7" ht="14.25" customHeight="1" spans="2:5">
      <c r="B7" s="1" t="s">
        <v>139</v>
      </c>
      <c r="C7" s="1">
        <v>1492</v>
      </c>
      <c r="D7" s="1">
        <v>1645</v>
      </c>
      <c r="E7" s="1">
        <v>1781</v>
      </c>
    </row>
    <row r="8" ht="14.25" customHeight="1" spans="2:5">
      <c r="B8" s="1" t="s">
        <v>140</v>
      </c>
      <c r="C8" s="1">
        <v>0</v>
      </c>
      <c r="D8" s="1">
        <v>194</v>
      </c>
      <c r="E8" s="1">
        <v>286</v>
      </c>
    </row>
    <row r="9" ht="14.25" customHeight="1" spans="2:5">
      <c r="B9" s="1" t="s">
        <v>141</v>
      </c>
      <c r="C9" s="1">
        <v>595</v>
      </c>
      <c r="D9" s="1">
        <v>619</v>
      </c>
      <c r="E9" s="1">
        <v>665</v>
      </c>
    </row>
    <row r="10" ht="14.25" customHeight="1" spans="2:5">
      <c r="B10" s="1" t="s">
        <v>142</v>
      </c>
      <c r="C10" s="1">
        <v>9</v>
      </c>
      <c r="D10" s="1">
        <v>42</v>
      </c>
      <c r="E10" s="1">
        <v>85</v>
      </c>
    </row>
    <row r="11" ht="14.25" customHeight="1" spans="2:5">
      <c r="B11" s="1" t="s">
        <v>143</v>
      </c>
      <c r="C11" s="1">
        <v>147</v>
      </c>
      <c r="D11" s="1">
        <v>104</v>
      </c>
      <c r="E11" s="1">
        <v>59</v>
      </c>
    </row>
    <row r="12" ht="14.25" customHeight="1" spans="2:2">
      <c r="B12" s="1" t="s">
        <v>144</v>
      </c>
    </row>
    <row r="13" ht="14.25" customHeight="1" spans="2:5">
      <c r="B13" s="1" t="s">
        <v>104</v>
      </c>
      <c r="C13" s="1">
        <v>-536</v>
      </c>
      <c r="D13" s="1">
        <v>-791</v>
      </c>
      <c r="E13" s="1">
        <v>-1892</v>
      </c>
    </row>
    <row r="14" ht="14.25" customHeight="1" spans="2:5">
      <c r="B14" s="1" t="s">
        <v>113</v>
      </c>
      <c r="C14" s="1">
        <v>322</v>
      </c>
      <c r="D14" s="1">
        <v>2261</v>
      </c>
      <c r="E14" s="1">
        <v>1838</v>
      </c>
    </row>
    <row r="15" ht="14.25" customHeight="1" spans="2:5">
      <c r="B15" s="1" t="s">
        <v>145</v>
      </c>
      <c r="C15" s="1">
        <v>623</v>
      </c>
      <c r="D15" s="1">
        <v>728</v>
      </c>
      <c r="E15" s="1">
        <v>1057</v>
      </c>
    </row>
    <row r="16" ht="14.25" customHeight="1" spans="2:5">
      <c r="B16" s="1" t="s">
        <v>146</v>
      </c>
      <c r="C16" s="1">
        <v>6356</v>
      </c>
      <c r="D16" s="1">
        <v>8861</v>
      </c>
      <c r="E16" s="1">
        <v>8958</v>
      </c>
    </row>
    <row r="17" ht="14.25" customHeight="1" spans="2:2">
      <c r="B17" s="1" t="s">
        <v>147</v>
      </c>
    </row>
    <row r="18" ht="14.25" customHeight="1" spans="2:5">
      <c r="B18" s="1" t="s">
        <v>148</v>
      </c>
      <c r="C18" s="1">
        <v>-1094</v>
      </c>
      <c r="D18" s="1">
        <v>-1626</v>
      </c>
      <c r="E18" s="1">
        <v>-1331</v>
      </c>
    </row>
    <row r="19" ht="14.25" customHeight="1" spans="2:5">
      <c r="B19" s="1" t="s">
        <v>149</v>
      </c>
      <c r="C19" s="1">
        <v>1231</v>
      </c>
      <c r="D19" s="1">
        <v>1678</v>
      </c>
      <c r="E19" s="1">
        <v>1446</v>
      </c>
    </row>
    <row r="20" ht="14.25" customHeight="1" spans="2:5">
      <c r="B20" s="1" t="s">
        <v>150</v>
      </c>
      <c r="C20" s="1">
        <v>-2998</v>
      </c>
      <c r="D20" s="1">
        <v>-2810</v>
      </c>
      <c r="E20" s="1">
        <v>-3588</v>
      </c>
    </row>
    <row r="21" ht="14.25" customHeight="1" spans="2:5">
      <c r="B21" s="1" t="s">
        <v>151</v>
      </c>
      <c r="C21" s="1">
        <v>0</v>
      </c>
      <c r="D21" s="1">
        <v>-1163</v>
      </c>
      <c r="E21" s="1">
        <v>0</v>
      </c>
    </row>
    <row r="22" ht="14.25" customHeight="1" spans="2:5">
      <c r="B22" s="1" t="s">
        <v>152</v>
      </c>
      <c r="C22" s="1">
        <v>-4</v>
      </c>
      <c r="D22" s="1">
        <v>30</v>
      </c>
      <c r="E22" s="1">
        <v>-62</v>
      </c>
    </row>
    <row r="23" ht="14.25" customHeight="1" spans="2:5">
      <c r="B23" s="1" t="s">
        <v>153</v>
      </c>
      <c r="C23" s="1">
        <v>-2865</v>
      </c>
      <c r="D23" s="1">
        <v>-3891</v>
      </c>
      <c r="E23" s="1">
        <v>-3535</v>
      </c>
    </row>
    <row r="24" ht="14.25" customHeight="1" spans="2:2">
      <c r="B24" s="1" t="s">
        <v>154</v>
      </c>
    </row>
    <row r="25" ht="14.25" customHeight="1" spans="2:5">
      <c r="B25" s="1" t="s">
        <v>155</v>
      </c>
      <c r="C25" s="1">
        <v>210</v>
      </c>
      <c r="D25" s="1">
        <v>137</v>
      </c>
      <c r="E25" s="1">
        <v>188</v>
      </c>
    </row>
    <row r="26" ht="14.25" customHeight="1" spans="2:5">
      <c r="B26" s="1" t="s">
        <v>156</v>
      </c>
      <c r="C26" s="1">
        <v>0</v>
      </c>
      <c r="D26" s="1">
        <v>0</v>
      </c>
      <c r="E26" s="1">
        <v>41</v>
      </c>
    </row>
    <row r="27" ht="14.25" customHeight="1" spans="2:5">
      <c r="B27" s="1" t="s">
        <v>157</v>
      </c>
      <c r="C27" s="1">
        <v>298</v>
      </c>
      <c r="D27" s="1">
        <v>3992</v>
      </c>
      <c r="E27" s="1">
        <v>0</v>
      </c>
    </row>
    <row r="28" ht="14.25" customHeight="1" spans="2:5">
      <c r="B28" s="1" t="s">
        <v>158</v>
      </c>
      <c r="C28" s="1">
        <v>-89</v>
      </c>
      <c r="D28" s="1">
        <v>-3200</v>
      </c>
      <c r="E28" s="1">
        <v>-94</v>
      </c>
    </row>
    <row r="29" ht="14.25" customHeight="1" spans="2:5">
      <c r="B29" s="1" t="s">
        <v>159</v>
      </c>
      <c r="C29" s="1">
        <v>-272</v>
      </c>
      <c r="D29" s="1">
        <v>-330</v>
      </c>
      <c r="E29" s="1">
        <v>-312</v>
      </c>
    </row>
    <row r="30" ht="14.25" customHeight="1" spans="2:5">
      <c r="B30" s="1" t="s">
        <v>160</v>
      </c>
      <c r="C30" s="1">
        <v>-247</v>
      </c>
      <c r="D30" s="1">
        <v>-196</v>
      </c>
      <c r="E30" s="1">
        <v>-496</v>
      </c>
    </row>
    <row r="31" ht="14.25" customHeight="1" spans="2:5">
      <c r="B31" s="1" t="s">
        <v>161</v>
      </c>
      <c r="C31" s="1">
        <v>-1038</v>
      </c>
      <c r="D31" s="1">
        <v>-1479</v>
      </c>
      <c r="E31" s="1">
        <v>-5748</v>
      </c>
    </row>
    <row r="32" ht="14.25" customHeight="1" spans="2:5">
      <c r="B32" s="1" t="s">
        <v>162</v>
      </c>
      <c r="C32" s="1">
        <v>-9</v>
      </c>
      <c r="D32" s="1">
        <v>-71</v>
      </c>
      <c r="E32" s="1">
        <v>-67</v>
      </c>
    </row>
    <row r="33" ht="14.25" customHeight="1" spans="2:5">
      <c r="B33" s="1" t="s">
        <v>163</v>
      </c>
      <c r="C33" s="1">
        <v>-1147</v>
      </c>
      <c r="D33" s="1">
        <v>-1147</v>
      </c>
      <c r="E33" s="1">
        <v>-6488</v>
      </c>
    </row>
    <row r="34" ht="14.25" customHeight="1" spans="2:5">
      <c r="B34" s="1" t="s">
        <v>164</v>
      </c>
      <c r="C34" s="1">
        <v>-15</v>
      </c>
      <c r="D34" s="1">
        <v>70</v>
      </c>
      <c r="E34" s="1">
        <v>46</v>
      </c>
    </row>
    <row r="35" ht="14.25" customHeight="1" spans="2:5">
      <c r="B35" s="1" t="s">
        <v>165</v>
      </c>
      <c r="C35" s="1">
        <v>2329</v>
      </c>
      <c r="D35" s="1">
        <v>3893</v>
      </c>
      <c r="E35" s="1">
        <v>-1019</v>
      </c>
    </row>
    <row r="36" ht="14.25" customHeight="1" spans="2:5">
      <c r="B36" s="1" t="s">
        <v>166</v>
      </c>
      <c r="C36" s="1">
        <v>6055</v>
      </c>
      <c r="D36" s="1">
        <v>8384</v>
      </c>
      <c r="E36" s="1">
        <v>12277</v>
      </c>
    </row>
    <row r="37" ht="14.25" customHeight="1" spans="2:5">
      <c r="B37" s="1" t="s">
        <v>167</v>
      </c>
      <c r="C37" s="1">
        <v>8384</v>
      </c>
      <c r="D37" s="1">
        <v>12277</v>
      </c>
      <c r="E37" s="1">
        <v>11258</v>
      </c>
    </row>
    <row r="38" ht="14.25" customHeight="1" spans="2:2">
      <c r="B38" s="1" t="s">
        <v>168</v>
      </c>
    </row>
    <row r="39" ht="14.25" customHeight="1" spans="2:5">
      <c r="B39" s="1" t="s">
        <v>169</v>
      </c>
      <c r="C39" s="1">
        <v>141</v>
      </c>
      <c r="D39" s="1">
        <v>124</v>
      </c>
      <c r="E39" s="1">
        <v>149</v>
      </c>
    </row>
    <row r="40" ht="14.25" customHeight="1" spans="2:5">
      <c r="B40" s="1" t="s">
        <v>170</v>
      </c>
      <c r="C40" s="1">
        <v>1187</v>
      </c>
      <c r="D40" s="1">
        <v>1052</v>
      </c>
      <c r="E40" s="1">
        <v>1527</v>
      </c>
    </row>
    <row r="41" ht="14.25" customHeight="1" spans="2:2">
      <c r="B41" s="1" t="s">
        <v>171</v>
      </c>
    </row>
    <row r="42" ht="14.25" customHeight="1" spans="2:5">
      <c r="B42" s="1" t="s">
        <v>172</v>
      </c>
      <c r="C42" s="1">
        <v>286</v>
      </c>
      <c r="D42" s="1">
        <v>0</v>
      </c>
      <c r="E42" s="1">
        <v>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Free Cash Flow</vt:lpstr>
      <vt:lpstr>Fixed Assets</vt:lpstr>
      <vt:lpstr>Net Working Capital</vt:lpstr>
      <vt:lpstr>DCF</vt:lpstr>
      <vt:lpstr>WACC</vt:lpstr>
      <vt:lpstr>Income Statement</vt:lpstr>
      <vt:lpstr>Balance Sheet</vt:lpstr>
      <vt:lpstr>Cash Flow Statement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</dc:creator>
  <cp:lastModifiedBy>lavan</cp:lastModifiedBy>
  <dcterms:created xsi:type="dcterms:W3CDTF">2022-06-25T16:24:00Z</dcterms:created>
  <dcterms:modified xsi:type="dcterms:W3CDTF">2025-08-27T14:29:35Z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B634A423EE164DE1B1F64CD447ACF4A8_12</vt:lpwstr>
  </property>
  <property fmtid="{D5CDD505-2E9C-101B-9397-08002B2CF9AE}" pid="3" name="KSOProductBuildVer">
    <vt:lpwstr>1033-12.2.0.21931</vt:lpwstr>
  </property>
</Properties>
</file>