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n\OneDrive\Documents\"/>
    </mc:Choice>
  </mc:AlternateContent>
  <xr:revisionPtr revIDLastSave="0" documentId="8_{3938B277-6903-4DF0-B44A-075A34A740EC}" xr6:coauthVersionLast="47" xr6:coauthVersionMax="47" xr10:uidLastSave="{00000000-0000-0000-0000-000000000000}"/>
  <bookViews>
    <workbookView xWindow="-108" yWindow="-108" windowWidth="23256" windowHeight="12456" xr2:uid="{1AD74E9D-EBB1-4D88-BDE0-13A19F92A189}"/>
  </bookViews>
  <sheets>
    <sheet name="Historical FS " sheetId="2" r:id="rId1"/>
    <sheet name="Data Sheet  " sheetId="1" r:id="rId2"/>
    <sheet name="Cash Flow Data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" i="2" l="1"/>
  <c r="F99" i="2"/>
  <c r="G99" i="2"/>
  <c r="H99" i="2"/>
  <c r="I99" i="2"/>
  <c r="J99" i="2"/>
  <c r="K99" i="2"/>
  <c r="L99" i="2"/>
  <c r="M99" i="2"/>
  <c r="E100" i="2"/>
  <c r="F100" i="2"/>
  <c r="G100" i="2"/>
  <c r="H100" i="2"/>
  <c r="I100" i="2"/>
  <c r="J100" i="2"/>
  <c r="K100" i="2"/>
  <c r="L100" i="2"/>
  <c r="M100" i="2"/>
  <c r="E101" i="2"/>
  <c r="F101" i="2"/>
  <c r="G101" i="2"/>
  <c r="H101" i="2"/>
  <c r="I101" i="2"/>
  <c r="J101" i="2"/>
  <c r="K101" i="2"/>
  <c r="L101" i="2"/>
  <c r="M101" i="2"/>
  <c r="E102" i="2"/>
  <c r="F102" i="2"/>
  <c r="G102" i="2"/>
  <c r="H102" i="2"/>
  <c r="I102" i="2"/>
  <c r="J102" i="2"/>
  <c r="K102" i="2"/>
  <c r="L102" i="2"/>
  <c r="M102" i="2"/>
  <c r="E103" i="2"/>
  <c r="F103" i="2"/>
  <c r="G103" i="2"/>
  <c r="H103" i="2"/>
  <c r="I103" i="2"/>
  <c r="J103" i="2"/>
  <c r="K103" i="2"/>
  <c r="L103" i="2"/>
  <c r="M103" i="2"/>
  <c r="E104" i="2"/>
  <c r="F104" i="2"/>
  <c r="G104" i="2"/>
  <c r="H104" i="2"/>
  <c r="I104" i="2"/>
  <c r="J104" i="2"/>
  <c r="K104" i="2"/>
  <c r="L104" i="2"/>
  <c r="M104" i="2"/>
  <c r="E105" i="2"/>
  <c r="F105" i="2"/>
  <c r="G105" i="2"/>
  <c r="H105" i="2"/>
  <c r="I105" i="2"/>
  <c r="J105" i="2"/>
  <c r="K105" i="2"/>
  <c r="L105" i="2"/>
  <c r="M105" i="2"/>
  <c r="E106" i="2"/>
  <c r="F106" i="2"/>
  <c r="G106" i="2"/>
  <c r="H106" i="2"/>
  <c r="I106" i="2"/>
  <c r="J106" i="2"/>
  <c r="K106" i="2"/>
  <c r="L106" i="2"/>
  <c r="M106" i="2"/>
  <c r="D100" i="2"/>
  <c r="D101" i="2"/>
  <c r="D102" i="2"/>
  <c r="D103" i="2"/>
  <c r="D104" i="2"/>
  <c r="D105" i="2"/>
  <c r="D106" i="2"/>
  <c r="D99" i="2"/>
  <c r="E84" i="2"/>
  <c r="F84" i="2"/>
  <c r="G84" i="2"/>
  <c r="H84" i="2"/>
  <c r="I84" i="2"/>
  <c r="J84" i="2"/>
  <c r="K84" i="2"/>
  <c r="L84" i="2"/>
  <c r="M84" i="2"/>
  <c r="E85" i="2"/>
  <c r="F85" i="2"/>
  <c r="G85" i="2"/>
  <c r="H85" i="2"/>
  <c r="I85" i="2"/>
  <c r="J85" i="2"/>
  <c r="K85" i="2"/>
  <c r="L85" i="2"/>
  <c r="M85" i="2"/>
  <c r="E86" i="2"/>
  <c r="F86" i="2"/>
  <c r="G86" i="2"/>
  <c r="H86" i="2"/>
  <c r="I86" i="2"/>
  <c r="J86" i="2"/>
  <c r="K86" i="2"/>
  <c r="L86" i="2"/>
  <c r="M86" i="2"/>
  <c r="E87" i="2"/>
  <c r="F87" i="2"/>
  <c r="G87" i="2"/>
  <c r="H87" i="2"/>
  <c r="I87" i="2"/>
  <c r="J87" i="2"/>
  <c r="K87" i="2"/>
  <c r="L87" i="2"/>
  <c r="M87" i="2"/>
  <c r="E88" i="2"/>
  <c r="F88" i="2"/>
  <c r="G88" i="2"/>
  <c r="H88" i="2"/>
  <c r="I88" i="2"/>
  <c r="J88" i="2"/>
  <c r="K88" i="2"/>
  <c r="L88" i="2"/>
  <c r="M88" i="2"/>
  <c r="E89" i="2"/>
  <c r="F89" i="2"/>
  <c r="G89" i="2"/>
  <c r="H89" i="2"/>
  <c r="I89" i="2"/>
  <c r="J89" i="2"/>
  <c r="K89" i="2"/>
  <c r="L89" i="2"/>
  <c r="M89" i="2"/>
  <c r="E90" i="2"/>
  <c r="F90" i="2"/>
  <c r="G90" i="2"/>
  <c r="H90" i="2"/>
  <c r="I90" i="2"/>
  <c r="J90" i="2"/>
  <c r="K90" i="2"/>
  <c r="L90" i="2"/>
  <c r="M90" i="2"/>
  <c r="E91" i="2"/>
  <c r="F91" i="2"/>
  <c r="G91" i="2"/>
  <c r="H91" i="2"/>
  <c r="I91" i="2"/>
  <c r="J91" i="2"/>
  <c r="K91" i="2"/>
  <c r="L91" i="2"/>
  <c r="M91" i="2"/>
  <c r="E92" i="2"/>
  <c r="F92" i="2"/>
  <c r="G92" i="2"/>
  <c r="H92" i="2"/>
  <c r="I92" i="2"/>
  <c r="J92" i="2"/>
  <c r="K92" i="2"/>
  <c r="L92" i="2"/>
  <c r="M92" i="2"/>
  <c r="E93" i="2"/>
  <c r="F93" i="2"/>
  <c r="G93" i="2"/>
  <c r="H93" i="2"/>
  <c r="I93" i="2"/>
  <c r="J93" i="2"/>
  <c r="K93" i="2"/>
  <c r="L93" i="2"/>
  <c r="M93" i="2"/>
  <c r="E94" i="2"/>
  <c r="F94" i="2"/>
  <c r="G94" i="2"/>
  <c r="H94" i="2"/>
  <c r="I94" i="2"/>
  <c r="J94" i="2"/>
  <c r="K94" i="2"/>
  <c r="L94" i="2"/>
  <c r="M94" i="2"/>
  <c r="D85" i="2"/>
  <c r="D86" i="2"/>
  <c r="D87" i="2"/>
  <c r="D88" i="2"/>
  <c r="D89" i="2"/>
  <c r="D90" i="2"/>
  <c r="D91" i="2"/>
  <c r="D92" i="2"/>
  <c r="D93" i="2"/>
  <c r="D94" i="2"/>
  <c r="D84" i="2"/>
  <c r="E72" i="2"/>
  <c r="F72" i="2"/>
  <c r="G72" i="2"/>
  <c r="H72" i="2"/>
  <c r="I72" i="2"/>
  <c r="J72" i="2"/>
  <c r="K72" i="2"/>
  <c r="L72" i="2"/>
  <c r="M72" i="2"/>
  <c r="E73" i="2"/>
  <c r="F73" i="2"/>
  <c r="G73" i="2"/>
  <c r="H73" i="2"/>
  <c r="I73" i="2"/>
  <c r="J73" i="2"/>
  <c r="K73" i="2"/>
  <c r="L73" i="2"/>
  <c r="M73" i="2"/>
  <c r="E74" i="2"/>
  <c r="F74" i="2"/>
  <c r="G74" i="2"/>
  <c r="H74" i="2"/>
  <c r="I74" i="2"/>
  <c r="J74" i="2"/>
  <c r="K74" i="2"/>
  <c r="L74" i="2"/>
  <c r="M74" i="2"/>
  <c r="E75" i="2"/>
  <c r="F75" i="2"/>
  <c r="G75" i="2"/>
  <c r="H75" i="2"/>
  <c r="I75" i="2"/>
  <c r="J75" i="2"/>
  <c r="K75" i="2"/>
  <c r="L75" i="2"/>
  <c r="M75" i="2"/>
  <c r="E76" i="2"/>
  <c r="F76" i="2"/>
  <c r="G76" i="2"/>
  <c r="H76" i="2"/>
  <c r="I76" i="2"/>
  <c r="J76" i="2"/>
  <c r="K76" i="2"/>
  <c r="L76" i="2"/>
  <c r="M76" i="2"/>
  <c r="E77" i="2"/>
  <c r="F77" i="2"/>
  <c r="G77" i="2"/>
  <c r="H77" i="2"/>
  <c r="I77" i="2"/>
  <c r="J77" i="2"/>
  <c r="K77" i="2"/>
  <c r="L77" i="2"/>
  <c r="M77" i="2"/>
  <c r="E78" i="2"/>
  <c r="F78" i="2"/>
  <c r="G78" i="2"/>
  <c r="H78" i="2"/>
  <c r="I78" i="2"/>
  <c r="J78" i="2"/>
  <c r="K78" i="2"/>
  <c r="L78" i="2"/>
  <c r="M78" i="2"/>
  <c r="E79" i="2"/>
  <c r="F79" i="2"/>
  <c r="G79" i="2"/>
  <c r="H79" i="2"/>
  <c r="I79" i="2"/>
  <c r="J79" i="2"/>
  <c r="K79" i="2"/>
  <c r="L79" i="2"/>
  <c r="M79" i="2"/>
  <c r="D73" i="2"/>
  <c r="D74" i="2"/>
  <c r="D75" i="2"/>
  <c r="D76" i="2"/>
  <c r="D77" i="2"/>
  <c r="D78" i="2"/>
  <c r="D79" i="2"/>
  <c r="D72" i="2"/>
  <c r="B1" i="2"/>
  <c r="D47" i="2"/>
  <c r="E56" i="2"/>
  <c r="F56" i="2"/>
  <c r="G56" i="2"/>
  <c r="H56" i="2"/>
  <c r="I56" i="2"/>
  <c r="J56" i="2"/>
  <c r="K56" i="2"/>
  <c r="L56" i="2"/>
  <c r="M56" i="2"/>
  <c r="D56" i="2"/>
  <c r="D60" i="2"/>
  <c r="E60" i="2"/>
  <c r="F60" i="2"/>
  <c r="G60" i="2"/>
  <c r="H60" i="2"/>
  <c r="I60" i="2"/>
  <c r="J60" i="2"/>
  <c r="K60" i="2"/>
  <c r="L60" i="2"/>
  <c r="M60" i="2"/>
  <c r="D61" i="2"/>
  <c r="E61" i="2"/>
  <c r="F61" i="2"/>
  <c r="G61" i="2"/>
  <c r="H61" i="2"/>
  <c r="I61" i="2"/>
  <c r="J61" i="2"/>
  <c r="K61" i="2"/>
  <c r="L61" i="2"/>
  <c r="M61" i="2"/>
  <c r="E59" i="2"/>
  <c r="F59" i="2"/>
  <c r="G59" i="2"/>
  <c r="H59" i="2"/>
  <c r="I59" i="2"/>
  <c r="J59" i="2"/>
  <c r="K59" i="2"/>
  <c r="L59" i="2"/>
  <c r="M59" i="2"/>
  <c r="D59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D54" i="2"/>
  <c r="D55" i="2"/>
  <c r="D53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D48" i="2"/>
  <c r="D49" i="2"/>
  <c r="D50" i="2"/>
  <c r="D51" i="2"/>
  <c r="G6" i="2"/>
  <c r="E36" i="2"/>
  <c r="E41" i="2" s="1"/>
  <c r="F36" i="2"/>
  <c r="F41" i="2" s="1"/>
  <c r="G36" i="2"/>
  <c r="G41" i="2" s="1"/>
  <c r="H36" i="2"/>
  <c r="H41" i="2" s="1"/>
  <c r="I36" i="2"/>
  <c r="I41" i="2" s="1"/>
  <c r="J36" i="2"/>
  <c r="J41" i="2" s="1"/>
  <c r="K36" i="2"/>
  <c r="K41" i="2" s="1"/>
  <c r="L36" i="2"/>
  <c r="L41" i="2" s="1"/>
  <c r="M36" i="2"/>
  <c r="M41" i="2" s="1"/>
  <c r="N36" i="2"/>
  <c r="N41" i="2" s="1"/>
  <c r="D36" i="2"/>
  <c r="D41" i="2" s="1"/>
  <c r="N30" i="2"/>
  <c r="E30" i="2"/>
  <c r="F30" i="2"/>
  <c r="G30" i="2"/>
  <c r="H30" i="2"/>
  <c r="I30" i="2"/>
  <c r="J30" i="2"/>
  <c r="K30" i="2"/>
  <c r="L30" i="2"/>
  <c r="M30" i="2"/>
  <c r="D30" i="2"/>
  <c r="E24" i="2"/>
  <c r="F24" i="2"/>
  <c r="G24" i="2"/>
  <c r="H24" i="2"/>
  <c r="I24" i="2"/>
  <c r="J24" i="2"/>
  <c r="K24" i="2"/>
  <c r="L24" i="2"/>
  <c r="M24" i="2"/>
  <c r="D24" i="2"/>
  <c r="N24" i="2"/>
  <c r="N21" i="2"/>
  <c r="E21" i="2"/>
  <c r="F21" i="2"/>
  <c r="G21" i="2"/>
  <c r="H21" i="2"/>
  <c r="I21" i="2"/>
  <c r="J21" i="2"/>
  <c r="K21" i="2"/>
  <c r="L21" i="2"/>
  <c r="M21" i="2"/>
  <c r="D21" i="2"/>
  <c r="N18" i="2"/>
  <c r="F15" i="2"/>
  <c r="G15" i="2"/>
  <c r="H15" i="2"/>
  <c r="I15" i="2"/>
  <c r="J15" i="2"/>
  <c r="K15" i="2"/>
  <c r="L15" i="2"/>
  <c r="M15" i="2"/>
  <c r="N15" i="2"/>
  <c r="E15" i="2"/>
  <c r="D15" i="2"/>
  <c r="N9" i="2"/>
  <c r="E9" i="2"/>
  <c r="F9" i="2"/>
  <c r="G9" i="2"/>
  <c r="H9" i="2"/>
  <c r="I9" i="2"/>
  <c r="J9" i="2"/>
  <c r="K9" i="2"/>
  <c r="L9" i="2"/>
  <c r="M9" i="2"/>
  <c r="D9" i="2"/>
  <c r="N6" i="2"/>
  <c r="E6" i="2"/>
  <c r="F6" i="2"/>
  <c r="H6" i="2"/>
  <c r="I6" i="2"/>
  <c r="J6" i="2"/>
  <c r="K6" i="2"/>
  <c r="L6" i="2"/>
  <c r="M6" i="2"/>
  <c r="D6" i="2"/>
  <c r="E3" i="2"/>
  <c r="F3" i="2"/>
  <c r="G3" i="2"/>
  <c r="H3" i="2"/>
  <c r="I3" i="2"/>
  <c r="J3" i="2"/>
  <c r="K3" i="2"/>
  <c r="L3" i="2"/>
  <c r="M3" i="2"/>
  <c r="D3" i="2"/>
  <c r="I107" i="2" l="1"/>
  <c r="D80" i="2"/>
  <c r="K80" i="2"/>
  <c r="E80" i="2"/>
  <c r="M80" i="2"/>
  <c r="F80" i="2"/>
  <c r="E95" i="2"/>
  <c r="J95" i="2"/>
  <c r="I95" i="2"/>
  <c r="F95" i="2"/>
  <c r="K107" i="2"/>
  <c r="J107" i="2"/>
  <c r="J80" i="2"/>
  <c r="I80" i="2"/>
  <c r="H95" i="2"/>
  <c r="D95" i="2"/>
  <c r="M95" i="2"/>
  <c r="L95" i="2"/>
  <c r="E107" i="2"/>
  <c r="G107" i="2"/>
  <c r="F107" i="2"/>
  <c r="D107" i="2"/>
  <c r="H80" i="2"/>
  <c r="G80" i="2"/>
  <c r="G109" i="2" s="1" a="1"/>
  <c r="G109" i="2" s="1"/>
  <c r="L80" i="2"/>
  <c r="K95" i="2"/>
  <c r="G95" i="2"/>
  <c r="H107" i="2"/>
  <c r="M107" i="2"/>
  <c r="L107" i="2"/>
  <c r="F57" i="2"/>
  <c r="H62" i="2"/>
  <c r="G62" i="2"/>
  <c r="I62" i="2"/>
  <c r="I57" i="2"/>
  <c r="E57" i="2"/>
  <c r="D62" i="2"/>
  <c r="L62" i="2"/>
  <c r="K62" i="2"/>
  <c r="J62" i="2"/>
  <c r="M57" i="2"/>
  <c r="M62" i="2"/>
  <c r="L57" i="2"/>
  <c r="D57" i="2"/>
  <c r="K57" i="2"/>
  <c r="H57" i="2"/>
  <c r="F62" i="2"/>
  <c r="J57" i="2"/>
  <c r="G57" i="2"/>
  <c r="E62" i="2"/>
  <c r="I7" i="2"/>
  <c r="L7" i="2"/>
  <c r="H7" i="2"/>
  <c r="K7" i="2"/>
  <c r="G10" i="2"/>
  <c r="F10" i="2"/>
  <c r="M7" i="2"/>
  <c r="N27" i="2"/>
  <c r="N28" i="2" s="1"/>
  <c r="E16" i="2"/>
  <c r="D10" i="2"/>
  <c r="M10" i="2"/>
  <c r="L22" i="2"/>
  <c r="K22" i="2"/>
  <c r="K10" i="2"/>
  <c r="J16" i="2"/>
  <c r="J22" i="2"/>
  <c r="J10" i="2"/>
  <c r="E12" i="2"/>
  <c r="D25" i="2"/>
  <c r="M22" i="2"/>
  <c r="L10" i="2"/>
  <c r="N7" i="2"/>
  <c r="I10" i="2"/>
  <c r="D16" i="2"/>
  <c r="I22" i="2"/>
  <c r="J7" i="2"/>
  <c r="E10" i="2"/>
  <c r="I16" i="2"/>
  <c r="G7" i="2"/>
  <c r="F7" i="2"/>
  <c r="H22" i="2"/>
  <c r="G22" i="2"/>
  <c r="D12" i="2"/>
  <c r="F12" i="2"/>
  <c r="F16" i="2"/>
  <c r="F22" i="2"/>
  <c r="H16" i="2"/>
  <c r="H10" i="2"/>
  <c r="E7" i="2"/>
  <c r="G16" i="2"/>
  <c r="I12" i="2"/>
  <c r="E22" i="2"/>
  <c r="N25" i="2"/>
  <c r="N10" i="2"/>
  <c r="M12" i="2"/>
  <c r="K25" i="2"/>
  <c r="J25" i="2"/>
  <c r="K12" i="2"/>
  <c r="F25" i="2"/>
  <c r="E25" i="2"/>
  <c r="N19" i="2"/>
  <c r="L12" i="2"/>
  <c r="I25" i="2"/>
  <c r="L16" i="2"/>
  <c r="H25" i="2"/>
  <c r="J12" i="2"/>
  <c r="K16" i="2"/>
  <c r="G25" i="2"/>
  <c r="H12" i="2"/>
  <c r="G12" i="2"/>
  <c r="N22" i="2"/>
  <c r="D22" i="2"/>
  <c r="M25" i="2"/>
  <c r="L25" i="2"/>
  <c r="N16" i="2"/>
  <c r="N12" i="2"/>
  <c r="N13" i="2" s="1"/>
  <c r="M16" i="2"/>
  <c r="F109" i="2" l="1" a="1"/>
  <c r="F109" i="2" s="1"/>
  <c r="E109" i="2" a="1"/>
  <c r="E109" i="2" s="1"/>
  <c r="I109" i="2" a="1"/>
  <c r="I109" i="2" s="1"/>
  <c r="D109" i="2" a="1"/>
  <c r="D109" i="2" s="1"/>
  <c r="J109" i="2" a="1"/>
  <c r="J109" i="2" s="1"/>
  <c r="L109" i="2" a="1"/>
  <c r="L109" i="2" s="1"/>
  <c r="H109" i="2" a="1"/>
  <c r="H109" i="2" s="1"/>
  <c r="M109" i="2" a="1"/>
  <c r="M109" i="2" s="1"/>
  <c r="K109" i="2" a="1"/>
  <c r="K109" i="2" s="1"/>
  <c r="F64" i="2"/>
  <c r="F66" i="2" s="1"/>
  <c r="G64" i="2"/>
  <c r="G66" i="2" s="1"/>
  <c r="D64" i="2"/>
  <c r="D66" i="2" s="1"/>
  <c r="H64" i="2"/>
  <c r="H66" i="2" s="1"/>
  <c r="E64" i="2"/>
  <c r="E66" i="2" s="1"/>
  <c r="M64" i="2"/>
  <c r="M66" i="2" s="1"/>
  <c r="J64" i="2"/>
  <c r="J66" i="2" s="1"/>
  <c r="I64" i="2"/>
  <c r="I66" i="2" s="1"/>
  <c r="K64" i="2"/>
  <c r="K66" i="2" s="1"/>
  <c r="L64" i="2"/>
  <c r="L66" i="2" s="1"/>
  <c r="N33" i="2"/>
  <c r="N34" i="2" s="1"/>
  <c r="N31" i="2"/>
  <c r="M18" i="2"/>
  <c r="M13" i="2"/>
  <c r="D18" i="2"/>
  <c r="D13" i="2"/>
  <c r="J18" i="2"/>
  <c r="J13" i="2"/>
  <c r="E18" i="2"/>
  <c r="E13" i="2"/>
  <c r="I18" i="2"/>
  <c r="I13" i="2"/>
  <c r="L18" i="2"/>
  <c r="L13" i="2"/>
  <c r="G18" i="2"/>
  <c r="G13" i="2"/>
  <c r="K18" i="2"/>
  <c r="K13" i="2"/>
  <c r="H18" i="2"/>
  <c r="H13" i="2"/>
  <c r="F18" i="2"/>
  <c r="F13" i="2"/>
  <c r="N38" i="2" l="1"/>
  <c r="N44" i="2" s="1"/>
  <c r="L19" i="2"/>
  <c r="L27" i="2"/>
  <c r="F19" i="2"/>
  <c r="F27" i="2"/>
  <c r="I19" i="2"/>
  <c r="I27" i="2"/>
  <c r="H19" i="2"/>
  <c r="H27" i="2"/>
  <c r="E19" i="2"/>
  <c r="E27" i="2"/>
  <c r="K19" i="2"/>
  <c r="K27" i="2"/>
  <c r="J19" i="2"/>
  <c r="J27" i="2"/>
  <c r="G19" i="2"/>
  <c r="G27" i="2"/>
  <c r="D19" i="2"/>
  <c r="D27" i="2"/>
  <c r="M19" i="2"/>
  <c r="M27" i="2"/>
  <c r="K33" i="2" l="1"/>
  <c r="K28" i="2"/>
  <c r="K31" i="2"/>
  <c r="E28" i="2"/>
  <c r="E33" i="2"/>
  <c r="E31" i="2"/>
  <c r="M33" i="2"/>
  <c r="M28" i="2"/>
  <c r="M31" i="2"/>
  <c r="H28" i="2"/>
  <c r="H33" i="2"/>
  <c r="H31" i="2"/>
  <c r="D33" i="2"/>
  <c r="D28" i="2"/>
  <c r="D31" i="2"/>
  <c r="I33" i="2"/>
  <c r="I28" i="2"/>
  <c r="I31" i="2"/>
  <c r="G28" i="2"/>
  <c r="G33" i="2"/>
  <c r="G31" i="2"/>
  <c r="F28" i="2"/>
  <c r="F33" i="2"/>
  <c r="F31" i="2"/>
  <c r="J28" i="2"/>
  <c r="J33" i="2"/>
  <c r="J31" i="2"/>
  <c r="L28" i="2"/>
  <c r="L33" i="2"/>
  <c r="L31" i="2"/>
  <c r="F38" i="2" l="1"/>
  <c r="F34" i="2"/>
  <c r="H34" i="2"/>
  <c r="H38" i="2"/>
  <c r="G34" i="2"/>
  <c r="G38" i="2"/>
  <c r="M38" i="2"/>
  <c r="M34" i="2"/>
  <c r="L34" i="2"/>
  <c r="L38" i="2"/>
  <c r="E34" i="2"/>
  <c r="E38" i="2"/>
  <c r="I38" i="2"/>
  <c r="I34" i="2"/>
  <c r="J34" i="2"/>
  <c r="J38" i="2"/>
  <c r="D38" i="2"/>
  <c r="D34" i="2"/>
  <c r="K34" i="2"/>
  <c r="K38" i="2"/>
  <c r="E39" i="2" l="1"/>
  <c r="E42" i="2"/>
  <c r="E44" i="2" s="1"/>
  <c r="L39" i="2"/>
  <c r="L44" i="2"/>
  <c r="L42" i="2"/>
  <c r="K39" i="2"/>
  <c r="K44" i="2"/>
  <c r="K42" i="2"/>
  <c r="M39" i="2"/>
  <c r="M44" i="2"/>
  <c r="M42" i="2"/>
  <c r="N39" i="2"/>
  <c r="D42" i="2"/>
  <c r="D44" i="2" s="1"/>
  <c r="J42" i="2"/>
  <c r="J44" i="2"/>
  <c r="J39" i="2"/>
  <c r="H42" i="2"/>
  <c r="H44" i="2"/>
  <c r="I42" i="2"/>
  <c r="I44" i="2" s="1"/>
  <c r="I39" i="2"/>
  <c r="F39" i="2"/>
  <c r="F42" i="2"/>
  <c r="F44" i="2" s="1"/>
  <c r="G42" i="2"/>
  <c r="G44" i="2" s="1"/>
  <c r="H39" i="2"/>
  <c r="G39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<sst xmlns="http://schemas.openxmlformats.org/spreadsheetml/2006/main" count="183" uniqueCount="159">
  <si>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</si>
  <si>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</si>
  <si>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</si>
  <si>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</si>
  <si>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</si>
  <si>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</si>
  <si>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</si>
  <si>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</si>
  <si>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</si>
  <si>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</si>
  <si>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</si>
  <si>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</si>
  <si>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</si>
  <si>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</si>
  <si>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</si>
  <si>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</si>
  <si>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</si>
  <si>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</si>
  <si>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</si>
  <si>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</si>
  <si>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</si>
  <si>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</si>
  <si>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</si>
  <si>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</si>
  <si>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</si>
  <si>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</si>
  <si>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</si>
  <si>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</si>
  <si>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</si>
  <si>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</si>
  <si>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</si>
  <si>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</si>
  <si>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</si>
  <si>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</si>
  <si>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</si>
  <si>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</si>
  <si>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</si>
  <si>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</si>
  <si>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</si>
  <si>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</si>
  <si>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</si>
  <si>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</si>
  <si>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</si>
  <si>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</si>
  <si>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</si>
  <si>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</si>
  <si>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</si>
  <si>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</si>
  <si>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</si>
  <si>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</si>
  <si>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</si>
  <si>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</si>
  <si>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</si>
  <si>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</si>
  <si>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</si>
  <si>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</si>
  <si>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 xml:space="preserve">Years </t>
  </si>
  <si>
    <t xml:space="preserve">            LTM</t>
  </si>
  <si>
    <t xml:space="preserve"># Income Statement </t>
  </si>
  <si>
    <t xml:space="preserve">Sales </t>
  </si>
  <si>
    <t xml:space="preserve">Sales Growth </t>
  </si>
  <si>
    <t xml:space="preserve">                  -</t>
  </si>
  <si>
    <t xml:space="preserve">COGS </t>
  </si>
  <si>
    <t xml:space="preserve">COGS %Sales </t>
  </si>
  <si>
    <t xml:space="preserve">Gross Profit </t>
  </si>
  <si>
    <t>Selling And General Expenses</t>
  </si>
  <si>
    <t xml:space="preserve">S&amp;G Exp %Sales </t>
  </si>
  <si>
    <t xml:space="preserve">EBITDA %Sales </t>
  </si>
  <si>
    <t xml:space="preserve">Interest </t>
  </si>
  <si>
    <t xml:space="preserve">Interest %Sales </t>
  </si>
  <si>
    <t xml:space="preserve">Depreciation </t>
  </si>
  <si>
    <t xml:space="preserve">Depreciation %Sales </t>
  </si>
  <si>
    <t xml:space="preserve">Gross Margin </t>
  </si>
  <si>
    <t xml:space="preserve">Earning Befor Tax </t>
  </si>
  <si>
    <t xml:space="preserve">EBT% Sales </t>
  </si>
  <si>
    <t xml:space="preserve">Effective tax rate </t>
  </si>
  <si>
    <t xml:space="preserve">Net Profit </t>
  </si>
  <si>
    <t>Net Margins</t>
  </si>
  <si>
    <t xml:space="preserve">No of Equity Shares </t>
  </si>
  <si>
    <t>EPS</t>
  </si>
  <si>
    <t xml:space="preserve">Dividend Per share </t>
  </si>
  <si>
    <t>EPS Growth %</t>
  </si>
  <si>
    <t xml:space="preserve">Dividend Pay Out Ratio </t>
  </si>
  <si>
    <t xml:space="preserve">Retained Earnings </t>
  </si>
  <si>
    <t xml:space="preserve"># Balance Sheet </t>
  </si>
  <si>
    <t xml:space="preserve">Other Liabilities </t>
  </si>
  <si>
    <t xml:space="preserve">Capital Work in Progress </t>
  </si>
  <si>
    <t xml:space="preserve">Total Liabilites </t>
  </si>
  <si>
    <t xml:space="preserve"> Fixed Assets Net Block </t>
  </si>
  <si>
    <t xml:space="preserve">Total Non Current Assets </t>
  </si>
  <si>
    <t xml:space="preserve">Inventory </t>
  </si>
  <si>
    <t xml:space="preserve">Equity Share Capital </t>
  </si>
  <si>
    <t xml:space="preserve">Cash &amp; Bank </t>
  </si>
  <si>
    <t xml:space="preserve">Total Current Assets </t>
  </si>
  <si>
    <t>Total Assets</t>
  </si>
  <si>
    <t>Check</t>
  </si>
  <si>
    <t># Cash Flow Statements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</si>
  <si>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</si>
  <si>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</si>
  <si>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</si>
  <si>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</si>
  <si>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</si>
  <si>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</si>
  <si>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</si>
  <si>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</si>
  <si>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</si>
  <si>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</si>
  <si>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</si>
  <si>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</si>
  <si>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</si>
  <si>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</si>
  <si>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</si>
  <si>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</si>
  <si>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</si>
  <si>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</si>
  <si>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</si>
  <si>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</si>
  <si>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</si>
  <si>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</si>
  <si>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</si>
  <si>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</si>
  <si>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</si>
  <si>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</si>
  <si>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</si>
  <si>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</si>
  <si>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</si>
  <si>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</si>
  <si>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Operating Activities</t>
  </si>
  <si>
    <t xml:space="preserve">Investing Activities </t>
  </si>
  <si>
    <t xml:space="preserve">Net Cash Flow </t>
  </si>
  <si>
    <t xml:space="preserve">Profit From Operations </t>
  </si>
  <si>
    <t xml:space="preserve">Receviables </t>
  </si>
  <si>
    <t xml:space="preserve">Payables </t>
  </si>
  <si>
    <t xml:space="preserve">Loans Advances </t>
  </si>
  <si>
    <t xml:space="preserve">Other WC items </t>
  </si>
  <si>
    <t xml:space="preserve">Working Capital changes </t>
  </si>
  <si>
    <t xml:space="preserve">Direct taxes </t>
  </si>
  <si>
    <t xml:space="preserve">Cash From Operating activities </t>
  </si>
  <si>
    <t xml:space="preserve">Fixed Assets Purchased </t>
  </si>
  <si>
    <t xml:space="preserve">Fixed Assets sold </t>
  </si>
  <si>
    <t xml:space="preserve">Investments Purchased </t>
  </si>
  <si>
    <t xml:space="preserve">Investments Sold </t>
  </si>
  <si>
    <t xml:space="preserve">Interest Received </t>
  </si>
  <si>
    <t xml:space="preserve">Dividends Received </t>
  </si>
  <si>
    <t xml:space="preserve">Invest in Group cos </t>
  </si>
  <si>
    <t xml:space="preserve">Redeemp of Shares </t>
  </si>
  <si>
    <t xml:space="preserve">Acquisition of companies </t>
  </si>
  <si>
    <t xml:space="preserve">Other investing items </t>
  </si>
  <si>
    <t xml:space="preserve">Cash from Investing Activities </t>
  </si>
  <si>
    <t xml:space="preserve">Finance Activities </t>
  </si>
  <si>
    <t xml:space="preserve">Proceeds From Shares </t>
  </si>
  <si>
    <t xml:space="preserve">Redemption of debentures </t>
  </si>
  <si>
    <t xml:space="preserve">Proceeds from borrowing </t>
  </si>
  <si>
    <t xml:space="preserve">Repayment of borrowings </t>
  </si>
  <si>
    <t xml:space="preserve">Interest paid </t>
  </si>
  <si>
    <t xml:space="preserve">Dividends paid </t>
  </si>
  <si>
    <t xml:space="preserve">financial liabilities </t>
  </si>
  <si>
    <t xml:space="preserve">Other financing activities </t>
  </si>
  <si>
    <t xml:space="preserve">Cash From Finance Activities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</si>
</sst>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&quot;₹&quot;\ #,##0.00"/>
    <numFmt numFmtId="170" formatCode="&quot;₹&quot;\ #,##0.00;\(&quot;₹&quot;\ #,##0.00\);\-"/>
    <numFmt numFmtId="171" formatCode="&quot;₹&quot;\ #,##0.00;\(&quot;₹&quot;\ #,##0.00\);\,0"/>
    <numFmt numFmtId="172" formatCode="0.0%"/>
    <numFmt numFmtId="179" formatCode="0.000000%"/>
    <numFmt numFmtId="196" formatCode="&quot;₹&quot;\ #,##0.00;\(&quot;₹&quot;\ #,##0.00\)"/>
  </numFmts>
  <fonts count="13" x14ac:knownFonts="1">
    <font>
      <sz val="11"/>
      <color theme="1"/>
      <name val="Berlin Sans FB"/>
      <family val="2"/>
    </font>
    <font>
      <sz val="11"/>
      <color theme="1"/>
      <name val="Berlin Sans FB"/>
      <family val="2"/>
    </font>
    <font>
      <sz val="11"/>
      <color theme="0"/>
      <name val="Berlin Sans FB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rgb="FF0563C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1"/>
      <color rgb="FF002060"/>
      <name val="Berlin Sans FB"/>
      <family val="2"/>
    </font>
    <font>
      <sz val="11"/>
      <color theme="4" tint="0.39997558519241921"/>
      <name val="Berlin Sans FB"/>
      <family val="2"/>
    </font>
    <font>
      <sz val="12"/>
      <color theme="0"/>
      <name val="Berlin Sans FB"/>
      <family val="2"/>
    </font>
    <font>
      <sz val="11"/>
      <color rgb="FF333333"/>
      <name val="Berlin Sans FB"/>
      <family val="2"/>
    </font>
    <font>
      <sz val="11"/>
      <color theme="4"/>
      <name val="Berlin Sans FB"/>
      <family val="2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4" fontId="6" fillId="0" borderId="1" xfId="0" applyNumberFormat="1" applyFont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17" fontId="0" fillId="0" borderId="0" xfId="0" applyNumberFormat="1"/>
    <xf numFmtId="17" fontId="7" fillId="3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9" fontId="6" fillId="0" borderId="1" xfId="0" applyNumberFormat="1" applyFont="1" applyBorder="1" applyAlignment="1">
      <alignment horizontal="right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0" xfId="0" applyFont="1"/>
    <xf numFmtId="17" fontId="2" fillId="0" borderId="0" xfId="0" applyNumberFormat="1" applyFont="1"/>
    <xf numFmtId="0" fontId="8" fillId="4" borderId="0" xfId="0" applyFont="1" applyFill="1" applyAlignment="1">
      <alignment vertical="center"/>
    </xf>
    <xf numFmtId="0" fontId="8" fillId="4" borderId="0" xfId="0" applyFont="1" applyFill="1"/>
    <xf numFmtId="17" fontId="8" fillId="4" borderId="0" xfId="0" applyNumberFormat="1" applyFont="1" applyFill="1"/>
    <xf numFmtId="0" fontId="8" fillId="4" borderId="0" xfId="0" applyFont="1" applyFill="1" applyAlignment="1">
      <alignment horizontal="center" vertical="center"/>
    </xf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1" applyNumberFormat="1" applyFont="1"/>
    <xf numFmtId="0" fontId="9" fillId="0" borderId="0" xfId="0" applyFont="1"/>
    <xf numFmtId="172" fontId="9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wrapText="1"/>
    </xf>
    <xf numFmtId="17" fontId="4" fillId="0" borderId="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10" fontId="9" fillId="0" borderId="0" xfId="1" applyNumberFormat="1" applyFont="1"/>
    <xf numFmtId="179" fontId="9" fillId="0" borderId="0" xfId="0" applyNumberFormat="1" applyFont="1"/>
    <xf numFmtId="10" fontId="9" fillId="0" borderId="0" xfId="0" applyNumberFormat="1" applyFont="1"/>
    <xf numFmtId="0" fontId="0" fillId="5" borderId="0" xfId="0" applyFill="1"/>
    <xf numFmtId="0" fontId="10" fillId="5" borderId="0" xfId="0" applyFont="1" applyFill="1"/>
    <xf numFmtId="0" fontId="2" fillId="5" borderId="0" xfId="0" applyFont="1" applyFill="1"/>
    <xf numFmtId="0" fontId="11" fillId="0" borderId="0" xfId="0" applyFont="1"/>
    <xf numFmtId="0" fontId="12" fillId="0" borderId="0" xfId="0" applyFont="1"/>
    <xf numFmtId="19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43434"/>
      <color rgb="FF494949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E2F2-0DD5-43A9-A459-7B42B206A8D1}">
  <dimension ref="B1:V110"/>
  <sheetViews>
    <sheetView showGridLines="0" tabSelected="1" zoomScale="92" zoomScaleNormal="85" workbookViewId="0">
      <selection activeCell="O55" sqref="O55"/>
    </sheetView>
  </sheetViews>
  <sheetFormatPr defaultRowHeight="13.8" x14ac:dyDescent="0.25"/>
  <cols>
    <col min="1" max="1" width="8.453125" customWidth="1"/>
    <col min="2" max="2" width="4.1796875" hidden="1" customWidth="1"/>
    <col min="3" max="3" width="23" customWidth="1"/>
    <col min="4" max="4" width="13.1796875" customWidth="1"/>
    <col min="5" max="5" width="11.54296875" customWidth="1"/>
    <col min="6" max="6" width="12.36328125" customWidth="1"/>
    <col min="7" max="7" width="13.08984375" customWidth="1"/>
    <col min="8" max="8" width="13.26953125" customWidth="1"/>
    <col min="9" max="9" width="11.6328125" customWidth="1"/>
    <col min="10" max="10" width="12.81640625" customWidth="1"/>
    <col min="11" max="11" width="12.1796875" customWidth="1"/>
    <col min="12" max="12" width="12.81640625" customWidth="1"/>
    <col min="13" max="13" width="15.453125" customWidth="1"/>
    <col min="14" max="14" width="13.453125" customWidth="1"/>
    <col min="17" max="17" width="13.90625" customWidth="1"/>
  </cols>
  <sheetData>
    <row r="1" spans="2:22" x14ac:dyDescent="0.25">
      <c r="B1" s="24" t="str">
        <f>"Histroical Financial Statement - "&amp;'Data Sheet  '!D4</f>
        <v>Histroical Financial Statement - TATA MOTORS LTD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19"/>
    </row>
    <row r="2" spans="2:22" x14ac:dyDescent="0.25">
      <c r="B2" s="21"/>
      <c r="C2" s="21"/>
      <c r="D2" s="21"/>
      <c r="E2" s="21"/>
      <c r="F2" s="21"/>
      <c r="G2" s="21"/>
      <c r="H2" s="22"/>
      <c r="I2" s="22"/>
      <c r="J2" s="22"/>
      <c r="K2" s="22"/>
      <c r="L2" s="22"/>
      <c r="M2" s="22"/>
      <c r="N2" s="22"/>
      <c r="O2" s="19"/>
    </row>
    <row r="3" spans="2:22" x14ac:dyDescent="0.25">
      <c r="B3" s="22"/>
      <c r="C3" s="22" t="s">
        <v>56</v>
      </c>
      <c r="D3" s="23">
        <f>'Data Sheet  '!D19</f>
        <v>41334</v>
      </c>
      <c r="E3" s="23">
        <f>'Data Sheet  '!E19</f>
        <v>41699</v>
      </c>
      <c r="F3" s="23">
        <f>'Data Sheet  '!F19</f>
        <v>42064</v>
      </c>
      <c r="G3" s="23">
        <f>'Data Sheet  '!G19</f>
        <v>42430</v>
      </c>
      <c r="H3" s="23">
        <f>'Data Sheet  '!H19</f>
        <v>42795</v>
      </c>
      <c r="I3" s="23">
        <f>'Data Sheet  '!I19</f>
        <v>43160</v>
      </c>
      <c r="J3" s="23">
        <f>'Data Sheet  '!J19</f>
        <v>43525</v>
      </c>
      <c r="K3" s="23">
        <f>'Data Sheet  '!K19</f>
        <v>43891</v>
      </c>
      <c r="L3" s="23">
        <f>'Data Sheet  '!L19</f>
        <v>44256</v>
      </c>
      <c r="M3" s="23">
        <f>'Data Sheet  '!M19</f>
        <v>44621</v>
      </c>
      <c r="N3" s="23" t="s">
        <v>57</v>
      </c>
      <c r="O3" s="20"/>
      <c r="P3" s="8"/>
      <c r="Q3" s="8"/>
      <c r="R3" s="8"/>
      <c r="S3" s="8"/>
      <c r="T3" s="8"/>
      <c r="U3" s="8"/>
      <c r="V3" s="8"/>
    </row>
    <row r="4" spans="2:22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19"/>
    </row>
    <row r="5" spans="2:22" ht="15" x14ac:dyDescent="0.25">
      <c r="C5" s="40" t="s">
        <v>58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2:22" x14ac:dyDescent="0.25">
      <c r="C6" s="42" t="s">
        <v>59</v>
      </c>
      <c r="D6" s="26">
        <f>IFERROR('Data Sheet  '!D20,0)</f>
        <v>188792.69</v>
      </c>
      <c r="E6" s="26">
        <f>IFERROR('Data Sheet  '!E20,0)</f>
        <v>232833.66</v>
      </c>
      <c r="F6" s="26">
        <f>IFERROR('Data Sheet  '!F20,0)</f>
        <v>263158.98</v>
      </c>
      <c r="G6" s="26">
        <f>IFERROR('Data Sheet  '!G20,0)</f>
        <v>273045.59999999998</v>
      </c>
      <c r="H6" s="26">
        <f>IFERROR('Data Sheet  '!H20,0)</f>
        <v>269692.51</v>
      </c>
      <c r="I6" s="26">
        <f>IFERROR('Data Sheet  '!I20,0)</f>
        <v>291550.48</v>
      </c>
      <c r="J6" s="26">
        <f>IFERROR('Data Sheet  '!J20,0)</f>
        <v>301938.40000000002</v>
      </c>
      <c r="K6" s="26">
        <f>IFERROR('Data Sheet  '!K20,0)</f>
        <v>261067.97</v>
      </c>
      <c r="L6" s="26">
        <f>IFERROR('Data Sheet  '!L20,0)</f>
        <v>249794.75</v>
      </c>
      <c r="M6" s="26">
        <f>IFERROR('Data Sheet  '!M20,0)</f>
        <v>278453.62</v>
      </c>
      <c r="N6" s="27">
        <f>IFERROR(SUM('Data Sheet  '!J45:M45),0)</f>
        <v>302214.38</v>
      </c>
    </row>
    <row r="7" spans="2:22" x14ac:dyDescent="0.25">
      <c r="C7" s="29" t="s">
        <v>60</v>
      </c>
      <c r="D7" s="29" t="s">
        <v>61</v>
      </c>
      <c r="E7" s="30">
        <f>E6/D6-1</f>
        <v>0.23327688164197458</v>
      </c>
      <c r="F7" s="30">
        <f t="shared" ref="F7:N7" si="0">F6/E6-1</f>
        <v>0.13024457030826198</v>
      </c>
      <c r="G7" s="30">
        <f t="shared" si="0"/>
        <v>3.75690010654397E-2</v>
      </c>
      <c r="H7" s="30">
        <f t="shared" si="0"/>
        <v>-1.2280329732469508E-2</v>
      </c>
      <c r="I7" s="30">
        <f t="shared" si="0"/>
        <v>8.104774581985974E-2</v>
      </c>
      <c r="J7" s="30">
        <f t="shared" si="0"/>
        <v>3.5629919045237157E-2</v>
      </c>
      <c r="K7" s="30">
        <f t="shared" si="0"/>
        <v>-0.135360159555724</v>
      </c>
      <c r="L7" s="30">
        <f t="shared" si="0"/>
        <v>-4.3181168490336042E-2</v>
      </c>
      <c r="M7" s="30">
        <f t="shared" si="0"/>
        <v>0.11472967306158344</v>
      </c>
      <c r="N7" s="30">
        <f t="shared" si="0"/>
        <v>8.5331122648001578E-2</v>
      </c>
    </row>
    <row r="9" spans="2:22" x14ac:dyDescent="0.25">
      <c r="C9" t="s">
        <v>62</v>
      </c>
      <c r="D9">
        <f>IFERROR(SUM('Data Sheet  '!D21,'Data Sheet  '!D23:D25)-1*'Data Sheet  '!D22,0)</f>
        <v>142238.74</v>
      </c>
      <c r="E9">
        <f>IFERROR(SUM('Data Sheet  '!E21,'Data Sheet  '!E23:E25)-1*'Data Sheet  '!E22,0)</f>
        <v>180131.06000000003</v>
      </c>
      <c r="F9">
        <f>IFERROR(SUM('Data Sheet  '!F21,'Data Sheet  '!F23:F25)-1*'Data Sheet  '!F22,0)</f>
        <v>202856.88</v>
      </c>
      <c r="G9">
        <f>IFERROR(SUM('Data Sheet  '!G21,'Data Sheet  '!G23:G25)-1*'Data Sheet  '!G22,0)</f>
        <v>205509.07</v>
      </c>
      <c r="H9">
        <f>IFERROR(SUM('Data Sheet  '!H21,'Data Sheet  '!H23:H25)-1*'Data Sheet  '!H22,0)</f>
        <v>205454.23999999996</v>
      </c>
      <c r="I9">
        <f>IFERROR(SUM('Data Sheet  '!I21,'Data Sheet  '!I23:I25)-1*'Data Sheet  '!I22,0)</f>
        <v>228429.83</v>
      </c>
      <c r="J9">
        <f>IFERROR(SUM('Data Sheet  '!J21,'Data Sheet  '!J23:J25)-1*'Data Sheet  '!J22,0)</f>
        <v>242845.53</v>
      </c>
      <c r="K9">
        <f>IFERROR(SUM('Data Sheet  '!K21,'Data Sheet  '!K23:K25)-1*'Data Sheet  '!K22,0)</f>
        <v>210376.07000000004</v>
      </c>
      <c r="L9">
        <f>IFERROR(SUM('Data Sheet  '!L21,'Data Sheet  '!L23:L25)-1*'Data Sheet  '!L22,0)</f>
        <v>195326.04</v>
      </c>
      <c r="M9">
        <f>IFERROR(SUM('Data Sheet  '!M21,'Data Sheet  '!M23:M25)-1*'Data Sheet  '!M22,0)</f>
        <v>223300.00999999998</v>
      </c>
      <c r="N9">
        <f>IFERROR(SUM('Data Sheet  '!J46:M46),0)</f>
        <v>278868.53000000003</v>
      </c>
    </row>
    <row r="10" spans="2:22" x14ac:dyDescent="0.25">
      <c r="C10" s="29" t="s">
        <v>63</v>
      </c>
      <c r="D10" s="36">
        <f>D9/D6</f>
        <v>0.75341232756416565</v>
      </c>
      <c r="E10" s="36">
        <f t="shared" ref="E10:N10" si="1">E9/E6</f>
        <v>0.77364698901353024</v>
      </c>
      <c r="F10" s="36">
        <f t="shared" si="1"/>
        <v>0.77085296500237244</v>
      </c>
      <c r="G10" s="36">
        <f t="shared" si="1"/>
        <v>0.75265475803309057</v>
      </c>
      <c r="H10" s="36">
        <f t="shared" si="1"/>
        <v>0.76180921746770036</v>
      </c>
      <c r="I10" s="36">
        <f t="shared" si="1"/>
        <v>0.78350009919380004</v>
      </c>
      <c r="J10" s="36">
        <f t="shared" si="1"/>
        <v>0.80428832503583503</v>
      </c>
      <c r="K10" s="36">
        <f t="shared" si="1"/>
        <v>0.80582872728508226</v>
      </c>
      <c r="L10" s="36">
        <f t="shared" si="1"/>
        <v>0.7819461377791167</v>
      </c>
      <c r="M10" s="36">
        <f t="shared" si="1"/>
        <v>0.80192891728252624</v>
      </c>
      <c r="N10" s="36">
        <f t="shared" si="1"/>
        <v>0.92275069770008966</v>
      </c>
    </row>
    <row r="12" spans="2:22" x14ac:dyDescent="0.25">
      <c r="C12" t="s">
        <v>64</v>
      </c>
      <c r="D12" s="25">
        <f>D6-D9</f>
        <v>46553.950000000012</v>
      </c>
      <c r="E12" s="25">
        <f t="shared" ref="E12:N12" si="2">E6-E9</f>
        <v>52702.599999999977</v>
      </c>
      <c r="F12" s="25">
        <f t="shared" si="2"/>
        <v>60302.099999999977</v>
      </c>
      <c r="G12" s="25">
        <f t="shared" si="2"/>
        <v>67536.52999999997</v>
      </c>
      <c r="H12" s="25">
        <f t="shared" si="2"/>
        <v>64238.270000000048</v>
      </c>
      <c r="I12" s="25">
        <f t="shared" si="2"/>
        <v>63120.649999999994</v>
      </c>
      <c r="J12" s="25">
        <f t="shared" si="2"/>
        <v>59092.870000000024</v>
      </c>
      <c r="K12" s="25">
        <f t="shared" si="2"/>
        <v>50691.899999999965</v>
      </c>
      <c r="L12" s="25">
        <f t="shared" si="2"/>
        <v>54468.709999999992</v>
      </c>
      <c r="M12" s="25">
        <f t="shared" si="2"/>
        <v>55153.610000000015</v>
      </c>
      <c r="N12" s="25">
        <f t="shared" si="2"/>
        <v>23345.849999999977</v>
      </c>
    </row>
    <row r="13" spans="2:22" x14ac:dyDescent="0.25">
      <c r="C13" s="29" t="s">
        <v>72</v>
      </c>
      <c r="D13" s="36">
        <f>D12/D6</f>
        <v>0.24658767243583429</v>
      </c>
      <c r="E13" s="36">
        <f t="shared" ref="E13:N13" si="3">E12/E6</f>
        <v>0.22635301098646982</v>
      </c>
      <c r="F13" s="36">
        <f t="shared" si="3"/>
        <v>0.22914703499762759</v>
      </c>
      <c r="G13" s="36">
        <f t="shared" si="3"/>
        <v>0.24734524196690946</v>
      </c>
      <c r="H13" s="36">
        <f t="shared" si="3"/>
        <v>0.23819078253229964</v>
      </c>
      <c r="I13" s="36">
        <f t="shared" si="3"/>
        <v>0.21649990080619999</v>
      </c>
      <c r="J13" s="36">
        <f t="shared" si="3"/>
        <v>0.19571167496416494</v>
      </c>
      <c r="K13" s="36">
        <f t="shared" si="3"/>
        <v>0.19417127271491774</v>
      </c>
      <c r="L13" s="36">
        <f t="shared" si="3"/>
        <v>0.2180538622208833</v>
      </c>
      <c r="M13" s="36">
        <f t="shared" si="3"/>
        <v>0.19807108271747378</v>
      </c>
      <c r="N13" s="36">
        <f t="shared" si="3"/>
        <v>7.7249302299910338E-2</v>
      </c>
    </row>
    <row r="15" spans="2:22" x14ac:dyDescent="0.25">
      <c r="C15" t="s">
        <v>65</v>
      </c>
      <c r="D15">
        <f>IFERROR(SUM('Data Sheet  '!D26:D27),0)</f>
        <v>21957.97</v>
      </c>
      <c r="E15">
        <f>IFERROR(SUM('Data Sheet  '!E26:E27),0)</f>
        <v>17849.240000000002</v>
      </c>
      <c r="F15">
        <f>IFERROR(SUM('Data Sheet  '!F26:F27),0)</f>
        <v>21063.449999999997</v>
      </c>
      <c r="G15">
        <f>IFERROR(SUM('Data Sheet  '!G26:G27),0)</f>
        <v>29141.280000000002</v>
      </c>
      <c r="H15">
        <f>IFERROR(SUM('Data Sheet  '!H26:H27),0)</f>
        <v>34649.58</v>
      </c>
      <c r="I15">
        <f>IFERROR(SUM('Data Sheet  '!I26:I27),0)</f>
        <v>31662.97</v>
      </c>
      <c r="J15">
        <f>IFERROR(SUM('Data Sheet  '!J26:J27),0)</f>
        <v>34428.54</v>
      </c>
      <c r="K15">
        <f>IFERROR(SUM('Data Sheet  '!K26:K27),0)</f>
        <v>32704.83</v>
      </c>
      <c r="L15">
        <f>IFERROR(SUM('Data Sheet  '!L26:L27),0)</f>
        <v>22181.280000000002</v>
      </c>
      <c r="M15">
        <f>IFERROR(SUM('Data Sheet  '!M26:M27),0)</f>
        <v>30433.52</v>
      </c>
      <c r="N15">
        <f>IFERROR(SUM('Data Sheet  '!N26:N27),0)</f>
        <v>0</v>
      </c>
    </row>
    <row r="16" spans="2:22" x14ac:dyDescent="0.25">
      <c r="C16" s="29" t="s">
        <v>66</v>
      </c>
      <c r="D16" s="30">
        <f>D15/D6</f>
        <v>0.11630731041546154</v>
      </c>
      <c r="E16" s="30">
        <f>E15/E6</f>
        <v>7.6660908908102038E-2</v>
      </c>
      <c r="F16" s="30">
        <f>F15/F6</f>
        <v>8.0040779911823637E-2</v>
      </c>
      <c r="G16" s="30">
        <f>G15/G6</f>
        <v>0.10672678849247161</v>
      </c>
      <c r="H16" s="30">
        <f>H15/H6</f>
        <v>0.12847809529452636</v>
      </c>
      <c r="I16" s="30">
        <f>I15/I6</f>
        <v>0.10860201636437025</v>
      </c>
      <c r="J16" s="30">
        <f>J15/J6</f>
        <v>0.11402504616835751</v>
      </c>
      <c r="K16" s="30">
        <f>K15/K6</f>
        <v>0.12527323822987554</v>
      </c>
      <c r="L16" s="30">
        <f>L15/L6</f>
        <v>8.8798023177028354E-2</v>
      </c>
      <c r="M16" s="30">
        <f>M15/M6</f>
        <v>0.10929475436519734</v>
      </c>
      <c r="N16" s="30">
        <f>N15/N6</f>
        <v>0</v>
      </c>
    </row>
    <row r="18" spans="3:15" x14ac:dyDescent="0.25">
      <c r="C18" t="s">
        <v>28</v>
      </c>
      <c r="D18" s="25">
        <f>D12-D15</f>
        <v>24595.98000000001</v>
      </c>
      <c r="E18" s="25">
        <f>E12-E15</f>
        <v>34853.359999999971</v>
      </c>
      <c r="F18" s="25">
        <f>F12-F15</f>
        <v>39238.64999999998</v>
      </c>
      <c r="G18" s="25">
        <f>G12-G15</f>
        <v>38395.249999999971</v>
      </c>
      <c r="H18" s="25">
        <f>H12-H15</f>
        <v>29588.690000000046</v>
      </c>
      <c r="I18" s="25">
        <f>I12-I15</f>
        <v>31457.679999999993</v>
      </c>
      <c r="J18" s="25">
        <f>J12-J15</f>
        <v>24664.330000000024</v>
      </c>
      <c r="K18" s="25">
        <f>K12-K15</f>
        <v>17987.069999999963</v>
      </c>
      <c r="L18" s="25">
        <f>L12-L15</f>
        <v>32287.429999999989</v>
      </c>
      <c r="M18" s="25">
        <f>M12-M15</f>
        <v>24720.090000000015</v>
      </c>
      <c r="N18" s="25">
        <f>IFERROR(SUM('Data Sheet  '!J54:M54),0)</f>
        <v>27983.82</v>
      </c>
    </row>
    <row r="19" spans="3:15" x14ac:dyDescent="0.25">
      <c r="C19" s="29" t="s">
        <v>67</v>
      </c>
      <c r="D19" s="36">
        <f>D18/D6</f>
        <v>0.13028036202037277</v>
      </c>
      <c r="E19" s="36">
        <f>E18/E6</f>
        <v>0.14969210207836775</v>
      </c>
      <c r="F19" s="36">
        <f>F18/F6</f>
        <v>0.14910625508580397</v>
      </c>
      <c r="G19" s="36">
        <f>G18/G6</f>
        <v>0.14061845347443788</v>
      </c>
      <c r="H19" s="36">
        <f>H18/H6</f>
        <v>0.10971268723777329</v>
      </c>
      <c r="I19" s="36">
        <f>I18/I6</f>
        <v>0.10789788444182975</v>
      </c>
      <c r="J19" s="36">
        <f>J18/J6</f>
        <v>8.1686628795807431E-2</v>
      </c>
      <c r="K19" s="36">
        <f>K18/K6</f>
        <v>6.8898034485042198E-2</v>
      </c>
      <c r="L19" s="36">
        <f>L18/L6</f>
        <v>0.12925583904385496</v>
      </c>
      <c r="M19" s="36">
        <f>M18/M6</f>
        <v>8.877632835227646E-2</v>
      </c>
      <c r="N19" s="36">
        <f>N18/N6</f>
        <v>9.2595924786901276E-2</v>
      </c>
    </row>
    <row r="21" spans="3:15" x14ac:dyDescent="0.25">
      <c r="C21" t="s">
        <v>68</v>
      </c>
      <c r="D21">
        <f>IFERROR('Data Sheet  '!D30,0)</f>
        <v>3560.25</v>
      </c>
      <c r="E21">
        <f>IFERROR('Data Sheet  '!E30,0)</f>
        <v>4749.4399999999996</v>
      </c>
      <c r="F21">
        <f>IFERROR('Data Sheet  '!F30,0)</f>
        <v>4861.49</v>
      </c>
      <c r="G21">
        <f>IFERROR('Data Sheet  '!G30,0)</f>
        <v>4889.08</v>
      </c>
      <c r="H21">
        <f>IFERROR('Data Sheet  '!H30,0)</f>
        <v>4238.01</v>
      </c>
      <c r="I21">
        <f>IFERROR('Data Sheet  '!I30,0)</f>
        <v>4681.79</v>
      </c>
      <c r="J21">
        <f>IFERROR('Data Sheet  '!J30,0)</f>
        <v>5758.6</v>
      </c>
      <c r="K21">
        <f>IFERROR('Data Sheet  '!K30,0)</f>
        <v>7243.33</v>
      </c>
      <c r="L21">
        <f>IFERROR('Data Sheet  '!L30,0)</f>
        <v>8097.17</v>
      </c>
      <c r="M21">
        <f>IFERROR('Data Sheet  '!M30,0)</f>
        <v>9311.86</v>
      </c>
      <c r="N21">
        <f>IFERROR(SUM('Data Sheet  '!J49:M49),0)</f>
        <v>9689.24</v>
      </c>
    </row>
    <row r="22" spans="3:15" x14ac:dyDescent="0.25">
      <c r="C22" s="29" t="s">
        <v>69</v>
      </c>
      <c r="D22" s="36">
        <f>D21/D6</f>
        <v>1.8857986503608801E-2</v>
      </c>
      <c r="E22" s="36">
        <f>E21/E6</f>
        <v>2.0398425210512945E-2</v>
      </c>
      <c r="F22" s="36">
        <f>F21/F6</f>
        <v>1.8473585814932098E-2</v>
      </c>
      <c r="G22" s="36">
        <f>G21/G6</f>
        <v>1.7905727101993223E-2</v>
      </c>
      <c r="H22" s="36">
        <f>H21/H6</f>
        <v>1.5714229512714312E-2</v>
      </c>
      <c r="I22" s="36">
        <f>I21/I6</f>
        <v>1.605824830060304E-2</v>
      </c>
      <c r="J22" s="36">
        <f>J21/J6</f>
        <v>1.9072102124141878E-2</v>
      </c>
      <c r="K22" s="36">
        <f>K21/K6</f>
        <v>2.7744996829752802E-2</v>
      </c>
      <c r="L22" s="36">
        <f>L21/L6</f>
        <v>3.2415292955516477E-2</v>
      </c>
      <c r="M22" s="36">
        <f>M21/M6</f>
        <v>3.3441332168710897E-2</v>
      </c>
      <c r="N22" s="36">
        <f>N21/N6</f>
        <v>3.2060817225176376E-2</v>
      </c>
      <c r="O22" s="31"/>
    </row>
    <row r="24" spans="3:15" x14ac:dyDescent="0.25">
      <c r="C24" t="s">
        <v>70</v>
      </c>
      <c r="D24">
        <f>IFERROR('Data Sheet  '!D29,0)</f>
        <v>7601.28</v>
      </c>
      <c r="E24">
        <f>IFERROR('Data Sheet  '!E29,0)</f>
        <v>11078.16</v>
      </c>
      <c r="F24">
        <f>IFERROR('Data Sheet  '!F29,0)</f>
        <v>13388.63</v>
      </c>
      <c r="G24">
        <f>IFERROR('Data Sheet  '!G29,0)</f>
        <v>16710.78</v>
      </c>
      <c r="H24">
        <f>IFERROR('Data Sheet  '!H29,0)</f>
        <v>17904.990000000002</v>
      </c>
      <c r="I24">
        <f>IFERROR('Data Sheet  '!I29,0)</f>
        <v>21553.59</v>
      </c>
      <c r="J24">
        <f>IFERROR('Data Sheet  '!J29,0)</f>
        <v>23590.63</v>
      </c>
      <c r="K24">
        <f>IFERROR('Data Sheet  '!K29,0)</f>
        <v>21425.43</v>
      </c>
      <c r="L24">
        <f>IFERROR('Data Sheet  '!L29,0)</f>
        <v>23546.71</v>
      </c>
      <c r="M24">
        <f>IFERROR('Data Sheet  '!M29,0)</f>
        <v>24835.69</v>
      </c>
      <c r="N24">
        <f>IFERROR(SUM('Data Sheet  '!J48:M48),0)</f>
        <v>24248.62</v>
      </c>
    </row>
    <row r="25" spans="3:15" x14ac:dyDescent="0.25">
      <c r="C25" s="29" t="s">
        <v>71</v>
      </c>
      <c r="D25" s="36">
        <f>D24/D6</f>
        <v>4.0262575844435503E-2</v>
      </c>
      <c r="E25" s="36">
        <f>E24/E6</f>
        <v>4.757971849946438E-2</v>
      </c>
      <c r="F25" s="36">
        <f>F24/F6</f>
        <v>5.0876584184966822E-2</v>
      </c>
      <c r="G25" s="36">
        <f>G24/G6</f>
        <v>6.1201425695927715E-2</v>
      </c>
      <c r="H25" s="36">
        <f>H24/H6</f>
        <v>6.63903865924938E-2</v>
      </c>
      <c r="I25" s="36">
        <f>I24/I6</f>
        <v>7.3927472182518786E-2</v>
      </c>
      <c r="J25" s="36">
        <f>J24/J6</f>
        <v>7.8130605447998658E-2</v>
      </c>
      <c r="K25" s="36">
        <f>K24/K6</f>
        <v>8.206839774331566E-2</v>
      </c>
      <c r="L25" s="36">
        <f>L24/L6</f>
        <v>9.4264230933596482E-2</v>
      </c>
      <c r="M25" s="36">
        <f>M24/M6</f>
        <v>8.9191478279219347E-2</v>
      </c>
      <c r="N25" s="36">
        <f>N24/N6</f>
        <v>8.0236486430592738E-2</v>
      </c>
    </row>
    <row r="27" spans="3:15" x14ac:dyDescent="0.25">
      <c r="C27" t="s">
        <v>73</v>
      </c>
      <c r="D27" s="25">
        <f>D18-SUM(D24,D21)</f>
        <v>13434.450000000012</v>
      </c>
      <c r="E27" s="25">
        <f t="shared" ref="E27:N27" si="4">E18-SUM(E24,E21)</f>
        <v>19025.759999999973</v>
      </c>
      <c r="F27" s="25">
        <f t="shared" si="4"/>
        <v>20988.529999999981</v>
      </c>
      <c r="G27" s="25">
        <f t="shared" si="4"/>
        <v>16795.38999999997</v>
      </c>
      <c r="H27" s="25">
        <f t="shared" si="4"/>
        <v>7445.690000000046</v>
      </c>
      <c r="I27" s="25">
        <f t="shared" si="4"/>
        <v>5222.299999999992</v>
      </c>
      <c r="J27" s="25">
        <f t="shared" si="4"/>
        <v>-4684.8999999999796</v>
      </c>
      <c r="K27" s="25">
        <f t="shared" si="4"/>
        <v>-10681.690000000039</v>
      </c>
      <c r="L27" s="25">
        <f t="shared" si="4"/>
        <v>643.549999999992</v>
      </c>
      <c r="M27" s="25">
        <f t="shared" si="4"/>
        <v>-9427.4599999999882</v>
      </c>
      <c r="N27" s="25">
        <f t="shared" si="4"/>
        <v>-5954.0400000000009</v>
      </c>
    </row>
    <row r="28" spans="3:15" x14ac:dyDescent="0.25">
      <c r="C28" s="29" t="s">
        <v>74</v>
      </c>
      <c r="D28" s="36">
        <f>D27/D6</f>
        <v>7.115979967232848E-2</v>
      </c>
      <c r="E28" s="36">
        <f t="shared" ref="E28:N28" si="5">E27/E6</f>
        <v>8.1713958368390432E-2</v>
      </c>
      <c r="F28" s="36">
        <f t="shared" si="5"/>
        <v>7.9756085085905037E-2</v>
      </c>
      <c r="G28" s="36">
        <f t="shared" si="5"/>
        <v>6.1511300676516931E-2</v>
      </c>
      <c r="H28" s="36">
        <f t="shared" si="5"/>
        <v>2.7608071132565179E-2</v>
      </c>
      <c r="I28" s="36">
        <f t="shared" si="5"/>
        <v>1.7912163958707913E-2</v>
      </c>
      <c r="J28" s="36">
        <f t="shared" si="5"/>
        <v>-1.5516078776333117E-2</v>
      </c>
      <c r="K28" s="36">
        <f t="shared" si="5"/>
        <v>-4.0915360088026265E-2</v>
      </c>
      <c r="L28" s="36">
        <f t="shared" si="5"/>
        <v>2.5763151547420113E-3</v>
      </c>
      <c r="M28" s="36">
        <f t="shared" si="5"/>
        <v>-3.3856482095653805E-2</v>
      </c>
      <c r="N28" s="36">
        <f t="shared" si="5"/>
        <v>-1.9701378868867858E-2</v>
      </c>
    </row>
    <row r="30" spans="3:15" x14ac:dyDescent="0.25">
      <c r="C30" t="s">
        <v>24</v>
      </c>
      <c r="D30">
        <f>IFERROR('Data Sheet  '!D32,0)</f>
        <v>3776.66</v>
      </c>
      <c r="E30">
        <f>IFERROR('Data Sheet  '!E32,0)</f>
        <v>4764.79</v>
      </c>
      <c r="F30">
        <f>IFERROR('Data Sheet  '!F32,0)</f>
        <v>7642.91</v>
      </c>
      <c r="G30">
        <f>IFERROR('Data Sheet  '!G32,0)</f>
        <v>3025.05</v>
      </c>
      <c r="H30">
        <f>IFERROR('Data Sheet  '!H32,0)</f>
        <v>3251.23</v>
      </c>
      <c r="I30">
        <f>IFERROR('Data Sheet  '!I32,0)</f>
        <v>4341.93</v>
      </c>
      <c r="J30">
        <f>IFERROR('Data Sheet  '!J32,0)</f>
        <v>-2437.4499999999998</v>
      </c>
      <c r="K30">
        <f>IFERROR('Data Sheet  '!K32,0)</f>
        <v>395.25</v>
      </c>
      <c r="L30">
        <f>IFERROR('Data Sheet  '!L32,0)</f>
        <v>2541.86</v>
      </c>
      <c r="M30">
        <f>IFERROR('Data Sheet  '!M32,0)</f>
        <v>4231.29</v>
      </c>
      <c r="N30">
        <f>IFERROR(SUM('Data Sheet  '!J51:M51),0)</f>
        <v>2546.15</v>
      </c>
    </row>
    <row r="31" spans="3:15" x14ac:dyDescent="0.25">
      <c r="C31" s="29" t="s">
        <v>75</v>
      </c>
      <c r="D31" s="30">
        <f>D30/D27</f>
        <v>0.28111757459367498</v>
      </c>
      <c r="E31" s="30">
        <f t="shared" ref="E31:N31" si="6">E30/E27</f>
        <v>0.25043887865714731</v>
      </c>
      <c r="F31" s="30">
        <f t="shared" si="6"/>
        <v>0.3641469888553418</v>
      </c>
      <c r="G31" s="30">
        <f t="shared" si="6"/>
        <v>0.18011192356950362</v>
      </c>
      <c r="H31" s="30">
        <f t="shared" si="6"/>
        <v>0.43665932908836924</v>
      </c>
      <c r="I31" s="30">
        <f t="shared" si="6"/>
        <v>0.8314210213890445</v>
      </c>
      <c r="J31" s="30">
        <f t="shared" si="6"/>
        <v>0.52027791414971725</v>
      </c>
      <c r="K31" s="30">
        <f t="shared" si="6"/>
        <v>-3.7002571690434617E-2</v>
      </c>
      <c r="L31" s="30">
        <f t="shared" si="6"/>
        <v>3.9497474943672315</v>
      </c>
      <c r="M31" s="30">
        <f t="shared" si="6"/>
        <v>-0.4488260888935095</v>
      </c>
      <c r="N31" s="30">
        <f t="shared" si="6"/>
        <v>-0.42763400984877492</v>
      </c>
    </row>
    <row r="33" spans="3:14" x14ac:dyDescent="0.25">
      <c r="C33" t="s">
        <v>76</v>
      </c>
      <c r="D33" s="25">
        <f>D27-D30</f>
        <v>9657.7900000000118</v>
      </c>
      <c r="E33" s="25">
        <f t="shared" ref="E33:N33" si="7">E27-E30</f>
        <v>14260.969999999972</v>
      </c>
      <c r="F33" s="25">
        <f t="shared" si="7"/>
        <v>13345.619999999981</v>
      </c>
      <c r="G33" s="25">
        <f t="shared" si="7"/>
        <v>13770.339999999971</v>
      </c>
      <c r="H33" s="25">
        <f t="shared" si="7"/>
        <v>4194.4600000000464</v>
      </c>
      <c r="I33" s="25">
        <f t="shared" si="7"/>
        <v>880.36999999999171</v>
      </c>
      <c r="J33" s="25">
        <f t="shared" si="7"/>
        <v>-2247.4499999999798</v>
      </c>
      <c r="K33" s="25">
        <f t="shared" si="7"/>
        <v>-11076.940000000039</v>
      </c>
      <c r="L33" s="25">
        <f t="shared" si="7"/>
        <v>-1898.3100000000081</v>
      </c>
      <c r="M33" s="25">
        <f t="shared" si="7"/>
        <v>-13658.749999999989</v>
      </c>
      <c r="N33" s="25">
        <f t="shared" si="7"/>
        <v>-8500.19</v>
      </c>
    </row>
    <row r="34" spans="3:14" x14ac:dyDescent="0.25">
      <c r="C34" s="29" t="s">
        <v>77</v>
      </c>
      <c r="D34" s="36">
        <f>D33/D6</f>
        <v>5.1155529379871709E-2</v>
      </c>
      <c r="E34" s="36">
        <f t="shared" ref="E34:N34" si="8">E33/E6</f>
        <v>6.124960626397391E-2</v>
      </c>
      <c r="F34" s="36">
        <f t="shared" si="8"/>
        <v>5.0713146858982282E-2</v>
      </c>
      <c r="G34" s="36">
        <f t="shared" si="8"/>
        <v>5.0432381990407359E-2</v>
      </c>
      <c r="H34" s="36">
        <f t="shared" si="8"/>
        <v>1.5552749314395296E-2</v>
      </c>
      <c r="I34" s="36">
        <f t="shared" si="8"/>
        <v>3.01961430487095E-3</v>
      </c>
      <c r="J34" s="36">
        <f t="shared" si="8"/>
        <v>-7.4434056747998256E-3</v>
      </c>
      <c r="K34" s="36">
        <f t="shared" si="8"/>
        <v>-4.2429333632923408E-2</v>
      </c>
      <c r="L34" s="36">
        <f t="shared" si="8"/>
        <v>-7.5994791724005731E-3</v>
      </c>
      <c r="M34" s="36">
        <f t="shared" si="8"/>
        <v>-4.9052154538339235E-2</v>
      </c>
      <c r="N34" s="36">
        <f t="shared" si="8"/>
        <v>-2.812635851411174E-2</v>
      </c>
    </row>
    <row r="36" spans="3:14" x14ac:dyDescent="0.25">
      <c r="C36" t="s">
        <v>78</v>
      </c>
      <c r="D36">
        <f>IFERROR('Data Sheet  '!D93,0)</f>
        <v>285.72000000000003</v>
      </c>
      <c r="E36">
        <f>IFERROR('Data Sheet  '!E93,0)</f>
        <v>288.74</v>
      </c>
      <c r="F36">
        <f>IFERROR('Data Sheet  '!F93,0)</f>
        <v>288.74</v>
      </c>
      <c r="G36">
        <f>IFERROR('Data Sheet  '!G93,0)</f>
        <v>288.72000000000003</v>
      </c>
      <c r="H36">
        <f>IFERROR('Data Sheet  '!H93,0)</f>
        <v>288.73</v>
      </c>
      <c r="I36">
        <f>IFERROR('Data Sheet  '!I93,0)</f>
        <v>288.73</v>
      </c>
      <c r="J36">
        <f>IFERROR('Data Sheet  '!J93,0)</f>
        <v>288.73</v>
      </c>
      <c r="K36">
        <f>IFERROR('Data Sheet  '!K93,0)</f>
        <v>308.89999999999998</v>
      </c>
      <c r="L36">
        <f>IFERROR('Data Sheet  '!L93,0)</f>
        <v>332.03</v>
      </c>
      <c r="M36">
        <f>IFERROR('Data Sheet  '!M93,0)</f>
        <v>332.07</v>
      </c>
      <c r="N36">
        <f>IFERROR('Data Sheet  '!N93,0)</f>
        <v>0</v>
      </c>
    </row>
    <row r="38" spans="3:14" x14ac:dyDescent="0.25">
      <c r="C38" t="s">
        <v>79</v>
      </c>
      <c r="D38" s="28">
        <f>IFERROR(D33/D36,0)</f>
        <v>33.80158896822067</v>
      </c>
      <c r="E38" s="28">
        <f t="shared" ref="E38:N38" si="9">IFERROR(E33/E36,0)</f>
        <v>49.390351180993186</v>
      </c>
      <c r="F38" s="28">
        <f t="shared" si="9"/>
        <v>46.220198102098706</v>
      </c>
      <c r="G38" s="28">
        <f t="shared" si="9"/>
        <v>47.694444444444336</v>
      </c>
      <c r="H38" s="28">
        <f t="shared" si="9"/>
        <v>14.527274616423808</v>
      </c>
      <c r="I38" s="28">
        <f t="shared" si="9"/>
        <v>3.049111626779315</v>
      </c>
      <c r="J38" s="28">
        <f t="shared" si="9"/>
        <v>-7.7839157690575265</v>
      </c>
      <c r="K38" s="28">
        <f t="shared" si="9"/>
        <v>-35.859307219164904</v>
      </c>
      <c r="L38" s="28">
        <f t="shared" si="9"/>
        <v>-5.7172845827184542</v>
      </c>
      <c r="M38" s="28">
        <f t="shared" si="9"/>
        <v>-41.132140813683833</v>
      </c>
      <c r="N38" s="28">
        <f t="shared" si="9"/>
        <v>0</v>
      </c>
    </row>
    <row r="39" spans="3:14" x14ac:dyDescent="0.25">
      <c r="C39" s="29" t="s">
        <v>81</v>
      </c>
      <c r="D39" s="37"/>
      <c r="E39" s="38">
        <f>E38/D38-1</f>
        <v>0.46118430194002547</v>
      </c>
      <c r="F39" s="38">
        <f t="shared" ref="F39:N39" si="10">F38/E38-1</f>
        <v>-6.4185676009415493E-2</v>
      </c>
      <c r="G39" s="38">
        <f t="shared" si="10"/>
        <v>3.189614936502605E-2</v>
      </c>
      <c r="H39" s="38">
        <f t="shared" si="10"/>
        <v>-0.69540950134463697</v>
      </c>
      <c r="I39" s="38">
        <f t="shared" si="10"/>
        <v>-0.79011124197155724</v>
      </c>
      <c r="J39" s="38">
        <f t="shared" si="10"/>
        <v>-3.5528470983790919</v>
      </c>
      <c r="K39" s="38">
        <f t="shared" si="10"/>
        <v>3.6068467700681115</v>
      </c>
      <c r="L39" s="38">
        <f t="shared" si="10"/>
        <v>-0.84056344011958861</v>
      </c>
      <c r="M39" s="38">
        <f t="shared" si="10"/>
        <v>6.194349033807641</v>
      </c>
      <c r="N39" s="38">
        <f t="shared" si="10"/>
        <v>-1</v>
      </c>
    </row>
    <row r="41" spans="3:14" x14ac:dyDescent="0.25">
      <c r="C41" t="s">
        <v>80</v>
      </c>
      <c r="D41" s="32">
        <f>IFERROR('Data Sheet  '!D34/'Historical FS '!D36,0)</f>
        <v>2.2332003359932799</v>
      </c>
      <c r="E41" s="32">
        <f>IFERROR('Data Sheet  '!E34/'Historical FS '!E36,0)</f>
        <v>2.2296183417607534</v>
      </c>
      <c r="F41" s="32">
        <f>IFERROR('Data Sheet  '!F34/'Historical FS '!F36,0)</f>
        <v>0</v>
      </c>
      <c r="G41" s="32">
        <f>IFERROR('Data Sheet  '!G34/'Historical FS '!G36,0)</f>
        <v>0.23524522028262676</v>
      </c>
      <c r="H41" s="32">
        <f>IFERROR('Data Sheet  '!H34/'Historical FS '!H36,0)</f>
        <v>0</v>
      </c>
      <c r="I41" s="32">
        <f>IFERROR('Data Sheet  '!I34/'Historical FS '!I36,0)</f>
        <v>0</v>
      </c>
      <c r="J41" s="32">
        <f>IFERROR('Data Sheet  '!J34/'Historical FS '!J36,0)</f>
        <v>0</v>
      </c>
      <c r="K41" s="32">
        <f>IFERROR('Data Sheet  '!K34/'Historical FS '!K36,0)</f>
        <v>0</v>
      </c>
      <c r="L41" s="32">
        <f>IFERROR('Data Sheet  '!L34/'Historical FS '!L36,0)</f>
        <v>0</v>
      </c>
      <c r="M41" s="32">
        <f>IFERROR('Data Sheet  '!M34/'Historical FS '!M36,0)</f>
        <v>0</v>
      </c>
      <c r="N41" s="32">
        <f>IFERROR('Data Sheet  '!N34/'Historical FS '!N36,0)</f>
        <v>0</v>
      </c>
    </row>
    <row r="42" spans="3:14" x14ac:dyDescent="0.25">
      <c r="C42" s="29" t="s">
        <v>82</v>
      </c>
      <c r="D42" s="36">
        <f>D41/D38</f>
        <v>6.6067909946271278E-2</v>
      </c>
      <c r="E42" s="36">
        <f t="shared" ref="E42:M42" si="11">E41/E38</f>
        <v>4.5142791829728357E-2</v>
      </c>
      <c r="F42" s="36">
        <f t="shared" si="11"/>
        <v>0</v>
      </c>
      <c r="G42" s="36">
        <f t="shared" si="11"/>
        <v>4.9323400874633563E-3</v>
      </c>
      <c r="H42" s="36">
        <f t="shared" si="11"/>
        <v>0</v>
      </c>
      <c r="I42" s="36">
        <f t="shared" si="11"/>
        <v>0</v>
      </c>
      <c r="J42" s="36">
        <f t="shared" si="11"/>
        <v>0</v>
      </c>
      <c r="K42" s="36">
        <f t="shared" si="11"/>
        <v>0</v>
      </c>
      <c r="L42" s="36">
        <f t="shared" si="11"/>
        <v>0</v>
      </c>
      <c r="M42" s="36">
        <f t="shared" si="11"/>
        <v>0</v>
      </c>
      <c r="N42" s="36"/>
    </row>
    <row r="44" spans="3:14" x14ac:dyDescent="0.25">
      <c r="C44" t="s">
        <v>83</v>
      </c>
      <c r="D44" s="28">
        <f>IFERROR(IF(D38&gt;D41,1-D42,0),0)</f>
        <v>0.93393209005372868</v>
      </c>
      <c r="E44" s="28">
        <f t="shared" ref="E44:N44" si="12">IFERROR(IF(E38&gt;E41,1-E42,0),0)</f>
        <v>0.95485720817027164</v>
      </c>
      <c r="F44" s="28">
        <f t="shared" si="12"/>
        <v>1</v>
      </c>
      <c r="G44" s="28">
        <f t="shared" si="12"/>
        <v>0.99506765991253665</v>
      </c>
      <c r="H44" s="28">
        <f t="shared" si="12"/>
        <v>1</v>
      </c>
      <c r="I44" s="28">
        <f t="shared" si="12"/>
        <v>1</v>
      </c>
      <c r="J44" s="28">
        <f t="shared" si="12"/>
        <v>0</v>
      </c>
      <c r="K44" s="28">
        <f t="shared" si="12"/>
        <v>0</v>
      </c>
      <c r="L44" s="28">
        <f t="shared" si="12"/>
        <v>0</v>
      </c>
      <c r="M44" s="28">
        <f t="shared" si="12"/>
        <v>0</v>
      </c>
      <c r="N44" s="28">
        <f t="shared" si="12"/>
        <v>0</v>
      </c>
    </row>
    <row r="46" spans="3:14" ht="15" x14ac:dyDescent="0.25">
      <c r="C46" s="40" t="s">
        <v>84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3:14" x14ac:dyDescent="0.25">
      <c r="C47" t="s">
        <v>91</v>
      </c>
      <c r="D47" s="25">
        <f>IFERROR('Data Sheet  '!D60,0)</f>
        <v>638.07000000000005</v>
      </c>
      <c r="E47" s="25">
        <f>IFERROR('Data Sheet  '!E60,0)</f>
        <v>643.78</v>
      </c>
      <c r="F47" s="25">
        <f>IFERROR('Data Sheet  '!F60,0)</f>
        <v>643.78</v>
      </c>
      <c r="G47" s="25">
        <f>IFERROR('Data Sheet  '!G60,0)</f>
        <v>679.18</v>
      </c>
      <c r="H47" s="25">
        <f>IFERROR('Data Sheet  '!H60,0)</f>
        <v>679.22</v>
      </c>
      <c r="I47" s="25">
        <f>IFERROR('Data Sheet  '!I60,0)</f>
        <v>679.22</v>
      </c>
      <c r="J47" s="25">
        <f>IFERROR('Data Sheet  '!J60,0)</f>
        <v>679.22</v>
      </c>
      <c r="K47" s="25">
        <f>IFERROR('Data Sheet  '!K60,0)</f>
        <v>719.54</v>
      </c>
      <c r="L47" s="25">
        <f>IFERROR('Data Sheet  '!L60,0)</f>
        <v>765.81</v>
      </c>
      <c r="M47" s="25">
        <f>IFERROR('Data Sheet  '!M60,0)</f>
        <v>765.88</v>
      </c>
    </row>
    <row r="48" spans="3:14" x14ac:dyDescent="0.25">
      <c r="C48" t="s">
        <v>34</v>
      </c>
      <c r="D48" s="25">
        <f>IFERROR('Data Sheet  '!D61,0)</f>
        <v>36999.230000000003</v>
      </c>
      <c r="E48" s="25">
        <f>IFERROR('Data Sheet  '!E61,0)</f>
        <v>64959.67</v>
      </c>
      <c r="F48" s="25">
        <f>IFERROR('Data Sheet  '!F61,0)</f>
        <v>55618.14</v>
      </c>
      <c r="G48" s="25">
        <f>IFERROR('Data Sheet  '!G61,0)</f>
        <v>78273.23</v>
      </c>
      <c r="H48" s="25">
        <f>IFERROR('Data Sheet  '!H61,0)</f>
        <v>57382.67</v>
      </c>
      <c r="I48" s="25">
        <f>IFERROR('Data Sheet  '!I61,0)</f>
        <v>94748.69</v>
      </c>
      <c r="J48" s="25">
        <f>IFERROR('Data Sheet  '!J61,0)</f>
        <v>59500.34</v>
      </c>
      <c r="K48" s="25">
        <f>IFERROR('Data Sheet  '!K61,0)</f>
        <v>61491.49</v>
      </c>
      <c r="L48" s="25">
        <f>IFERROR('Data Sheet  '!L61,0)</f>
        <v>54480.91</v>
      </c>
      <c r="M48" s="25">
        <f>IFERROR('Data Sheet  '!M61,0)</f>
        <v>43795.360000000001</v>
      </c>
    </row>
    <row r="49" spans="3:13" x14ac:dyDescent="0.25">
      <c r="C49" t="s">
        <v>35</v>
      </c>
      <c r="D49" s="25">
        <f>IFERROR('Data Sheet  '!D62,0)</f>
        <v>53715.71</v>
      </c>
      <c r="E49" s="25">
        <f>IFERROR('Data Sheet  '!E62,0)</f>
        <v>60642.28</v>
      </c>
      <c r="F49" s="25">
        <f>IFERROR('Data Sheet  '!F62,0)</f>
        <v>73610.39</v>
      </c>
      <c r="G49" s="25">
        <f>IFERROR('Data Sheet  '!G62,0)</f>
        <v>69359.960000000006</v>
      </c>
      <c r="H49" s="25">
        <f>IFERROR('Data Sheet  '!H62,0)</f>
        <v>78603.98</v>
      </c>
      <c r="I49" s="25">
        <f>IFERROR('Data Sheet  '!I62,0)</f>
        <v>88950.47</v>
      </c>
      <c r="J49" s="25">
        <f>IFERROR('Data Sheet  '!J62,0)</f>
        <v>106175.34</v>
      </c>
      <c r="K49" s="25">
        <f>IFERROR('Data Sheet  '!K62,0)</f>
        <v>124787.64</v>
      </c>
      <c r="L49" s="25">
        <f>IFERROR('Data Sheet  '!L62,0)</f>
        <v>142130.57</v>
      </c>
      <c r="M49" s="25">
        <f>IFERROR('Data Sheet  '!M62,0)</f>
        <v>146449.03</v>
      </c>
    </row>
    <row r="50" spans="3:13" x14ac:dyDescent="0.25">
      <c r="C50" t="s">
        <v>85</v>
      </c>
      <c r="D50" s="25">
        <f>IFERROR('Data Sheet  '!D63,0)</f>
        <v>76977.02</v>
      </c>
      <c r="E50" s="25">
        <f>IFERROR('Data Sheet  '!E63,0)</f>
        <v>92180.26</v>
      </c>
      <c r="F50" s="25">
        <f>IFERROR('Data Sheet  '!F63,0)</f>
        <v>107442.48</v>
      </c>
      <c r="G50" s="25">
        <f>IFERROR('Data Sheet  '!G63,0)</f>
        <v>114871.75</v>
      </c>
      <c r="H50" s="25">
        <f>IFERROR('Data Sheet  '!H63,0)</f>
        <v>135914.49</v>
      </c>
      <c r="I50" s="25">
        <f>IFERROR('Data Sheet  '!I63,0)</f>
        <v>142813.43</v>
      </c>
      <c r="J50" s="25">
        <f>IFERROR('Data Sheet  '!J63,0)</f>
        <v>139348.59</v>
      </c>
      <c r="K50" s="25">
        <f>IFERROR('Data Sheet  '!K63,0)</f>
        <v>133180.72</v>
      </c>
      <c r="L50" s="25">
        <f>IFERROR('Data Sheet  '!L63,0)</f>
        <v>144192.62</v>
      </c>
      <c r="M50" s="25">
        <f>IFERROR('Data Sheet  '!M63,0)</f>
        <v>138051.22</v>
      </c>
    </row>
    <row r="51" spans="3:13" x14ac:dyDescent="0.25">
      <c r="C51" s="43" t="s">
        <v>87</v>
      </c>
      <c r="D51" s="25">
        <f>IFERROR('Data Sheet  '!D64,0)</f>
        <v>168330.03</v>
      </c>
      <c r="E51" s="25">
        <f>IFERROR('Data Sheet  '!E64,0)</f>
        <v>218425.99</v>
      </c>
      <c r="F51" s="25">
        <f>IFERROR('Data Sheet  '!F64,0)</f>
        <v>237314.79</v>
      </c>
      <c r="G51" s="25">
        <f>IFERROR('Data Sheet  '!G64,0)</f>
        <v>263184.12</v>
      </c>
      <c r="H51" s="25">
        <f>IFERROR('Data Sheet  '!H64,0)</f>
        <v>272580.36</v>
      </c>
      <c r="I51" s="25">
        <f>IFERROR('Data Sheet  '!I64,0)</f>
        <v>327191.81</v>
      </c>
      <c r="J51" s="25">
        <f>IFERROR('Data Sheet  '!J64,0)</f>
        <v>305703.49</v>
      </c>
      <c r="K51" s="25">
        <f>IFERROR('Data Sheet  '!K64,0)</f>
        <v>320179.39</v>
      </c>
      <c r="L51" s="25">
        <f>IFERROR('Data Sheet  '!L64,0)</f>
        <v>341569.91</v>
      </c>
      <c r="M51" s="25">
        <f>IFERROR('Data Sheet  '!M64,0)</f>
        <v>329061.49</v>
      </c>
    </row>
    <row r="52" spans="3:13" x14ac:dyDescent="0.25"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 spans="3:13" x14ac:dyDescent="0.25">
      <c r="C53" t="s">
        <v>88</v>
      </c>
      <c r="D53" s="25">
        <f>IFERROR('Data Sheet  '!D65,0)</f>
        <v>55511.73</v>
      </c>
      <c r="E53" s="25">
        <f>IFERROR('Data Sheet  '!E65,0)</f>
        <v>69091.67</v>
      </c>
      <c r="F53" s="25">
        <f>IFERROR('Data Sheet  '!F65,0)</f>
        <v>88479.49</v>
      </c>
      <c r="G53" s="25">
        <f>IFERROR('Data Sheet  '!G65,0)</f>
        <v>107231.76</v>
      </c>
      <c r="H53" s="25">
        <f>IFERROR('Data Sheet  '!H65,0)</f>
        <v>95944.08</v>
      </c>
      <c r="I53" s="25">
        <f>IFERROR('Data Sheet  '!I65,0)</f>
        <v>121413.86</v>
      </c>
      <c r="J53" s="25">
        <f>IFERROR('Data Sheet  '!J65,0)</f>
        <v>111234.47</v>
      </c>
      <c r="K53" s="25">
        <f>IFERROR('Data Sheet  '!K65,0)</f>
        <v>127107.14</v>
      </c>
      <c r="L53" s="25">
        <f>IFERROR('Data Sheet  '!L65,0)</f>
        <v>138707.60999999999</v>
      </c>
      <c r="M53" s="25">
        <f>IFERROR('Data Sheet  '!M65,0)</f>
        <v>138855.45000000001</v>
      </c>
    </row>
    <row r="54" spans="3:13" x14ac:dyDescent="0.25">
      <c r="C54" t="s">
        <v>86</v>
      </c>
      <c r="D54" s="25">
        <f>IFERROR('Data Sheet  '!D66,0)</f>
        <v>18453.55</v>
      </c>
      <c r="E54" s="25">
        <f>IFERROR('Data Sheet  '!E66,0)</f>
        <v>33262.559999999998</v>
      </c>
      <c r="F54" s="25">
        <f>IFERROR('Data Sheet  '!F66,0)</f>
        <v>28640.09</v>
      </c>
      <c r="G54" s="25">
        <f>IFERROR('Data Sheet  '!G66,0)</f>
        <v>25918.94</v>
      </c>
      <c r="H54" s="25">
        <f>IFERROR('Data Sheet  '!H66,0)</f>
        <v>33698.839999999997</v>
      </c>
      <c r="I54" s="25">
        <f>IFERROR('Data Sheet  '!I66,0)</f>
        <v>40033.5</v>
      </c>
      <c r="J54" s="25">
        <f>IFERROR('Data Sheet  '!J66,0)</f>
        <v>31883.84</v>
      </c>
      <c r="K54" s="25">
        <f>IFERROR('Data Sheet  '!K66,0)</f>
        <v>35622.29</v>
      </c>
      <c r="L54" s="25">
        <f>IFERROR('Data Sheet  '!L66,0)</f>
        <v>20963.93</v>
      </c>
      <c r="M54" s="25">
        <f>IFERROR('Data Sheet  '!M66,0)</f>
        <v>10251.09</v>
      </c>
    </row>
    <row r="55" spans="3:13" x14ac:dyDescent="0.25">
      <c r="C55" t="s">
        <v>40</v>
      </c>
      <c r="D55" s="25">
        <f>IFERROR('Data Sheet  '!D67,0)</f>
        <v>8764.73</v>
      </c>
      <c r="E55" s="25">
        <f>IFERROR('Data Sheet  '!E67,0)</f>
        <v>10686.67</v>
      </c>
      <c r="F55" s="25">
        <f>IFERROR('Data Sheet  '!F67,0)</f>
        <v>15336.74</v>
      </c>
      <c r="G55" s="25">
        <f>IFERROR('Data Sheet  '!G67,0)</f>
        <v>23767.02</v>
      </c>
      <c r="H55" s="25">
        <f>IFERROR('Data Sheet  '!H67,0)</f>
        <v>20337.919999999998</v>
      </c>
      <c r="I55" s="25">
        <f>IFERROR('Data Sheet  '!I67,0)</f>
        <v>20812.75</v>
      </c>
      <c r="J55" s="25">
        <f>IFERROR('Data Sheet  '!J67,0)</f>
        <v>15770.72</v>
      </c>
      <c r="K55" s="25">
        <f>IFERROR('Data Sheet  '!K67,0)</f>
        <v>16308.48</v>
      </c>
      <c r="L55" s="25">
        <f>IFERROR('Data Sheet  '!L67,0)</f>
        <v>24620.28</v>
      </c>
      <c r="M55" s="25">
        <f>IFERROR('Data Sheet  '!M67,0)</f>
        <v>29379.53</v>
      </c>
    </row>
    <row r="56" spans="3:13" x14ac:dyDescent="0.25">
      <c r="C56" t="s">
        <v>41</v>
      </c>
      <c r="D56" s="25">
        <f>IFERROR('Data Sheet  '!D68-SUM('Data Sheet  '!D70:D72),0)</f>
        <v>32488.780000000006</v>
      </c>
      <c r="E56" s="25">
        <f>IFERROR('Data Sheet  '!E68-SUM('Data Sheet  '!E70:E72),0)</f>
        <v>37828.179999999993</v>
      </c>
      <c r="F56" s="25">
        <f>IFERROR('Data Sheet  '!F68-SUM('Data Sheet  '!F70:F72),0)</f>
        <v>30891.17</v>
      </c>
      <c r="G56" s="25">
        <f>IFERROR('Data Sheet  '!G68-SUM('Data Sheet  '!G70:G72),0)</f>
        <v>29579.359999999986</v>
      </c>
      <c r="H56" s="25">
        <f>IFERROR('Data Sheet  '!H68-SUM('Data Sheet  '!H70:H72),0)</f>
        <v>37360.780000000013</v>
      </c>
      <c r="I56" s="25">
        <f>IFERROR('Data Sheet  '!I68-SUM('Data Sheet  '!I70:I72),0)</f>
        <v>48286.860000000015</v>
      </c>
      <c r="J56" s="25">
        <f>IFERROR('Data Sheet  '!J68-SUM('Data Sheet  '!J70:J72),0)</f>
        <v>56155.739999999991</v>
      </c>
      <c r="K56" s="25">
        <f>IFERROR('Data Sheet  '!K68-SUM('Data Sheet  '!K70:K72),0)</f>
        <v>58784.94</v>
      </c>
      <c r="L56" s="25">
        <f>IFERROR('Data Sheet  '!L68-SUM('Data Sheet  '!L70:L72),0)</f>
        <v>61717.959999999992</v>
      </c>
      <c r="M56" s="25">
        <f>IFERROR('Data Sheet  '!M68-SUM('Data Sheet  '!M70:M72),0)</f>
        <v>62223.770000000019</v>
      </c>
    </row>
    <row r="57" spans="3:13" x14ac:dyDescent="0.25">
      <c r="C57" s="43" t="s">
        <v>89</v>
      </c>
      <c r="D57" s="25">
        <f>SUM(D53:D56)</f>
        <v>115218.79000000001</v>
      </c>
      <c r="E57" s="25">
        <f t="shared" ref="E57:H57" si="13">SUM(E53:E56)</f>
        <v>150869.07999999999</v>
      </c>
      <c r="F57" s="25">
        <f t="shared" si="13"/>
        <v>163347.49</v>
      </c>
      <c r="G57" s="25">
        <f t="shared" si="13"/>
        <v>186497.07999999996</v>
      </c>
      <c r="H57" s="25">
        <f t="shared" si="13"/>
        <v>187341.62</v>
      </c>
      <c r="I57" s="25">
        <f t="shared" ref="I57" si="14">SUM(I53:I56)</f>
        <v>230546.97</v>
      </c>
      <c r="J57" s="25">
        <f t="shared" ref="J57" si="15">SUM(J53:J56)</f>
        <v>215044.77</v>
      </c>
      <c r="K57" s="25">
        <f t="shared" ref="K57:L57" si="16">SUM(K53:K56)</f>
        <v>237822.85</v>
      </c>
      <c r="L57" s="25">
        <f t="shared" si="16"/>
        <v>246009.77999999997</v>
      </c>
      <c r="M57" s="25">
        <f t="shared" ref="M57" si="17">SUM(M53:M56)</f>
        <v>240709.84000000003</v>
      </c>
    </row>
    <row r="58" spans="3:13" x14ac:dyDescent="0.25"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3:13" x14ac:dyDescent="0.25">
      <c r="C59" t="s">
        <v>42</v>
      </c>
      <c r="D59" s="25">
        <f>IFERROR('Data Sheet  '!D70,0)</f>
        <v>10959.6</v>
      </c>
      <c r="E59" s="25">
        <f>IFERROR('Data Sheet  '!E70,0)</f>
        <v>10574.23</v>
      </c>
      <c r="F59" s="25">
        <f>IFERROR('Data Sheet  '!F70,0)</f>
        <v>12579.2</v>
      </c>
      <c r="G59" s="25">
        <f>IFERROR('Data Sheet  '!G70,0)</f>
        <v>13570.91</v>
      </c>
      <c r="H59" s="25">
        <f>IFERROR('Data Sheet  '!H70,0)</f>
        <v>14075.55</v>
      </c>
      <c r="I59" s="25">
        <f>IFERROR('Data Sheet  '!I70,0)</f>
        <v>19893.3</v>
      </c>
      <c r="J59" s="25">
        <f>IFERROR('Data Sheet  '!J70,0)</f>
        <v>18996.169999999998</v>
      </c>
      <c r="K59" s="25">
        <f>IFERROR('Data Sheet  '!K70,0)</f>
        <v>11172.69</v>
      </c>
      <c r="L59" s="25">
        <f>IFERROR('Data Sheet  '!L70,0)</f>
        <v>12679.08</v>
      </c>
      <c r="M59" s="25">
        <f>IFERROR('Data Sheet  '!M70,0)</f>
        <v>12442.12</v>
      </c>
    </row>
    <row r="60" spans="3:13" x14ac:dyDescent="0.25">
      <c r="C60" t="s">
        <v>90</v>
      </c>
      <c r="D60" s="25">
        <f>IFERROR('Data Sheet  '!D71,0)</f>
        <v>21036.82</v>
      </c>
      <c r="E60" s="25">
        <f>IFERROR('Data Sheet  '!E71,0)</f>
        <v>27270.89</v>
      </c>
      <c r="F60" s="25">
        <f>IFERROR('Data Sheet  '!F71,0)</f>
        <v>29272.34</v>
      </c>
      <c r="G60" s="25">
        <f>IFERROR('Data Sheet  '!G71,0)</f>
        <v>32655.73</v>
      </c>
      <c r="H60" s="25">
        <f>IFERROR('Data Sheet  '!H71,0)</f>
        <v>35085.31</v>
      </c>
      <c r="I60" s="25">
        <f>IFERROR('Data Sheet  '!I71,0)</f>
        <v>42137.63</v>
      </c>
      <c r="J60" s="25">
        <f>IFERROR('Data Sheet  '!J71,0)</f>
        <v>39013.730000000003</v>
      </c>
      <c r="K60" s="25">
        <f>IFERROR('Data Sheet  '!K71,0)</f>
        <v>37456.879999999997</v>
      </c>
      <c r="L60" s="25">
        <f>IFERROR('Data Sheet  '!L71,0)</f>
        <v>36088.589999999997</v>
      </c>
      <c r="M60" s="25">
        <f>IFERROR('Data Sheet  '!M71,0)</f>
        <v>35240.339999999997</v>
      </c>
    </row>
    <row r="61" spans="3:13" x14ac:dyDescent="0.25">
      <c r="C61" t="s">
        <v>92</v>
      </c>
      <c r="D61" s="25">
        <f>IFERROR('Data Sheet  '!D72,0)</f>
        <v>21114.82</v>
      </c>
      <c r="E61" s="25">
        <f>IFERROR('Data Sheet  '!E72,0)</f>
        <v>29711.79</v>
      </c>
      <c r="F61" s="25">
        <f>IFERROR('Data Sheet  '!F72,0)</f>
        <v>32115.759999999998</v>
      </c>
      <c r="G61" s="25">
        <f>IFERROR('Data Sheet  '!G72,0)</f>
        <v>30460.400000000001</v>
      </c>
      <c r="H61" s="25">
        <f>IFERROR('Data Sheet  '!H72,0)</f>
        <v>36077.879999999997</v>
      </c>
      <c r="I61" s="25">
        <f>IFERROR('Data Sheet  '!I72,0)</f>
        <v>34613.910000000003</v>
      </c>
      <c r="J61" s="25">
        <f>IFERROR('Data Sheet  '!J72,0)</f>
        <v>32648.82</v>
      </c>
      <c r="K61" s="25">
        <f>IFERROR('Data Sheet  '!K72,0)</f>
        <v>33726.97</v>
      </c>
      <c r="L61" s="25">
        <f>IFERROR('Data Sheet  '!L72,0)</f>
        <v>46792.46</v>
      </c>
      <c r="M61" s="25">
        <f>IFERROR('Data Sheet  '!M72,0)</f>
        <v>40669.19</v>
      </c>
    </row>
    <row r="62" spans="3:13" x14ac:dyDescent="0.25">
      <c r="C62" s="43" t="s">
        <v>93</v>
      </c>
      <c r="D62" s="25">
        <f>IFERROR(SUM(D59:D61),0)</f>
        <v>53111.24</v>
      </c>
      <c r="E62" s="25">
        <f t="shared" ref="E62:M62" si="18">IFERROR(SUM(E59:E61),0)</f>
        <v>67556.91</v>
      </c>
      <c r="F62" s="25">
        <f t="shared" si="18"/>
        <v>73967.3</v>
      </c>
      <c r="G62" s="25">
        <f t="shared" si="18"/>
        <v>76687.040000000008</v>
      </c>
      <c r="H62" s="25">
        <f t="shared" si="18"/>
        <v>85238.739999999991</v>
      </c>
      <c r="I62" s="25">
        <f t="shared" si="18"/>
        <v>96644.84</v>
      </c>
      <c r="J62" s="25">
        <f t="shared" si="18"/>
        <v>90658.72</v>
      </c>
      <c r="K62" s="25">
        <f t="shared" si="18"/>
        <v>82356.540000000008</v>
      </c>
      <c r="L62" s="25">
        <f t="shared" si="18"/>
        <v>95560.13</v>
      </c>
      <c r="M62" s="25">
        <f t="shared" si="18"/>
        <v>88351.65</v>
      </c>
    </row>
    <row r="63" spans="3:13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3:13" x14ac:dyDescent="0.25">
      <c r="C64" s="43" t="s">
        <v>94</v>
      </c>
      <c r="D64" s="25">
        <f>IFERROR(D62+D57,0)</f>
        <v>168330.03</v>
      </c>
      <c r="E64" s="25">
        <f t="shared" ref="E64:M64" si="19">IFERROR(E62+E57,0)</f>
        <v>218425.99</v>
      </c>
      <c r="F64" s="25">
        <f t="shared" si="19"/>
        <v>237314.78999999998</v>
      </c>
      <c r="G64" s="25">
        <f t="shared" si="19"/>
        <v>263184.12</v>
      </c>
      <c r="H64" s="25">
        <f t="shared" si="19"/>
        <v>272580.36</v>
      </c>
      <c r="I64" s="25">
        <f t="shared" si="19"/>
        <v>327191.81</v>
      </c>
      <c r="J64" s="25">
        <f t="shared" si="19"/>
        <v>305703.49</v>
      </c>
      <c r="K64" s="25">
        <f t="shared" si="19"/>
        <v>320179.39</v>
      </c>
      <c r="L64" s="25">
        <f t="shared" si="19"/>
        <v>341569.91</v>
      </c>
      <c r="M64" s="25">
        <f t="shared" si="19"/>
        <v>329061.49</v>
      </c>
    </row>
    <row r="65" spans="3: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3:14" x14ac:dyDescent="0.25">
      <c r="C66" s="43" t="s">
        <v>95</v>
      </c>
      <c r="D66" t="b">
        <f>D64=D51</f>
        <v>1</v>
      </c>
      <c r="E66" t="b">
        <f t="shared" ref="E66:M66" si="20">E64=E51</f>
        <v>1</v>
      </c>
      <c r="F66" t="b">
        <f t="shared" si="20"/>
        <v>1</v>
      </c>
      <c r="G66" t="b">
        <f t="shared" si="20"/>
        <v>1</v>
      </c>
      <c r="H66" t="b">
        <f t="shared" si="20"/>
        <v>1</v>
      </c>
      <c r="I66" t="b">
        <f t="shared" si="20"/>
        <v>1</v>
      </c>
      <c r="J66" t="b">
        <f t="shared" si="20"/>
        <v>1</v>
      </c>
      <c r="K66" t="b">
        <f t="shared" si="20"/>
        <v>1</v>
      </c>
      <c r="L66" t="b">
        <f t="shared" si="20"/>
        <v>1</v>
      </c>
      <c r="M66" t="b">
        <f t="shared" si="20"/>
        <v>1</v>
      </c>
    </row>
    <row r="69" spans="3:14" x14ac:dyDescent="0.25">
      <c r="C69" s="41" t="s">
        <v>96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3:14" x14ac:dyDescent="0.25">
      <c r="C70" t="s">
        <v>127</v>
      </c>
    </row>
    <row r="72" spans="3:14" x14ac:dyDescent="0.25">
      <c r="C72" t="s">
        <v>130</v>
      </c>
      <c r="D72" s="44">
        <f>IFERROR('Cash Flow Data '!E4,0)</f>
        <v>24406</v>
      </c>
      <c r="E72" s="44">
        <f>IFERROR('Cash Flow Data '!F4,0)</f>
        <v>36303</v>
      </c>
      <c r="F72" s="44">
        <f>IFERROR('Cash Flow Data '!G4,0)</f>
        <v>43397</v>
      </c>
      <c r="G72" s="44">
        <f>IFERROR('Cash Flow Data '!H4,0)</f>
        <v>38626</v>
      </c>
      <c r="H72" s="44">
        <f>IFERROR('Cash Flow Data '!I4,0)</f>
        <v>28840</v>
      </c>
      <c r="I72" s="44">
        <f>IFERROR('Cash Flow Data '!J4,0)</f>
        <v>33312</v>
      </c>
      <c r="J72" s="44">
        <f>IFERROR('Cash Flow Data '!K4,0)</f>
        <v>28771</v>
      </c>
      <c r="K72" s="44">
        <f>IFERROR('Cash Flow Data '!L4,0)</f>
        <v>23352</v>
      </c>
      <c r="L72" s="44">
        <f>IFERROR('Cash Flow Data '!M4,0)</f>
        <v>31198</v>
      </c>
      <c r="M72" s="44">
        <f>IFERROR('Cash Flow Data '!N4,0)</f>
        <v>26666</v>
      </c>
    </row>
    <row r="73" spans="3:14" x14ac:dyDescent="0.25">
      <c r="C73" t="s">
        <v>131</v>
      </c>
      <c r="D73" s="44">
        <f>IFERROR('Cash Flow Data '!E5,0)</f>
        <v>-5177</v>
      </c>
      <c r="E73" s="44">
        <f>IFERROR('Cash Flow Data '!F5,0)</f>
        <v>445</v>
      </c>
      <c r="F73" s="44">
        <f>IFERROR('Cash Flow Data '!G5,0)</f>
        <v>-3179</v>
      </c>
      <c r="G73" s="44">
        <f>IFERROR('Cash Flow Data '!H5,0)</f>
        <v>-2223</v>
      </c>
      <c r="H73" s="44">
        <f>IFERROR('Cash Flow Data '!I5,0)</f>
        <v>-4152</v>
      </c>
      <c r="I73" s="44">
        <f>IFERROR('Cash Flow Data '!J5,0)</f>
        <v>-10688</v>
      </c>
      <c r="J73" s="44">
        <f>IFERROR('Cash Flow Data '!K5,0)</f>
        <v>-9109</v>
      </c>
      <c r="K73" s="44">
        <f>IFERROR('Cash Flow Data '!L5,0)</f>
        <v>9950</v>
      </c>
      <c r="L73" s="44">
        <f>IFERROR('Cash Flow Data '!M5,0)</f>
        <v>-5505</v>
      </c>
      <c r="M73" s="44">
        <f>IFERROR('Cash Flow Data '!N5,0)</f>
        <v>337</v>
      </c>
    </row>
    <row r="74" spans="3:14" x14ac:dyDescent="0.25">
      <c r="C74" t="s">
        <v>90</v>
      </c>
      <c r="D74" s="44">
        <f>IFERROR('Cash Flow Data '!E6,0)</f>
        <v>-2656</v>
      </c>
      <c r="E74" s="44">
        <f>IFERROR('Cash Flow Data '!F6,0)</f>
        <v>-2853</v>
      </c>
      <c r="F74" s="44">
        <f>IFERROR('Cash Flow Data '!G6,0)</f>
        <v>-3692</v>
      </c>
      <c r="G74" s="44">
        <f>IFERROR('Cash Flow Data '!H6,0)</f>
        <v>-5743</v>
      </c>
      <c r="H74" s="44">
        <f>IFERROR('Cash Flow Data '!I6,0)</f>
        <v>-6621</v>
      </c>
      <c r="I74" s="44">
        <f>IFERROR('Cash Flow Data '!J6,0)</f>
        <v>-3560</v>
      </c>
      <c r="J74" s="44">
        <f>IFERROR('Cash Flow Data '!K6,0)</f>
        <v>2069</v>
      </c>
      <c r="K74" s="44">
        <f>IFERROR('Cash Flow Data '!L6,0)</f>
        <v>2326</v>
      </c>
      <c r="L74" s="44">
        <f>IFERROR('Cash Flow Data '!M6,0)</f>
        <v>3814</v>
      </c>
      <c r="M74" s="44">
        <f>IFERROR('Cash Flow Data '!N6,0)</f>
        <v>597</v>
      </c>
    </row>
    <row r="75" spans="3:14" x14ac:dyDescent="0.25">
      <c r="C75" t="s">
        <v>132</v>
      </c>
      <c r="D75" s="44">
        <f>IFERROR('Cash Flow Data '!E7,0)</f>
        <v>8132</v>
      </c>
      <c r="E75" s="44">
        <f>IFERROR('Cash Flow Data '!F7,0)</f>
        <v>4694</v>
      </c>
      <c r="F75" s="44">
        <f>IFERROR('Cash Flow Data '!G7,0)</f>
        <v>3598</v>
      </c>
      <c r="G75" s="44">
        <f>IFERROR('Cash Flow Data '!H7,0)</f>
        <v>3947</v>
      </c>
      <c r="H75" s="44">
        <f>IFERROR('Cash Flow Data '!I7,0)</f>
        <v>9301</v>
      </c>
      <c r="I75" s="44">
        <f>IFERROR('Cash Flow Data '!J7,0)</f>
        <v>7320</v>
      </c>
      <c r="J75" s="44">
        <f>IFERROR('Cash Flow Data '!K7,0)</f>
        <v>-4692</v>
      </c>
      <c r="K75" s="44">
        <f>IFERROR('Cash Flow Data '!L7,0)</f>
        <v>-8085</v>
      </c>
      <c r="L75" s="44">
        <f>IFERROR('Cash Flow Data '!M7,0)</f>
        <v>5748</v>
      </c>
      <c r="M75" s="44">
        <f>IFERROR('Cash Flow Data '!N7,0)</f>
        <v>-7012</v>
      </c>
    </row>
    <row r="76" spans="3:14" x14ac:dyDescent="0.25">
      <c r="C76" t="s">
        <v>133</v>
      </c>
      <c r="D76" s="44">
        <f>IFERROR('Cash Flow Data '!E8,0)</f>
        <v>0</v>
      </c>
      <c r="E76" s="44">
        <f>IFERROR('Cash Flow Data '!F8,0)</f>
        <v>0</v>
      </c>
      <c r="F76" s="44">
        <f>IFERROR('Cash Flow Data '!G8,0)</f>
        <v>0</v>
      </c>
      <c r="G76" s="44">
        <f>IFERROR('Cash Flow Data '!H8,0)</f>
        <v>-520</v>
      </c>
      <c r="H76" s="44">
        <f>IFERROR('Cash Flow Data '!I8,0)</f>
        <v>0</v>
      </c>
      <c r="I76" s="44">
        <f>IFERROR('Cash Flow Data '!J8,0)</f>
        <v>0</v>
      </c>
      <c r="J76" s="44">
        <f>IFERROR('Cash Flow Data '!K8,0)</f>
        <v>0</v>
      </c>
      <c r="K76" s="44">
        <f>IFERROR('Cash Flow Data '!L8,0)</f>
        <v>0</v>
      </c>
      <c r="L76" s="44">
        <f>IFERROR('Cash Flow Data '!M8,0)</f>
        <v>0</v>
      </c>
      <c r="M76" s="44">
        <f>IFERROR('Cash Flow Data '!N8,0)</f>
        <v>0</v>
      </c>
    </row>
    <row r="77" spans="3:14" x14ac:dyDescent="0.25">
      <c r="C77" t="s">
        <v>134</v>
      </c>
      <c r="D77" s="44">
        <f>IFERROR('Cash Flow Data '!E9,0)</f>
        <v>-303</v>
      </c>
      <c r="E77" s="44">
        <f>IFERROR('Cash Flow Data '!F9,0)</f>
        <v>1870</v>
      </c>
      <c r="F77" s="44">
        <f>IFERROR('Cash Flow Data '!G9,0)</f>
        <v>-398</v>
      </c>
      <c r="G77" s="44">
        <f>IFERROR('Cash Flow Data '!H9,0)</f>
        <v>5852</v>
      </c>
      <c r="H77" s="44">
        <f>IFERROR('Cash Flow Data '!I9,0)</f>
        <v>4727</v>
      </c>
      <c r="I77" s="44">
        <f>IFERROR('Cash Flow Data '!J9,0)</f>
        <v>494</v>
      </c>
      <c r="J77" s="44">
        <f>IFERROR('Cash Flow Data '!K9,0)</f>
        <v>4512</v>
      </c>
      <c r="K77" s="44">
        <f>IFERROR('Cash Flow Data '!L9,0)</f>
        <v>875</v>
      </c>
      <c r="L77" s="44">
        <f>IFERROR('Cash Flow Data '!M9,0)</f>
        <v>-4150</v>
      </c>
      <c r="M77" s="44">
        <f>IFERROR('Cash Flow Data '!N9,0)</f>
        <v>-4396</v>
      </c>
    </row>
    <row r="78" spans="3:14" x14ac:dyDescent="0.25">
      <c r="C78" t="s">
        <v>135</v>
      </c>
      <c r="D78" s="44">
        <f>IFERROR('Cash Flow Data '!E10,0)</f>
        <v>-3</v>
      </c>
      <c r="E78" s="44">
        <f>IFERROR('Cash Flow Data '!F10,0)</f>
        <v>4157</v>
      </c>
      <c r="F78" s="44">
        <f>IFERROR('Cash Flow Data '!G10,0)</f>
        <v>-3672</v>
      </c>
      <c r="G78" s="44">
        <f>IFERROR('Cash Flow Data '!H10,0)</f>
        <v>1313</v>
      </c>
      <c r="H78" s="44">
        <f>IFERROR('Cash Flow Data '!I10,0)</f>
        <v>3254</v>
      </c>
      <c r="I78" s="44">
        <f>IFERROR('Cash Flow Data '!J10,0)</f>
        <v>-6434</v>
      </c>
      <c r="J78" s="44">
        <f>IFERROR('Cash Flow Data '!K10,0)</f>
        <v>-7221</v>
      </c>
      <c r="K78" s="44">
        <f>IFERROR('Cash Flow Data '!L10,0)</f>
        <v>5065</v>
      </c>
      <c r="L78" s="44">
        <f>IFERROR('Cash Flow Data '!M10,0)</f>
        <v>-93</v>
      </c>
      <c r="M78" s="44">
        <f>IFERROR('Cash Flow Data '!N10,0)</f>
        <v>-10474</v>
      </c>
    </row>
    <row r="79" spans="3:14" x14ac:dyDescent="0.25">
      <c r="C79" t="s">
        <v>136</v>
      </c>
      <c r="D79" s="44">
        <f>IFERROR('Cash Flow Data '!E11,0)</f>
        <v>-2240</v>
      </c>
      <c r="E79" s="44">
        <f>IFERROR('Cash Flow Data '!F11,0)</f>
        <v>-4308</v>
      </c>
      <c r="F79" s="44">
        <f>IFERROR('Cash Flow Data '!G11,0)</f>
        <v>-4194</v>
      </c>
      <c r="G79" s="44">
        <f>IFERROR('Cash Flow Data '!H11,0)</f>
        <v>-2040</v>
      </c>
      <c r="H79" s="44">
        <f>IFERROR('Cash Flow Data '!I11,0)</f>
        <v>-1895</v>
      </c>
      <c r="I79" s="44">
        <f>IFERROR('Cash Flow Data '!J11,0)</f>
        <v>-3021</v>
      </c>
      <c r="J79" s="44">
        <f>IFERROR('Cash Flow Data '!K11,0)</f>
        <v>-2659</v>
      </c>
      <c r="K79" s="44">
        <f>IFERROR('Cash Flow Data '!L11,0)</f>
        <v>-1785</v>
      </c>
      <c r="L79" s="44">
        <f>IFERROR('Cash Flow Data '!M11,0)</f>
        <v>-2105</v>
      </c>
      <c r="M79" s="44">
        <f>IFERROR('Cash Flow Data '!N11,0)</f>
        <v>-1910</v>
      </c>
    </row>
    <row r="80" spans="3:14" x14ac:dyDescent="0.25">
      <c r="C80" s="43" t="s">
        <v>137</v>
      </c>
      <c r="D80" s="44">
        <f>SUM(D72:D79)</f>
        <v>22159</v>
      </c>
      <c r="E80" s="44">
        <f t="shared" ref="E80:M80" si="21">SUM(E72:E79)</f>
        <v>40308</v>
      </c>
      <c r="F80" s="44">
        <f t="shared" si="21"/>
        <v>31860</v>
      </c>
      <c r="G80" s="44">
        <f t="shared" si="21"/>
        <v>39212</v>
      </c>
      <c r="H80" s="44">
        <f t="shared" si="21"/>
        <v>33454</v>
      </c>
      <c r="I80" s="44">
        <f t="shared" si="21"/>
        <v>17423</v>
      </c>
      <c r="J80" s="44">
        <f t="shared" si="21"/>
        <v>11671</v>
      </c>
      <c r="K80" s="44">
        <f t="shared" si="21"/>
        <v>31698</v>
      </c>
      <c r="L80" s="44">
        <f t="shared" si="21"/>
        <v>28907</v>
      </c>
      <c r="M80" s="44">
        <f t="shared" si="21"/>
        <v>3808</v>
      </c>
    </row>
    <row r="81" spans="3:15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</row>
    <row r="82" spans="3:15" x14ac:dyDescent="0.25">
      <c r="C82" t="s">
        <v>128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</row>
    <row r="83" spans="3:15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</row>
    <row r="84" spans="3:15" x14ac:dyDescent="0.25">
      <c r="C84" s="42" t="s">
        <v>138</v>
      </c>
      <c r="D84" s="44">
        <f>IFERROR('Cash Flow Data '!E13,0)</f>
        <v>-18863</v>
      </c>
      <c r="E84" s="44">
        <f>IFERROR('Cash Flow Data '!F13,0)</f>
        <v>-26975</v>
      </c>
      <c r="F84" s="44">
        <f>IFERROR('Cash Flow Data '!G13,0)</f>
        <v>-31962</v>
      </c>
      <c r="G84" s="44">
        <f>IFERROR('Cash Flow Data '!H13,0)</f>
        <v>-31503</v>
      </c>
      <c r="H84" s="44">
        <f>IFERROR('Cash Flow Data '!I13,0)</f>
        <v>-16072</v>
      </c>
      <c r="I84" s="44">
        <f>IFERROR('Cash Flow Data '!J13,0)</f>
        <v>-35079</v>
      </c>
      <c r="J84" s="44">
        <f>IFERROR('Cash Flow Data '!K13,0)</f>
        <v>-35304</v>
      </c>
      <c r="K84" s="44">
        <f>IFERROR('Cash Flow Data '!L13,0)</f>
        <v>-29702</v>
      </c>
      <c r="L84" s="44">
        <f>IFERROR('Cash Flow Data '!M13,0)</f>
        <v>-20205</v>
      </c>
      <c r="M84" s="44">
        <f>IFERROR('Cash Flow Data '!N13,0)</f>
        <v>-15168</v>
      </c>
    </row>
    <row r="85" spans="3:15" x14ac:dyDescent="0.25">
      <c r="C85" t="s">
        <v>139</v>
      </c>
      <c r="D85" s="44">
        <f>IFERROR('Cash Flow Data '!E14,0)</f>
        <v>37</v>
      </c>
      <c r="E85" s="44">
        <f>IFERROR('Cash Flow Data '!F14,0)</f>
        <v>50</v>
      </c>
      <c r="F85" s="44">
        <f>IFERROR('Cash Flow Data '!G14,0)</f>
        <v>74</v>
      </c>
      <c r="G85" s="44">
        <f>IFERROR('Cash Flow Data '!H14,0)</f>
        <v>59</v>
      </c>
      <c r="H85" s="44">
        <f>IFERROR('Cash Flow Data '!I14,0)</f>
        <v>53</v>
      </c>
      <c r="I85" s="44">
        <f>IFERROR('Cash Flow Data '!J14,0)</f>
        <v>30</v>
      </c>
      <c r="J85" s="44">
        <f>IFERROR('Cash Flow Data '!K14,0)</f>
        <v>67</v>
      </c>
      <c r="K85" s="44">
        <f>IFERROR('Cash Flow Data '!L14,0)</f>
        <v>171</v>
      </c>
      <c r="L85" s="44">
        <f>IFERROR('Cash Flow Data '!M14,0)</f>
        <v>351</v>
      </c>
      <c r="M85" s="44">
        <f>IFERROR('Cash Flow Data '!N14,0)</f>
        <v>230</v>
      </c>
    </row>
    <row r="86" spans="3:15" x14ac:dyDescent="0.25">
      <c r="C86" t="s">
        <v>140</v>
      </c>
      <c r="D86" s="44">
        <f>IFERROR('Cash Flow Data '!E15,0)</f>
        <v>73</v>
      </c>
      <c r="E86" s="44">
        <f>IFERROR('Cash Flow Data '!F15,0)</f>
        <v>-429</v>
      </c>
      <c r="F86" s="44">
        <f>IFERROR('Cash Flow Data '!G15,0)</f>
        <v>-5461</v>
      </c>
      <c r="G86" s="44">
        <f>IFERROR('Cash Flow Data '!H15,0)</f>
        <v>-4728</v>
      </c>
      <c r="H86" s="44">
        <f>IFERROR('Cash Flow Data '!I15,0)</f>
        <v>-6</v>
      </c>
      <c r="I86" s="44">
        <f>IFERROR('Cash Flow Data '!J15,0)</f>
        <v>-329</v>
      </c>
      <c r="J86" s="44">
        <f>IFERROR('Cash Flow Data '!K15,0)</f>
        <v>-130</v>
      </c>
      <c r="K86" s="44">
        <f>IFERROR('Cash Flow Data '!L15,0)</f>
        <v>-1439</v>
      </c>
      <c r="L86" s="44">
        <f>IFERROR('Cash Flow Data '!M15,0)</f>
        <v>-7530</v>
      </c>
      <c r="M86" s="44">
        <f>IFERROR('Cash Flow Data '!N15,0)</f>
        <v>-3008</v>
      </c>
    </row>
    <row r="87" spans="3:15" x14ac:dyDescent="0.25">
      <c r="C87" t="s">
        <v>141</v>
      </c>
      <c r="D87" s="44">
        <f>IFERROR('Cash Flow Data '!E16,0)</f>
        <v>34</v>
      </c>
      <c r="E87" s="44">
        <f>IFERROR('Cash Flow Data '!F16,0)</f>
        <v>4</v>
      </c>
      <c r="F87" s="44">
        <f>IFERROR('Cash Flow Data '!G16,0)</f>
        <v>42</v>
      </c>
      <c r="G87" s="44">
        <f>IFERROR('Cash Flow Data '!H16,0)</f>
        <v>89</v>
      </c>
      <c r="H87" s="44">
        <f>IFERROR('Cash Flow Data '!I16,0)</f>
        <v>1965</v>
      </c>
      <c r="I87" s="44">
        <f>IFERROR('Cash Flow Data '!J16,0)</f>
        <v>2381</v>
      </c>
      <c r="J87" s="44">
        <f>IFERROR('Cash Flow Data '!K16,0)</f>
        <v>5644</v>
      </c>
      <c r="K87" s="44">
        <f>IFERROR('Cash Flow Data '!L16,0)</f>
        <v>21</v>
      </c>
      <c r="L87" s="44">
        <f>IFERROR('Cash Flow Data '!M16,0)</f>
        <v>226</v>
      </c>
      <c r="M87" s="44">
        <f>IFERROR('Cash Flow Data '!N16,0)</f>
        <v>104</v>
      </c>
    </row>
    <row r="88" spans="3:15" x14ac:dyDescent="0.25">
      <c r="C88" t="s">
        <v>142</v>
      </c>
      <c r="D88" s="44">
        <f>IFERROR('Cash Flow Data '!E17,0)</f>
        <v>713</v>
      </c>
      <c r="E88" s="44">
        <f>IFERROR('Cash Flow Data '!F17,0)</f>
        <v>653</v>
      </c>
      <c r="F88" s="44">
        <f>IFERROR('Cash Flow Data '!G17,0)</f>
        <v>698</v>
      </c>
      <c r="G88" s="44">
        <f>IFERROR('Cash Flow Data '!H17,0)</f>
        <v>731</v>
      </c>
      <c r="H88" s="44">
        <f>IFERROR('Cash Flow Data '!I17,0)</f>
        <v>638</v>
      </c>
      <c r="I88" s="44">
        <f>IFERROR('Cash Flow Data '!J17,0)</f>
        <v>690</v>
      </c>
      <c r="J88" s="44">
        <f>IFERROR('Cash Flow Data '!K17,0)</f>
        <v>761</v>
      </c>
      <c r="K88" s="44">
        <f>IFERROR('Cash Flow Data '!L17,0)</f>
        <v>1104</v>
      </c>
      <c r="L88" s="44">
        <f>IFERROR('Cash Flow Data '!M17,0)</f>
        <v>428</v>
      </c>
      <c r="M88" s="44">
        <f>IFERROR('Cash Flow Data '!N17,0)</f>
        <v>653</v>
      </c>
    </row>
    <row r="89" spans="3:15" x14ac:dyDescent="0.25">
      <c r="C89" t="s">
        <v>143</v>
      </c>
      <c r="D89" s="44">
        <f>IFERROR('Cash Flow Data '!E18,0)</f>
        <v>95</v>
      </c>
      <c r="E89" s="44">
        <f>IFERROR('Cash Flow Data '!F18,0)</f>
        <v>40</v>
      </c>
      <c r="F89" s="44">
        <f>IFERROR('Cash Flow Data '!G18,0)</f>
        <v>80</v>
      </c>
      <c r="G89" s="44">
        <f>IFERROR('Cash Flow Data '!H18,0)</f>
        <v>58</v>
      </c>
      <c r="H89" s="44">
        <f>IFERROR('Cash Flow Data '!I18,0)</f>
        <v>620</v>
      </c>
      <c r="I89" s="44">
        <f>IFERROR('Cash Flow Data '!J18,0)</f>
        <v>1797</v>
      </c>
      <c r="J89" s="44">
        <f>IFERROR('Cash Flow Data '!K18,0)</f>
        <v>232</v>
      </c>
      <c r="K89" s="44">
        <f>IFERROR('Cash Flow Data '!L18,0)</f>
        <v>21</v>
      </c>
      <c r="L89" s="44">
        <f>IFERROR('Cash Flow Data '!M18,0)</f>
        <v>18</v>
      </c>
      <c r="M89" s="44">
        <f>IFERROR('Cash Flow Data '!N18,0)</f>
        <v>32</v>
      </c>
      <c r="O89" s="33"/>
    </row>
    <row r="90" spans="3:15" x14ac:dyDescent="0.25">
      <c r="C90" t="s">
        <v>144</v>
      </c>
      <c r="D90" s="44">
        <f>IFERROR('Cash Flow Data '!E19,0)</f>
        <v>0</v>
      </c>
      <c r="E90" s="44">
        <f>IFERROR('Cash Flow Data '!F19,0)</f>
        <v>0</v>
      </c>
      <c r="F90" s="44">
        <f>IFERROR('Cash Flow Data '!G19,0)</f>
        <v>0</v>
      </c>
      <c r="G90" s="44">
        <f>IFERROR('Cash Flow Data '!H19,0)</f>
        <v>0</v>
      </c>
      <c r="H90" s="44">
        <f>IFERROR('Cash Flow Data '!I19,0)</f>
        <v>0</v>
      </c>
      <c r="I90" s="44">
        <f>IFERROR('Cash Flow Data '!J19,0)</f>
        <v>0</v>
      </c>
      <c r="J90" s="44">
        <f>IFERROR('Cash Flow Data '!K19,0)</f>
        <v>0</v>
      </c>
      <c r="K90" s="44">
        <f>IFERROR('Cash Flow Data '!L19,0)</f>
        <v>0</v>
      </c>
      <c r="L90" s="44">
        <f>IFERROR('Cash Flow Data '!M19,0)</f>
        <v>0</v>
      </c>
      <c r="M90" s="44">
        <f>IFERROR('Cash Flow Data '!N19,0)</f>
        <v>0</v>
      </c>
    </row>
    <row r="91" spans="3:15" x14ac:dyDescent="0.25">
      <c r="C91" t="s">
        <v>145</v>
      </c>
      <c r="D91" s="44">
        <f>IFERROR('Cash Flow Data '!E20,0)</f>
        <v>0</v>
      </c>
      <c r="E91" s="44">
        <f>IFERROR('Cash Flow Data '!F20,0)</f>
        <v>0</v>
      </c>
      <c r="F91" s="44">
        <f>IFERROR('Cash Flow Data '!G20,0)</f>
        <v>-160</v>
      </c>
      <c r="G91" s="44">
        <f>IFERROR('Cash Flow Data '!H20,0)</f>
        <v>0</v>
      </c>
      <c r="H91" s="44">
        <f>IFERROR('Cash Flow Data '!I20,0)</f>
        <v>-107</v>
      </c>
      <c r="I91" s="44">
        <f>IFERROR('Cash Flow Data '!J20,0)</f>
        <v>-4</v>
      </c>
      <c r="J91" s="44">
        <f>IFERROR('Cash Flow Data '!K20,0)</f>
        <v>-9</v>
      </c>
      <c r="K91" s="44">
        <f>IFERROR('Cash Flow Data '!L20,0)</f>
        <v>-606</v>
      </c>
      <c r="L91" s="44">
        <f>IFERROR('Cash Flow Data '!M20,0)</f>
        <v>-10</v>
      </c>
      <c r="M91" s="44">
        <f>IFERROR('Cash Flow Data '!N20,0)</f>
        <v>0</v>
      </c>
    </row>
    <row r="92" spans="3:15" x14ac:dyDescent="0.25">
      <c r="C92" t="s">
        <v>146</v>
      </c>
      <c r="D92" s="44">
        <f>IFERROR('Cash Flow Data '!E21,0)</f>
        <v>0</v>
      </c>
      <c r="E92" s="44">
        <f>IFERROR('Cash Flow Data '!F21,0)</f>
        <v>0</v>
      </c>
      <c r="F92" s="44">
        <f>IFERROR('Cash Flow Data '!G21,0)</f>
        <v>0</v>
      </c>
      <c r="G92" s="44">
        <f>IFERROR('Cash Flow Data '!H21,0)</f>
        <v>0</v>
      </c>
      <c r="H92" s="44">
        <f>IFERROR('Cash Flow Data '!I21,0)</f>
        <v>0</v>
      </c>
      <c r="I92" s="44">
        <f>IFERROR('Cash Flow Data '!J21,0)</f>
        <v>14</v>
      </c>
      <c r="J92" s="44">
        <f>IFERROR('Cash Flow Data '!K21,0)</f>
        <v>533</v>
      </c>
      <c r="K92" s="44">
        <f>IFERROR('Cash Flow Data '!L21,0)</f>
        <v>0</v>
      </c>
      <c r="L92" s="44">
        <f>IFERROR('Cash Flow Data '!M21,0)</f>
        <v>0</v>
      </c>
      <c r="M92" s="44">
        <f>IFERROR('Cash Flow Data '!N21,0)</f>
        <v>0</v>
      </c>
    </row>
    <row r="93" spans="3:15" x14ac:dyDescent="0.25">
      <c r="C93" t="s">
        <v>115</v>
      </c>
      <c r="D93" s="44">
        <f>IFERROR('Cash Flow Data '!E22,0)</f>
        <v>0</v>
      </c>
      <c r="E93" s="44">
        <f>IFERROR('Cash Flow Data '!F22,0)</f>
        <v>-185</v>
      </c>
      <c r="F93" s="44">
        <f>IFERROR('Cash Flow Data '!G22,0)</f>
        <v>0</v>
      </c>
      <c r="G93" s="44">
        <f>IFERROR('Cash Flow Data '!H22,0)</f>
        <v>-111</v>
      </c>
      <c r="H93" s="44">
        <f>IFERROR('Cash Flow Data '!I22,0)</f>
        <v>0</v>
      </c>
      <c r="I93" s="44">
        <f>IFERROR('Cash Flow Data '!J22,0)</f>
        <v>0</v>
      </c>
      <c r="J93" s="44">
        <f>IFERROR('Cash Flow Data '!K22,0)</f>
        <v>-8</v>
      </c>
      <c r="K93" s="44">
        <f>IFERROR('Cash Flow Data '!L22,0)</f>
        <v>-27</v>
      </c>
      <c r="L93" s="44">
        <f>IFERROR('Cash Flow Data '!M22,0)</f>
        <v>0</v>
      </c>
      <c r="M93" s="44">
        <f>IFERROR('Cash Flow Data '!N22,0)</f>
        <v>-98</v>
      </c>
    </row>
    <row r="94" spans="3:15" x14ac:dyDescent="0.25">
      <c r="C94" t="s">
        <v>147</v>
      </c>
      <c r="D94" s="44">
        <f>IFERROR('Cash Flow Data '!E23,0)</f>
        <v>45</v>
      </c>
      <c r="E94" s="44">
        <f>IFERROR('Cash Flow Data '!F23,0)</f>
        <v>0</v>
      </c>
      <c r="F94" s="44">
        <f>IFERROR('Cash Flow Data '!G23,0)</f>
        <v>0</v>
      </c>
      <c r="G94" s="44">
        <f>IFERROR('Cash Flow Data '!H23,0)</f>
        <v>0</v>
      </c>
      <c r="H94" s="44">
        <f>IFERROR('Cash Flow Data '!I23,0)</f>
        <v>0</v>
      </c>
      <c r="I94" s="44">
        <f>IFERROR('Cash Flow Data '!J23,0)</f>
        <v>0</v>
      </c>
      <c r="J94" s="44">
        <f>IFERROR('Cash Flow Data '!K23,0)</f>
        <v>0</v>
      </c>
      <c r="K94" s="44">
        <f>IFERROR('Cash Flow Data '!L23,0)</f>
        <v>0</v>
      </c>
      <c r="L94" s="44">
        <f>IFERROR('Cash Flow Data '!M23,0)</f>
        <v>0</v>
      </c>
      <c r="M94" s="44">
        <f>IFERROR('Cash Flow Data '!N23,0)</f>
        <v>0</v>
      </c>
    </row>
    <row r="95" spans="3:15" x14ac:dyDescent="0.25">
      <c r="C95" s="43" t="s">
        <v>148</v>
      </c>
      <c r="D95" s="44">
        <f>SUM(D84:D94)</f>
        <v>-17866</v>
      </c>
      <c r="E95" s="44">
        <f t="shared" ref="E95:M95" si="22">SUM(E84:E94)</f>
        <v>-26842</v>
      </c>
      <c r="F95" s="44">
        <f t="shared" si="22"/>
        <v>-36689</v>
      </c>
      <c r="G95" s="44">
        <f t="shared" si="22"/>
        <v>-35405</v>
      </c>
      <c r="H95" s="44">
        <f t="shared" si="22"/>
        <v>-12909</v>
      </c>
      <c r="I95" s="44">
        <f t="shared" si="22"/>
        <v>-30500</v>
      </c>
      <c r="J95" s="44">
        <f t="shared" si="22"/>
        <v>-28214</v>
      </c>
      <c r="K95" s="44">
        <f t="shared" si="22"/>
        <v>-30457</v>
      </c>
      <c r="L95" s="44">
        <f t="shared" si="22"/>
        <v>-26722</v>
      </c>
      <c r="M95" s="44">
        <f t="shared" si="22"/>
        <v>-17255</v>
      </c>
    </row>
    <row r="96" spans="3:15" x14ac:dyDescent="0.25">
      <c r="D96" s="44"/>
      <c r="E96" s="44"/>
      <c r="F96" s="44"/>
      <c r="G96" s="44"/>
      <c r="H96" s="44"/>
      <c r="I96" s="44"/>
      <c r="J96" s="44"/>
      <c r="K96" s="44"/>
      <c r="L96" s="44"/>
      <c r="M96" s="44"/>
    </row>
    <row r="97" spans="3:13" x14ac:dyDescent="0.25">
      <c r="C97" t="s">
        <v>149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</row>
    <row r="98" spans="3:13" x14ac:dyDescent="0.25">
      <c r="D98" s="44"/>
      <c r="E98" s="44"/>
      <c r="F98" s="44"/>
      <c r="G98" s="44"/>
      <c r="H98" s="44"/>
      <c r="I98" s="44"/>
      <c r="J98" s="44"/>
      <c r="K98" s="44"/>
      <c r="L98" s="44"/>
      <c r="M98" s="44"/>
    </row>
    <row r="99" spans="3:13" x14ac:dyDescent="0.25">
      <c r="C99" t="s">
        <v>150</v>
      </c>
      <c r="D99" s="44">
        <f>IFERROR('Cash Flow Data '!E26,0)</f>
        <v>1</v>
      </c>
      <c r="E99" s="44">
        <f>IFERROR('Cash Flow Data '!F26,0)</f>
        <v>0</v>
      </c>
      <c r="F99" s="44">
        <f>IFERROR('Cash Flow Data '!G26,0)</f>
        <v>0</v>
      </c>
      <c r="G99" s="44">
        <f>IFERROR('Cash Flow Data '!H26,0)</f>
        <v>7433</v>
      </c>
      <c r="H99" s="44">
        <f>IFERROR('Cash Flow Data '!I26,0)</f>
        <v>5</v>
      </c>
      <c r="I99" s="44">
        <f>IFERROR('Cash Flow Data '!J26,0)</f>
        <v>0</v>
      </c>
      <c r="J99" s="44">
        <f>IFERROR('Cash Flow Data '!K26,0)</f>
        <v>0</v>
      </c>
      <c r="K99" s="44">
        <f>IFERROR('Cash Flow Data '!L26,0)</f>
        <v>3889</v>
      </c>
      <c r="L99" s="44">
        <f>IFERROR('Cash Flow Data '!M26,0)</f>
        <v>2603</v>
      </c>
      <c r="M99" s="44">
        <f>IFERROR('Cash Flow Data '!N26,0)</f>
        <v>19</v>
      </c>
    </row>
    <row r="100" spans="3:13" x14ac:dyDescent="0.25">
      <c r="C100" t="s">
        <v>151</v>
      </c>
      <c r="D100" s="44">
        <f>IFERROR('Cash Flow Data '!E27,0)</f>
        <v>-97</v>
      </c>
      <c r="E100" s="44">
        <f>IFERROR('Cash Flow Data '!F27,0)</f>
        <v>-658</v>
      </c>
      <c r="F100" s="44">
        <f>IFERROR('Cash Flow Data '!G27,0)</f>
        <v>-744</v>
      </c>
      <c r="G100" s="44">
        <f>IFERROR('Cash Flow Data '!H27,0)</f>
        <v>0</v>
      </c>
      <c r="H100" s="44">
        <f>IFERROR('Cash Flow Data '!I27,0)</f>
        <v>0</v>
      </c>
      <c r="I100" s="44">
        <f>IFERROR('Cash Flow Data '!J27,0)</f>
        <v>0</v>
      </c>
      <c r="J100" s="44">
        <f>IFERROR('Cash Flow Data '!K27,0)</f>
        <v>0</v>
      </c>
      <c r="K100" s="44">
        <f>IFERROR('Cash Flow Data '!L27,0)</f>
        <v>0</v>
      </c>
      <c r="L100" s="44">
        <f>IFERROR('Cash Flow Data '!M27,0)</f>
        <v>0</v>
      </c>
      <c r="M100" s="44">
        <f>IFERROR('Cash Flow Data '!N27,0)</f>
        <v>0</v>
      </c>
    </row>
    <row r="101" spans="3:13" x14ac:dyDescent="0.25">
      <c r="C101" t="s">
        <v>152</v>
      </c>
      <c r="D101" s="44">
        <f>IFERROR('Cash Flow Data '!E28,0)</f>
        <v>27863</v>
      </c>
      <c r="E101" s="44">
        <f>IFERROR('Cash Flow Data '!F28,0)</f>
        <v>33258</v>
      </c>
      <c r="F101" s="44">
        <f>IFERROR('Cash Flow Data '!G28,0)</f>
        <v>36363</v>
      </c>
      <c r="G101" s="44">
        <f>IFERROR('Cash Flow Data '!H28,0)</f>
        <v>19519</v>
      </c>
      <c r="H101" s="44">
        <f>IFERROR('Cash Flow Data '!I28,0)</f>
        <v>33390</v>
      </c>
      <c r="I101" s="44">
        <f>IFERROR('Cash Flow Data '!J28,0)</f>
        <v>37482</v>
      </c>
      <c r="J101" s="44">
        <f>IFERROR('Cash Flow Data '!K28,0)</f>
        <v>51128</v>
      </c>
      <c r="K101" s="44">
        <f>IFERROR('Cash Flow Data '!L28,0)</f>
        <v>38297</v>
      </c>
      <c r="L101" s="44">
        <f>IFERROR('Cash Flow Data '!M28,0)</f>
        <v>46641</v>
      </c>
      <c r="M101" s="44">
        <f>IFERROR('Cash Flow Data '!N28,0)</f>
        <v>46578</v>
      </c>
    </row>
    <row r="102" spans="3:13" x14ac:dyDescent="0.25">
      <c r="C102" t="s">
        <v>153</v>
      </c>
      <c r="D102" s="44">
        <f>IFERROR('Cash Flow Data '!E29,0)</f>
        <v>-20395</v>
      </c>
      <c r="E102" s="44">
        <f>IFERROR('Cash Flow Data '!F29,0)</f>
        <v>-29141</v>
      </c>
      <c r="F102" s="44">
        <f>IFERROR('Cash Flow Data '!G29,0)</f>
        <v>-23332</v>
      </c>
      <c r="G102" s="44">
        <f>IFERROR('Cash Flow Data '!H29,0)</f>
        <v>-24924</v>
      </c>
      <c r="H102" s="44">
        <f>IFERROR('Cash Flow Data '!I29,0)</f>
        <v>-21732</v>
      </c>
      <c r="I102" s="44">
        <f>IFERROR('Cash Flow Data '!J29,0)</f>
        <v>-29964</v>
      </c>
      <c r="J102" s="44">
        <f>IFERROR('Cash Flow Data '!K29,0)</f>
        <v>-35198</v>
      </c>
      <c r="K102" s="44">
        <f>IFERROR('Cash Flow Data '!L29,0)</f>
        <v>-29847</v>
      </c>
      <c r="L102" s="44">
        <f>IFERROR('Cash Flow Data '!M29,0)</f>
        <v>-29709</v>
      </c>
      <c r="M102" s="44">
        <f>IFERROR('Cash Flow Data '!N29,0)</f>
        <v>-42816</v>
      </c>
    </row>
    <row r="103" spans="3:13" x14ac:dyDescent="0.25">
      <c r="C103" t="s">
        <v>154</v>
      </c>
      <c r="D103" s="44">
        <f>IFERROR('Cash Flow Data '!E30,0)</f>
        <v>0</v>
      </c>
      <c r="E103" s="44">
        <f>IFERROR('Cash Flow Data '!F30,0)</f>
        <v>0</v>
      </c>
      <c r="F103" s="44">
        <f>IFERROR('Cash Flow Data '!G30,0)</f>
        <v>0</v>
      </c>
      <c r="G103" s="44">
        <f>IFERROR('Cash Flow Data '!H30,0)</f>
        <v>0</v>
      </c>
      <c r="H103" s="44">
        <f>IFERROR('Cash Flow Data '!I30,0)</f>
        <v>0</v>
      </c>
      <c r="I103" s="44">
        <f>IFERROR('Cash Flow Data '!J30,0)</f>
        <v>0</v>
      </c>
      <c r="J103" s="44">
        <f>IFERROR('Cash Flow Data '!K30,0)</f>
        <v>0</v>
      </c>
      <c r="K103" s="44">
        <f>IFERROR('Cash Flow Data '!L30,0)</f>
        <v>0</v>
      </c>
      <c r="L103" s="44">
        <f>IFERROR('Cash Flow Data '!M30,0)</f>
        <v>0</v>
      </c>
      <c r="M103" s="44">
        <f>IFERROR('Cash Flow Data '!N30,0)</f>
        <v>0</v>
      </c>
    </row>
    <row r="104" spans="3:13" x14ac:dyDescent="0.25">
      <c r="C104" t="s">
        <v>155</v>
      </c>
      <c r="D104" s="44">
        <f>IFERROR('Cash Flow Data '!E31,0)</f>
        <v>-4666</v>
      </c>
      <c r="E104" s="44">
        <f>IFERROR('Cash Flow Data '!F31,0)</f>
        <v>-6171</v>
      </c>
      <c r="F104" s="44">
        <f>IFERROR('Cash Flow Data '!G31,0)</f>
        <v>-6307</v>
      </c>
      <c r="G104" s="44">
        <f>IFERROR('Cash Flow Data '!H31,0)</f>
        <v>-5716</v>
      </c>
      <c r="H104" s="44">
        <f>IFERROR('Cash Flow Data '!I31,0)</f>
        <v>-5336</v>
      </c>
      <c r="I104" s="44">
        <f>IFERROR('Cash Flow Data '!J31,0)</f>
        <v>-5411</v>
      </c>
      <c r="J104" s="44">
        <f>IFERROR('Cash Flow Data '!K31,0)</f>
        <v>-7005</v>
      </c>
      <c r="K104" s="44">
        <f>IFERROR('Cash Flow Data '!L31,0)</f>
        <v>-7518</v>
      </c>
      <c r="L104" s="44">
        <f>IFERROR('Cash Flow Data '!M31,0)</f>
        <v>-8123</v>
      </c>
      <c r="M104" s="44">
        <f>IFERROR('Cash Flow Data '!N31,0)</f>
        <v>-9251</v>
      </c>
    </row>
    <row r="105" spans="3:13" x14ac:dyDescent="0.25">
      <c r="C105" t="s">
        <v>156</v>
      </c>
      <c r="D105" s="44">
        <f>IFERROR('Cash Flow Data '!E32,0)</f>
        <v>-1551</v>
      </c>
      <c r="E105" s="44">
        <f>IFERROR('Cash Flow Data '!F32,0)</f>
        <v>-722</v>
      </c>
      <c r="F105" s="44">
        <f>IFERROR('Cash Flow Data '!G32,0)</f>
        <v>-720</v>
      </c>
      <c r="G105" s="44">
        <f>IFERROR('Cash Flow Data '!H32,0)</f>
        <v>-108</v>
      </c>
      <c r="H105" s="44">
        <f>IFERROR('Cash Flow Data '!I32,0)</f>
        <v>-121</v>
      </c>
      <c r="I105" s="44">
        <f>IFERROR('Cash Flow Data '!J32,0)</f>
        <v>-96</v>
      </c>
      <c r="J105" s="44">
        <f>IFERROR('Cash Flow Data '!K32,0)</f>
        <v>-95</v>
      </c>
      <c r="K105" s="44">
        <f>IFERROR('Cash Flow Data '!L32,0)</f>
        <v>-57</v>
      </c>
      <c r="L105" s="44">
        <f>IFERROR('Cash Flow Data '!M32,0)</f>
        <v>-30</v>
      </c>
      <c r="M105" s="44">
        <f>IFERROR('Cash Flow Data '!N32,0)</f>
        <v>-100</v>
      </c>
    </row>
    <row r="106" spans="3:13" x14ac:dyDescent="0.25">
      <c r="C106" t="s">
        <v>157</v>
      </c>
      <c r="D106" s="44">
        <f>IFERROR('Cash Flow Data '!E33,0)</f>
        <v>0</v>
      </c>
      <c r="E106" s="44">
        <f>IFERROR('Cash Flow Data '!F33,0)</f>
        <v>0</v>
      </c>
      <c r="F106" s="44">
        <f>IFERROR('Cash Flow Data '!G33,0)</f>
        <v>0</v>
      </c>
      <c r="G106" s="44">
        <f>IFERROR('Cash Flow Data '!H33,0)</f>
        <v>0</v>
      </c>
      <c r="H106" s="44">
        <f>IFERROR('Cash Flow Data '!I33,0)</f>
        <v>0</v>
      </c>
      <c r="I106" s="44">
        <f>IFERROR('Cash Flow Data '!J33,0)</f>
        <v>0</v>
      </c>
      <c r="J106" s="44">
        <f>IFERROR('Cash Flow Data '!K33,0)</f>
        <v>0</v>
      </c>
      <c r="K106" s="44">
        <f>IFERROR('Cash Flow Data '!L33,0)</f>
        <v>-1346</v>
      </c>
      <c r="L106" s="44">
        <f>IFERROR('Cash Flow Data '!M33,0)</f>
        <v>-1477</v>
      </c>
      <c r="M106" s="44">
        <f>IFERROR('Cash Flow Data '!N33,0)</f>
        <v>-1559</v>
      </c>
    </row>
    <row r="107" spans="3:13" x14ac:dyDescent="0.25">
      <c r="C107" s="43" t="s">
        <v>158</v>
      </c>
      <c r="D107" s="44">
        <f>SUM(D99:D106)</f>
        <v>1155</v>
      </c>
      <c r="E107" s="44">
        <f t="shared" ref="E107:M107" si="23">SUM(E99:E106)</f>
        <v>-3434</v>
      </c>
      <c r="F107" s="44">
        <f t="shared" si="23"/>
        <v>5260</v>
      </c>
      <c r="G107" s="44">
        <f t="shared" si="23"/>
        <v>-3796</v>
      </c>
      <c r="H107" s="44">
        <f t="shared" si="23"/>
        <v>6206</v>
      </c>
      <c r="I107" s="44">
        <f t="shared" si="23"/>
        <v>2011</v>
      </c>
      <c r="J107" s="44">
        <f t="shared" si="23"/>
        <v>8830</v>
      </c>
      <c r="K107" s="44">
        <f t="shared" si="23"/>
        <v>3418</v>
      </c>
      <c r="L107" s="44">
        <f t="shared" si="23"/>
        <v>9905</v>
      </c>
      <c r="M107" s="44">
        <f t="shared" si="23"/>
        <v>-7129</v>
      </c>
    </row>
    <row r="108" spans="3:13" x14ac:dyDescent="0.25">
      <c r="D108" s="44"/>
      <c r="E108" s="44"/>
      <c r="F108" s="44"/>
      <c r="G108" s="44"/>
      <c r="H108" s="44"/>
      <c r="I108" s="44"/>
      <c r="J108" s="44"/>
      <c r="K108" s="44"/>
      <c r="L108" s="44"/>
      <c r="M108" s="44"/>
    </row>
    <row r="109" spans="3:13" x14ac:dyDescent="0.25">
      <c r="C109" s="43" t="s">
        <v>129</v>
      </c>
      <c r="D109" s="44" cm="1">
        <f t="array" ref="D109">SUM(D80+D95:D96+D107)</f>
        <v>28762</v>
      </c>
      <c r="E109" s="44" cm="1">
        <f t="array" ref="E109">SUM(E80+E95:E96+E107)</f>
        <v>46906</v>
      </c>
      <c r="F109" s="44" cm="1">
        <f t="array" ref="F109">SUM(F80+F95:F96+F107)</f>
        <v>37551</v>
      </c>
      <c r="G109" s="44" cm="1">
        <f t="array" ref="G109">SUM(G80+G95:G96+G107)</f>
        <v>35427</v>
      </c>
      <c r="H109" s="44" cm="1">
        <f t="array" ref="H109">SUM(H80+H95:H96+H107)</f>
        <v>66411</v>
      </c>
      <c r="I109" s="44" cm="1">
        <f t="array" ref="I109">SUM(I80+I95:I96+I107)</f>
        <v>8368</v>
      </c>
      <c r="J109" s="44" cm="1">
        <f t="array" ref="J109">SUM(J80+J95:J96+J107)</f>
        <v>12788</v>
      </c>
      <c r="K109" s="44" cm="1">
        <f t="array" ref="K109">SUM(K80+K95:K96+K107)</f>
        <v>39775</v>
      </c>
      <c r="L109" s="44" cm="1">
        <f t="array" ref="L109">SUM(L80+L95:L96+L107)</f>
        <v>50902</v>
      </c>
      <c r="M109" s="44" cm="1">
        <f t="array" ref="M109">SUM(M80+M95:M96+M107)</f>
        <v>-23897</v>
      </c>
    </row>
    <row r="110" spans="3:13" x14ac:dyDescent="0.25">
      <c r="D110" s="44"/>
      <c r="E110" s="44"/>
      <c r="F110" s="44"/>
      <c r="G110" s="44"/>
      <c r="H110" s="44"/>
      <c r="I110" s="44"/>
      <c r="J110" s="44"/>
      <c r="K110" s="44"/>
      <c r="L110" s="44"/>
      <c r="M110" s="44"/>
    </row>
  </sheetData>
  <mergeCells count="1">
    <mergeCell ref="B1:N1"/>
  </mergeCells>
  <pageMargins left="0.7" right="0.7" top="0.75" bottom="0.75" header="0.3" footer="0.3"/>
  <ignoredErrors>
    <ignoredError sqref="N9 N6 D15 E15:M15 N18 N21 N24 N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8143-016A-4C11-9928-B692A68F103D}">
  <dimension ref="A3:AB96"/>
  <sheetViews>
    <sheetView topLeftCell="C58" zoomScale="91" zoomScaleNormal="55" workbookViewId="0">
      <selection activeCell="C40" sqref="C39:C40"/>
    </sheetView>
  </sheetViews>
  <sheetFormatPr defaultRowHeight="13.8" x14ac:dyDescent="0.25"/>
  <cols>
    <col min="1" max="1" width="8.7265625" hidden="1" customWidth="1"/>
    <col min="2" max="2" width="1.36328125" hidden="1" customWidth="1"/>
    <col min="3" max="3" width="20.26953125" customWidth="1"/>
    <col min="4" max="4" width="17.90625" customWidth="1"/>
  </cols>
  <sheetData>
    <row r="3" spans="3:28" ht="14.4" thickBot="1" x14ac:dyDescent="0.3"/>
    <row r="4" spans="3:28" ht="27.6" thickBot="1" x14ac:dyDescent="0.35">
      <c r="C4" s="1" t="s">
        <v>0</v>
      </c>
      <c r="D4" s="2" t="s">
        <v>1</v>
      </c>
      <c r="E4" s="3"/>
      <c r="F4" s="3"/>
      <c r="G4" s="12"/>
      <c r="H4" s="13"/>
      <c r="I4" s="13"/>
      <c r="J4" s="13"/>
      <c r="K4" s="13"/>
      <c r="L4" s="13"/>
      <c r="M4" s="1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3:28" ht="27.6" customHeight="1" thickBot="1" x14ac:dyDescent="0.35">
      <c r="C5" s="1" t="s">
        <v>2</v>
      </c>
      <c r="D5" s="4">
        <v>2.1</v>
      </c>
      <c r="E5" s="3"/>
      <c r="F5" s="3"/>
      <c r="G5" s="15" t="s">
        <v>3</v>
      </c>
      <c r="H5" s="16"/>
      <c r="I5" s="16"/>
      <c r="J5" s="16"/>
      <c r="K5" s="16"/>
      <c r="L5" s="16"/>
      <c r="M5" s="1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3:28" ht="27.6" thickBot="1" x14ac:dyDescent="0.35">
      <c r="C6" s="1" t="s">
        <v>4</v>
      </c>
      <c r="D6" s="4">
        <v>2.1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3:28" ht="15" thickBot="1" x14ac:dyDescent="0.3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3:28" ht="15" thickBot="1" x14ac:dyDescent="0.35">
      <c r="C8" s="1" t="s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3:28" ht="27.6" thickBot="1" x14ac:dyDescent="0.35">
      <c r="C9" s="5" t="s">
        <v>6</v>
      </c>
      <c r="D9" s="4">
        <v>358.59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3:28" ht="15" thickBot="1" x14ac:dyDescent="0.35">
      <c r="C10" s="5" t="s">
        <v>7</v>
      </c>
      <c r="D10" s="4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3:28" ht="27.6" thickBot="1" x14ac:dyDescent="0.35">
      <c r="C11" s="5" t="s">
        <v>8</v>
      </c>
      <c r="D11" s="4">
        <v>411.5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3:28" ht="40.799999999999997" thickBot="1" x14ac:dyDescent="0.35">
      <c r="C12" s="5" t="s">
        <v>9</v>
      </c>
      <c r="D12" s="4">
        <v>147559.41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3:28" ht="15" thickBot="1" x14ac:dyDescent="0.3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3:28" ht="15" thickBot="1" x14ac:dyDescent="0.3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3:28" ht="15" thickBot="1" x14ac:dyDescent="0.3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3:28" ht="15" thickBot="1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3:28" ht="15" thickBot="1" x14ac:dyDescent="0.3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3:28" ht="27.6" thickBot="1" x14ac:dyDescent="0.35">
      <c r="C18" s="1" t="s">
        <v>10</v>
      </c>
      <c r="D18" s="6">
        <v>32432.080000000002</v>
      </c>
      <c r="E18" s="3"/>
      <c r="F18" s="3"/>
      <c r="G18" s="3"/>
      <c r="H18" s="3"/>
      <c r="I18" s="3"/>
      <c r="J18" s="3"/>
      <c r="K18" s="3"/>
      <c r="L18" s="3"/>
      <c r="M18" s="6">
        <v>29129.19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3:28" ht="27.6" thickBot="1" x14ac:dyDescent="0.35">
      <c r="C19" s="7" t="s">
        <v>11</v>
      </c>
      <c r="D19" s="9">
        <v>41334</v>
      </c>
      <c r="E19" s="9">
        <v>41699</v>
      </c>
      <c r="F19" s="9">
        <v>42064</v>
      </c>
      <c r="G19" s="9">
        <v>42430</v>
      </c>
      <c r="H19" s="9">
        <v>42795</v>
      </c>
      <c r="I19" s="9">
        <v>43160</v>
      </c>
      <c r="J19" s="9">
        <v>43525</v>
      </c>
      <c r="K19" s="9">
        <v>43891</v>
      </c>
      <c r="L19" s="9">
        <v>44256</v>
      </c>
      <c r="M19" s="9">
        <v>44621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3:28" ht="15" thickBot="1" x14ac:dyDescent="0.35">
      <c r="C20" s="5" t="s">
        <v>12</v>
      </c>
      <c r="D20" s="4">
        <v>188792.69</v>
      </c>
      <c r="E20" s="4">
        <v>232833.66</v>
      </c>
      <c r="F20" s="4">
        <v>263158.98</v>
      </c>
      <c r="G20" s="4">
        <v>273045.59999999998</v>
      </c>
      <c r="H20" s="4">
        <v>269692.51</v>
      </c>
      <c r="I20" s="4">
        <v>291550.48</v>
      </c>
      <c r="J20" s="4">
        <v>301938.40000000002</v>
      </c>
      <c r="K20" s="4">
        <v>261067.97</v>
      </c>
      <c r="L20" s="4">
        <v>249794.75</v>
      </c>
      <c r="M20" s="4">
        <v>278453.62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3:28" ht="40.799999999999997" thickBot="1" x14ac:dyDescent="0.35">
      <c r="C21" s="5" t="s">
        <v>13</v>
      </c>
      <c r="D21" s="10">
        <v>123117.34</v>
      </c>
      <c r="E21" s="10">
        <v>146426.99</v>
      </c>
      <c r="F21" s="10">
        <v>163250.35999999999</v>
      </c>
      <c r="G21" s="10">
        <v>166134.01</v>
      </c>
      <c r="H21" s="10">
        <v>173294.07999999999</v>
      </c>
      <c r="I21" s="10">
        <v>187896.58</v>
      </c>
      <c r="J21" s="10">
        <v>194267.91</v>
      </c>
      <c r="K21" s="10">
        <v>164899.82</v>
      </c>
      <c r="L21" s="10">
        <v>153607.35999999999</v>
      </c>
      <c r="M21" s="10">
        <v>179295.33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3:28" ht="27.6" thickBot="1" x14ac:dyDescent="0.35">
      <c r="C22" s="5" t="s">
        <v>14</v>
      </c>
      <c r="D22" s="10">
        <v>3029.29</v>
      </c>
      <c r="E22" s="10">
        <v>2840.58</v>
      </c>
      <c r="F22" s="10">
        <v>3330.35</v>
      </c>
      <c r="G22" s="10">
        <v>2750.99</v>
      </c>
      <c r="H22" s="10">
        <v>7399.92</v>
      </c>
      <c r="I22" s="10">
        <v>2046.58</v>
      </c>
      <c r="J22" s="10">
        <v>-2053.2800000000002</v>
      </c>
      <c r="K22" s="10">
        <v>-2231.19</v>
      </c>
      <c r="L22" s="10">
        <v>-4684.16</v>
      </c>
      <c r="M22" s="10">
        <v>-1590.49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3:28" ht="27.6" thickBot="1" x14ac:dyDescent="0.35">
      <c r="C23" s="5" t="s">
        <v>15</v>
      </c>
      <c r="D23" s="4">
        <v>1077.77</v>
      </c>
      <c r="E23" s="4">
        <v>1128.69</v>
      </c>
      <c r="F23" s="4">
        <v>1121.75</v>
      </c>
      <c r="G23" s="4">
        <v>1143.6300000000001</v>
      </c>
      <c r="H23" s="4">
        <v>1159.82</v>
      </c>
      <c r="I23" s="4">
        <v>1308.08</v>
      </c>
      <c r="J23" s="4">
        <v>1585.93</v>
      </c>
      <c r="K23" s="4">
        <v>1264.95</v>
      </c>
      <c r="L23" s="4">
        <v>1112.8699999999999</v>
      </c>
      <c r="M23" s="4">
        <v>2178.29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3:28" ht="27.6" thickBot="1" x14ac:dyDescent="0.35">
      <c r="C24" s="5" t="s">
        <v>16</v>
      </c>
      <c r="D24" s="4">
        <v>4440.7299999999996</v>
      </c>
      <c r="E24" s="4">
        <v>13806.04</v>
      </c>
      <c r="F24" s="4">
        <v>16173.17</v>
      </c>
      <c r="G24" s="4">
        <v>12101.53</v>
      </c>
      <c r="H24" s="4">
        <v>10067.370000000001</v>
      </c>
      <c r="I24" s="4">
        <v>10971.66</v>
      </c>
      <c r="J24" s="4">
        <v>11694.54</v>
      </c>
      <c r="K24" s="4">
        <v>11541.51</v>
      </c>
      <c r="L24" s="4">
        <v>8273.17</v>
      </c>
      <c r="M24" s="4">
        <v>9427.3799999999992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3:28" ht="27.6" thickBot="1" x14ac:dyDescent="0.35">
      <c r="C25" s="5" t="s">
        <v>17</v>
      </c>
      <c r="D25" s="4">
        <v>16632.189999999999</v>
      </c>
      <c r="E25" s="4">
        <v>21609.919999999998</v>
      </c>
      <c r="F25" s="4">
        <v>25641.95</v>
      </c>
      <c r="G25" s="4">
        <v>28880.89</v>
      </c>
      <c r="H25" s="4">
        <v>28332.89</v>
      </c>
      <c r="I25" s="4">
        <v>30300.09</v>
      </c>
      <c r="J25" s="4">
        <v>33243.870000000003</v>
      </c>
      <c r="K25" s="4">
        <v>30438.6</v>
      </c>
      <c r="L25" s="4">
        <v>27648.48</v>
      </c>
      <c r="M25" s="4">
        <v>30808.52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3:28" ht="27.6" thickBot="1" x14ac:dyDescent="0.35">
      <c r="C26" s="5" t="s">
        <v>18</v>
      </c>
      <c r="D26" s="4">
        <v>16632.91</v>
      </c>
      <c r="E26" s="4">
        <v>22357.79</v>
      </c>
      <c r="F26" s="4">
        <v>23603.01</v>
      </c>
      <c r="G26" s="4">
        <v>21991.9</v>
      </c>
      <c r="H26" s="4">
        <v>30039.38</v>
      </c>
      <c r="I26" s="4">
        <v>31004.58</v>
      </c>
      <c r="J26" s="4">
        <v>32719.8</v>
      </c>
      <c r="K26" s="4">
        <v>29248.32</v>
      </c>
      <c r="L26" s="4">
        <v>23015.79</v>
      </c>
      <c r="M26" s="4">
        <v>29205.4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3:28" ht="27.6" thickBot="1" x14ac:dyDescent="0.35">
      <c r="C27" s="5" t="s">
        <v>19</v>
      </c>
      <c r="D27" s="4">
        <v>5325.06</v>
      </c>
      <c r="E27" s="4">
        <v>-4508.55</v>
      </c>
      <c r="F27" s="4">
        <v>-2539.56</v>
      </c>
      <c r="G27" s="4">
        <v>7149.38</v>
      </c>
      <c r="H27" s="4">
        <v>4610.2</v>
      </c>
      <c r="I27" s="4">
        <v>658.39</v>
      </c>
      <c r="J27" s="4">
        <v>1708.74</v>
      </c>
      <c r="K27" s="4">
        <v>3456.51</v>
      </c>
      <c r="L27" s="4">
        <v>-834.51</v>
      </c>
      <c r="M27" s="4">
        <v>1228.1199999999999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3:28" ht="27.6" thickBot="1" x14ac:dyDescent="0.35">
      <c r="C28" s="5" t="s">
        <v>20</v>
      </c>
      <c r="D28" s="4">
        <v>212.88</v>
      </c>
      <c r="E28" s="4">
        <v>-156.79</v>
      </c>
      <c r="F28" s="4">
        <v>714.03</v>
      </c>
      <c r="G28" s="4">
        <v>-2669.62</v>
      </c>
      <c r="H28" s="4">
        <v>1869.1</v>
      </c>
      <c r="I28" s="4">
        <v>5932.73</v>
      </c>
      <c r="J28" s="4">
        <v>-26686.25</v>
      </c>
      <c r="K28" s="4">
        <v>101.71</v>
      </c>
      <c r="L28" s="4">
        <v>-11117.83</v>
      </c>
      <c r="M28" s="4">
        <v>2424.0500000000002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3:28" ht="27.6" thickBot="1" x14ac:dyDescent="0.35">
      <c r="C29" s="5" t="s">
        <v>21</v>
      </c>
      <c r="D29" s="4">
        <v>7601.28</v>
      </c>
      <c r="E29" s="4">
        <v>11078.16</v>
      </c>
      <c r="F29" s="4">
        <v>13388.63</v>
      </c>
      <c r="G29" s="4">
        <v>16710.78</v>
      </c>
      <c r="H29" s="4">
        <v>17904.990000000002</v>
      </c>
      <c r="I29" s="4">
        <v>21553.59</v>
      </c>
      <c r="J29" s="4">
        <v>23590.63</v>
      </c>
      <c r="K29" s="4">
        <v>21425.43</v>
      </c>
      <c r="L29" s="4">
        <v>23546.71</v>
      </c>
      <c r="M29" s="4">
        <v>24835.69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3:28" ht="15" thickBot="1" x14ac:dyDescent="0.35">
      <c r="C30" s="5" t="s">
        <v>22</v>
      </c>
      <c r="D30" s="4">
        <v>3560.25</v>
      </c>
      <c r="E30" s="4">
        <v>4749.4399999999996</v>
      </c>
      <c r="F30" s="4">
        <v>4861.49</v>
      </c>
      <c r="G30" s="4">
        <v>4889.08</v>
      </c>
      <c r="H30" s="4">
        <v>4238.01</v>
      </c>
      <c r="I30" s="4">
        <v>4681.79</v>
      </c>
      <c r="J30" s="4">
        <v>5758.6</v>
      </c>
      <c r="K30" s="4">
        <v>7243.33</v>
      </c>
      <c r="L30" s="10">
        <v>8097.17</v>
      </c>
      <c r="M30" s="10">
        <v>9311.86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3:28" ht="27.6" thickBot="1" x14ac:dyDescent="0.35">
      <c r="C31" s="5" t="s">
        <v>23</v>
      </c>
      <c r="D31" s="4">
        <v>13647.33</v>
      </c>
      <c r="E31" s="4">
        <v>18868.97</v>
      </c>
      <c r="F31" s="4">
        <v>21702.560000000001</v>
      </c>
      <c r="G31" s="4">
        <v>14125.77</v>
      </c>
      <c r="H31" s="4">
        <v>9314.7900000000009</v>
      </c>
      <c r="I31" s="4">
        <v>11155.03</v>
      </c>
      <c r="J31" s="4">
        <v>-31371.15</v>
      </c>
      <c r="K31" s="4">
        <v>-10579.98</v>
      </c>
      <c r="L31" s="4">
        <v>-10474.280000000001</v>
      </c>
      <c r="M31" s="4">
        <v>-7003.41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3:28" ht="15" thickBot="1" x14ac:dyDescent="0.35">
      <c r="C32" s="5" t="s">
        <v>24</v>
      </c>
      <c r="D32" s="4">
        <v>3776.66</v>
      </c>
      <c r="E32" s="4">
        <v>4764.79</v>
      </c>
      <c r="F32" s="4">
        <v>7642.91</v>
      </c>
      <c r="G32" s="4">
        <v>3025.05</v>
      </c>
      <c r="H32" s="4">
        <v>3251.23</v>
      </c>
      <c r="I32" s="4">
        <v>4341.93</v>
      </c>
      <c r="J32" s="4">
        <v>-2437.4499999999998</v>
      </c>
      <c r="K32" s="4">
        <v>395.25</v>
      </c>
      <c r="L32" s="4">
        <v>2541.86</v>
      </c>
      <c r="M32" s="4">
        <v>4231.29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3:28" ht="15" thickBot="1" x14ac:dyDescent="0.35">
      <c r="C33" s="5" t="s">
        <v>25</v>
      </c>
      <c r="D33" s="4">
        <v>9892.61</v>
      </c>
      <c r="E33" s="4">
        <v>13991.02</v>
      </c>
      <c r="F33" s="4">
        <v>13986.29</v>
      </c>
      <c r="G33" s="4">
        <v>11579.31</v>
      </c>
      <c r="H33" s="4">
        <v>7454.36</v>
      </c>
      <c r="I33" s="4">
        <v>8988.91</v>
      </c>
      <c r="J33" s="4">
        <v>-28826.23</v>
      </c>
      <c r="K33" s="4">
        <v>-12070.85</v>
      </c>
      <c r="L33" s="4">
        <v>-13451.39</v>
      </c>
      <c r="M33" s="4">
        <v>-11441.47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3:28" ht="27.6" thickBot="1" x14ac:dyDescent="0.35">
      <c r="C34" s="5" t="s">
        <v>26</v>
      </c>
      <c r="D34" s="4">
        <v>638.07000000000005</v>
      </c>
      <c r="E34" s="4">
        <v>643.78</v>
      </c>
      <c r="F34" s="3"/>
      <c r="G34" s="4">
        <v>67.92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3:28" ht="27.6" thickBot="1" x14ac:dyDescent="0.35">
      <c r="C35" s="5" t="s">
        <v>27</v>
      </c>
      <c r="D35" s="11">
        <v>0.28000000000000003</v>
      </c>
      <c r="E35" s="11">
        <v>0.25</v>
      </c>
      <c r="F35" s="11">
        <v>0.35</v>
      </c>
      <c r="G35" s="11">
        <v>0.21</v>
      </c>
      <c r="H35" s="11">
        <v>0.35</v>
      </c>
      <c r="I35" s="11">
        <v>0.39</v>
      </c>
      <c r="J35" s="11">
        <v>0.08</v>
      </c>
      <c r="K35" s="11">
        <v>-0.04</v>
      </c>
      <c r="L35" s="11">
        <v>-0.24</v>
      </c>
      <c r="M35" s="11">
        <v>-0.6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3:28" ht="15" thickBot="1" x14ac:dyDescent="0.3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3:28" ht="15" thickBot="1" x14ac:dyDescent="0.35">
      <c r="C37" s="5" t="s">
        <v>28</v>
      </c>
      <c r="D37" s="6">
        <v>24830.799999999999</v>
      </c>
      <c r="E37" s="6">
        <v>34583.410000000003</v>
      </c>
      <c r="F37" s="6">
        <v>39879.32</v>
      </c>
      <c r="G37" s="6">
        <v>36204.22</v>
      </c>
      <c r="H37" s="6">
        <v>32848.589999999997</v>
      </c>
      <c r="I37" s="6">
        <v>39566.22</v>
      </c>
      <c r="J37" s="6">
        <v>-1914.45</v>
      </c>
      <c r="K37" s="6">
        <v>16993.16</v>
      </c>
      <c r="L37" s="6">
        <v>20734.349999999999</v>
      </c>
      <c r="M37" s="6">
        <v>26937.37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3:28" ht="15" thickBot="1" x14ac:dyDescent="0.3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3:28" ht="15" thickBot="1" x14ac:dyDescent="0.3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3:28" ht="15" thickBot="1" x14ac:dyDescent="0.3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3:28" ht="15" thickBot="1" x14ac:dyDescent="0.3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3:28" ht="15" thickBot="1" x14ac:dyDescent="0.3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3:28" ht="15" thickBot="1" x14ac:dyDescent="0.35">
      <c r="C43" s="1" t="s">
        <v>29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3:28" ht="27.6" thickBot="1" x14ac:dyDescent="0.35">
      <c r="C44" s="7" t="s">
        <v>11</v>
      </c>
      <c r="D44" s="9">
        <v>43983</v>
      </c>
      <c r="E44" s="9">
        <v>44075</v>
      </c>
      <c r="F44" s="9">
        <v>44166</v>
      </c>
      <c r="G44" s="9">
        <v>44256</v>
      </c>
      <c r="H44" s="9">
        <v>44348</v>
      </c>
      <c r="I44" s="9">
        <v>44440</v>
      </c>
      <c r="J44" s="9">
        <v>44531</v>
      </c>
      <c r="K44" s="9">
        <v>44621</v>
      </c>
      <c r="L44" s="9">
        <v>44713</v>
      </c>
      <c r="M44" s="9">
        <v>44805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3:28" ht="15" thickBot="1" x14ac:dyDescent="0.35">
      <c r="C45" s="5" t="s">
        <v>12</v>
      </c>
      <c r="D45" s="4">
        <v>31983.06</v>
      </c>
      <c r="E45" s="4">
        <v>53530</v>
      </c>
      <c r="F45" s="4">
        <v>75653.789999999994</v>
      </c>
      <c r="G45" s="4">
        <v>88627.9</v>
      </c>
      <c r="H45" s="4">
        <v>66406.45</v>
      </c>
      <c r="I45" s="4">
        <v>61378.82</v>
      </c>
      <c r="J45" s="4">
        <v>72229.289999999994</v>
      </c>
      <c r="K45" s="4">
        <v>78439.06</v>
      </c>
      <c r="L45" s="4">
        <v>71934.66</v>
      </c>
      <c r="M45" s="4">
        <v>79611.37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3:28" ht="15" thickBot="1" x14ac:dyDescent="0.35">
      <c r="C46" s="5" t="s">
        <v>30</v>
      </c>
      <c r="D46" s="4">
        <v>31300.36</v>
      </c>
      <c r="E46" s="4">
        <v>47431.7</v>
      </c>
      <c r="F46" s="4">
        <v>63521.09</v>
      </c>
      <c r="G46" s="4">
        <v>75254.17</v>
      </c>
      <c r="H46" s="4">
        <v>61163.78</v>
      </c>
      <c r="I46" s="4">
        <v>57262.21</v>
      </c>
      <c r="J46" s="4">
        <v>65151.27</v>
      </c>
      <c r="K46" s="4">
        <v>70156.27</v>
      </c>
      <c r="L46" s="4">
        <v>69521.929999999993</v>
      </c>
      <c r="M46" s="4">
        <v>74039.06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3:28" ht="27.6" thickBot="1" x14ac:dyDescent="0.35">
      <c r="C47" s="5" t="s">
        <v>20</v>
      </c>
      <c r="D47" s="4">
        <v>609.75</v>
      </c>
      <c r="E47" s="4">
        <v>638.1</v>
      </c>
      <c r="F47" s="4">
        <v>289.37</v>
      </c>
      <c r="G47" s="4">
        <v>-12655.05</v>
      </c>
      <c r="H47" s="4">
        <v>584.12</v>
      </c>
      <c r="I47" s="4">
        <v>862.46</v>
      </c>
      <c r="J47" s="4">
        <v>788.73</v>
      </c>
      <c r="K47" s="4">
        <v>188.74</v>
      </c>
      <c r="L47" s="4">
        <v>2380.98</v>
      </c>
      <c r="M47" s="4">
        <v>1351.14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3:28" ht="27.6" thickBot="1" x14ac:dyDescent="0.35">
      <c r="C48" s="5" t="s">
        <v>21</v>
      </c>
      <c r="D48" s="4">
        <v>5599.37</v>
      </c>
      <c r="E48" s="4">
        <v>5601.47</v>
      </c>
      <c r="F48" s="4">
        <v>6128.75</v>
      </c>
      <c r="G48" s="4">
        <v>6217.12</v>
      </c>
      <c r="H48" s="4">
        <v>6202.13</v>
      </c>
      <c r="I48" s="4">
        <v>6123.32</v>
      </c>
      <c r="J48" s="4">
        <v>6078.13</v>
      </c>
      <c r="K48" s="4">
        <v>6432.11</v>
      </c>
      <c r="L48" s="4">
        <v>5841.04</v>
      </c>
      <c r="M48" s="4">
        <v>5897.34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3:28" ht="15" thickBot="1" x14ac:dyDescent="0.35">
      <c r="C49" s="5" t="s">
        <v>22</v>
      </c>
      <c r="D49" s="10">
        <v>1876.81</v>
      </c>
      <c r="E49" s="10">
        <v>1949.6</v>
      </c>
      <c r="F49" s="10">
        <v>2125.9299999999998</v>
      </c>
      <c r="G49" s="10">
        <v>2144.83</v>
      </c>
      <c r="H49" s="10">
        <v>2203.3000000000002</v>
      </c>
      <c r="I49" s="10">
        <v>2327.3000000000002</v>
      </c>
      <c r="J49" s="10">
        <v>2400.7399999999998</v>
      </c>
      <c r="K49" s="10">
        <v>2380.52</v>
      </c>
      <c r="L49" s="10">
        <v>2420.7199999999998</v>
      </c>
      <c r="M49" s="10">
        <v>2487.2600000000002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3:28" ht="27.6" thickBot="1" x14ac:dyDescent="0.35">
      <c r="C50" s="5" t="s">
        <v>23</v>
      </c>
      <c r="D50" s="4">
        <v>-6183.73</v>
      </c>
      <c r="E50" s="4">
        <v>-814.67</v>
      </c>
      <c r="F50" s="4">
        <v>4167.3900000000003</v>
      </c>
      <c r="G50" s="4">
        <v>-7643.27</v>
      </c>
      <c r="H50" s="4">
        <v>-2578.64</v>
      </c>
      <c r="I50" s="4">
        <v>-3471.55</v>
      </c>
      <c r="J50" s="4">
        <v>-612.12</v>
      </c>
      <c r="K50" s="4">
        <v>-341.1</v>
      </c>
      <c r="L50" s="4">
        <v>-3468.05</v>
      </c>
      <c r="M50" s="4">
        <v>-1461.15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3:28" ht="15" thickBot="1" x14ac:dyDescent="0.35">
      <c r="C51" s="5" t="s">
        <v>24</v>
      </c>
      <c r="D51" s="4">
        <v>2200.4899999999998</v>
      </c>
      <c r="E51" s="4">
        <v>-471.39</v>
      </c>
      <c r="F51" s="4">
        <v>945.18</v>
      </c>
      <c r="G51" s="4">
        <v>-132.41999999999999</v>
      </c>
      <c r="H51" s="4">
        <v>1741.96</v>
      </c>
      <c r="I51" s="4">
        <v>1005.06</v>
      </c>
      <c r="J51" s="4">
        <v>726.05</v>
      </c>
      <c r="K51" s="4">
        <v>758.22</v>
      </c>
      <c r="L51" s="4">
        <v>1518.96</v>
      </c>
      <c r="M51" s="4">
        <v>-457.08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3:28" ht="15" thickBot="1" x14ac:dyDescent="0.35">
      <c r="C52" s="5" t="s">
        <v>25</v>
      </c>
      <c r="D52" s="4">
        <v>-8437.99</v>
      </c>
      <c r="E52" s="4">
        <v>-314.45</v>
      </c>
      <c r="F52" s="4">
        <v>2906.45</v>
      </c>
      <c r="G52" s="4">
        <v>-7605.4</v>
      </c>
      <c r="H52" s="4">
        <v>-4450.92</v>
      </c>
      <c r="I52" s="4">
        <v>-4441.57</v>
      </c>
      <c r="J52" s="4">
        <v>-1516.14</v>
      </c>
      <c r="K52" s="4">
        <v>-1032.8399999999999</v>
      </c>
      <c r="L52" s="4">
        <v>-5006.6000000000004</v>
      </c>
      <c r="M52" s="4">
        <v>-944.61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3:28" ht="27.6" thickBot="1" x14ac:dyDescent="0.35">
      <c r="C53" s="5" t="s">
        <v>31</v>
      </c>
      <c r="D53" s="4">
        <v>682.7</v>
      </c>
      <c r="E53" s="4">
        <v>6098.3</v>
      </c>
      <c r="F53" s="4">
        <v>12132.7</v>
      </c>
      <c r="G53" s="4">
        <v>13373.73</v>
      </c>
      <c r="H53" s="4">
        <v>5242.67</v>
      </c>
      <c r="I53" s="4">
        <v>4116.6099999999997</v>
      </c>
      <c r="J53" s="4">
        <v>7078.02</v>
      </c>
      <c r="K53" s="4">
        <v>8282.7900000000009</v>
      </c>
      <c r="L53" s="4">
        <v>2412.73</v>
      </c>
      <c r="M53" s="4">
        <v>5572.31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3:28" ht="15" thickBot="1" x14ac:dyDescent="0.35">
      <c r="C54" s="5" t="s">
        <v>28</v>
      </c>
      <c r="D54" s="6">
        <v>1238.68</v>
      </c>
      <c r="E54" s="6">
        <v>6765.23</v>
      </c>
      <c r="F54" s="6">
        <v>12106.31</v>
      </c>
      <c r="G54" s="4">
        <v>624.13</v>
      </c>
      <c r="H54" s="6">
        <v>5696.47</v>
      </c>
      <c r="I54" s="6">
        <v>5014.1099999999997</v>
      </c>
      <c r="J54" s="6">
        <v>7688.78</v>
      </c>
      <c r="K54" s="6">
        <v>8538.01</v>
      </c>
      <c r="L54" s="6">
        <v>4774.12</v>
      </c>
      <c r="M54" s="6">
        <v>6982.91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3:28" ht="15" thickBot="1" x14ac:dyDescent="0.3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3:28" ht="15" thickBot="1" x14ac:dyDescent="0.3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3:28" ht="15" thickBot="1" x14ac:dyDescent="0.3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3:28" ht="27.6" thickBot="1" x14ac:dyDescent="0.35">
      <c r="C58" s="1" t="s">
        <v>32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3:28" ht="27.6" thickBot="1" x14ac:dyDescent="0.35">
      <c r="C59" s="7" t="s">
        <v>11</v>
      </c>
      <c r="D59" s="9">
        <v>41334</v>
      </c>
      <c r="E59" s="9">
        <v>41699</v>
      </c>
      <c r="F59" s="9">
        <v>42064</v>
      </c>
      <c r="G59" s="9">
        <v>42430</v>
      </c>
      <c r="H59" s="9">
        <v>42795</v>
      </c>
      <c r="I59" s="9">
        <v>43160</v>
      </c>
      <c r="J59" s="9">
        <v>43525</v>
      </c>
      <c r="K59" s="9">
        <v>43891</v>
      </c>
      <c r="L59" s="9">
        <v>44256</v>
      </c>
      <c r="M59" s="9">
        <v>44621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3:28" ht="40.799999999999997" thickBot="1" x14ac:dyDescent="0.35">
      <c r="C60" s="5" t="s">
        <v>33</v>
      </c>
      <c r="D60" s="4">
        <v>638.07000000000005</v>
      </c>
      <c r="E60" s="4">
        <v>643.78</v>
      </c>
      <c r="F60" s="4">
        <v>643.78</v>
      </c>
      <c r="G60" s="4">
        <v>679.18</v>
      </c>
      <c r="H60" s="4">
        <v>679.22</v>
      </c>
      <c r="I60" s="4">
        <v>679.22</v>
      </c>
      <c r="J60" s="4">
        <v>679.22</v>
      </c>
      <c r="K60" s="4">
        <v>719.54</v>
      </c>
      <c r="L60" s="4">
        <v>765.81</v>
      </c>
      <c r="M60" s="4">
        <v>765.88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3:28" ht="15" thickBot="1" x14ac:dyDescent="0.35">
      <c r="C61" s="5" t="s">
        <v>34</v>
      </c>
      <c r="D61" s="4">
        <v>36999.230000000003</v>
      </c>
      <c r="E61" s="4">
        <v>64959.67</v>
      </c>
      <c r="F61" s="4">
        <v>55618.14</v>
      </c>
      <c r="G61" s="4">
        <v>78273.23</v>
      </c>
      <c r="H61" s="4">
        <v>57382.67</v>
      </c>
      <c r="I61" s="4">
        <v>94748.69</v>
      </c>
      <c r="J61" s="4">
        <v>59500.34</v>
      </c>
      <c r="K61" s="4">
        <v>61491.49</v>
      </c>
      <c r="L61" s="4">
        <v>54480.91</v>
      </c>
      <c r="M61" s="4">
        <v>43795.360000000001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3:28" ht="15" thickBot="1" x14ac:dyDescent="0.35">
      <c r="C62" s="5" t="s">
        <v>35</v>
      </c>
      <c r="D62" s="10">
        <v>53715.71</v>
      </c>
      <c r="E62" s="10">
        <v>60642.28</v>
      </c>
      <c r="F62" s="10">
        <v>73610.39</v>
      </c>
      <c r="G62" s="10">
        <v>69359.960000000006</v>
      </c>
      <c r="H62" s="10">
        <v>78603.98</v>
      </c>
      <c r="I62" s="10">
        <v>88950.47</v>
      </c>
      <c r="J62" s="10">
        <v>106175.34</v>
      </c>
      <c r="K62" s="10">
        <v>124787.64</v>
      </c>
      <c r="L62" s="10">
        <v>142130.57</v>
      </c>
      <c r="M62" s="10">
        <v>146449.03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3:28" ht="27.6" thickBot="1" x14ac:dyDescent="0.35">
      <c r="C63" s="5" t="s">
        <v>36</v>
      </c>
      <c r="D63" s="4">
        <v>76977.02</v>
      </c>
      <c r="E63" s="4">
        <v>92180.26</v>
      </c>
      <c r="F63" s="4">
        <v>107442.48</v>
      </c>
      <c r="G63" s="4">
        <v>114871.75</v>
      </c>
      <c r="H63" s="4">
        <v>135914.49</v>
      </c>
      <c r="I63" s="4">
        <v>142813.43</v>
      </c>
      <c r="J63" s="4">
        <v>139348.59</v>
      </c>
      <c r="K63" s="4">
        <v>133180.72</v>
      </c>
      <c r="L63" s="4">
        <v>144192.62</v>
      </c>
      <c r="M63" s="4">
        <v>138051.22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3:28" ht="15" thickBot="1" x14ac:dyDescent="0.35">
      <c r="C64" s="1" t="s">
        <v>37</v>
      </c>
      <c r="D64" s="4">
        <v>168330.03</v>
      </c>
      <c r="E64" s="4">
        <v>218425.99</v>
      </c>
      <c r="F64" s="4">
        <v>237314.79</v>
      </c>
      <c r="G64" s="4">
        <v>263184.12</v>
      </c>
      <c r="H64" s="4">
        <v>272580.36</v>
      </c>
      <c r="I64" s="4">
        <v>327191.81</v>
      </c>
      <c r="J64" s="4">
        <v>305703.49</v>
      </c>
      <c r="K64" s="4">
        <v>320179.39</v>
      </c>
      <c r="L64" s="4">
        <v>341569.91</v>
      </c>
      <c r="M64" s="4">
        <v>329061.49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3:28" ht="15" thickBot="1" x14ac:dyDescent="0.35">
      <c r="C65" s="5" t="s">
        <v>38</v>
      </c>
      <c r="D65" s="4">
        <v>55511.73</v>
      </c>
      <c r="E65" s="4">
        <v>69091.67</v>
      </c>
      <c r="F65" s="4">
        <v>88479.49</v>
      </c>
      <c r="G65" s="4">
        <v>107231.76</v>
      </c>
      <c r="H65" s="4">
        <v>95944.08</v>
      </c>
      <c r="I65" s="4">
        <v>121413.86</v>
      </c>
      <c r="J65" s="4">
        <v>111234.47</v>
      </c>
      <c r="K65" s="4">
        <v>127107.14</v>
      </c>
      <c r="L65" s="4">
        <v>138707.60999999999</v>
      </c>
      <c r="M65" s="4">
        <v>138855.45000000001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3:28" ht="40.799999999999997" thickBot="1" x14ac:dyDescent="0.35">
      <c r="C66" s="5" t="s">
        <v>39</v>
      </c>
      <c r="D66" s="4">
        <v>18453.55</v>
      </c>
      <c r="E66" s="4">
        <v>33262.559999999998</v>
      </c>
      <c r="F66" s="4">
        <v>28640.09</v>
      </c>
      <c r="G66" s="4">
        <v>25918.94</v>
      </c>
      <c r="H66" s="4">
        <v>33698.839999999997</v>
      </c>
      <c r="I66" s="4">
        <v>40033.5</v>
      </c>
      <c r="J66" s="4">
        <v>31883.84</v>
      </c>
      <c r="K66" s="4">
        <v>35622.29</v>
      </c>
      <c r="L66" s="4">
        <v>20963.93</v>
      </c>
      <c r="M66" s="4">
        <v>10251.09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3:28" ht="15" thickBot="1" x14ac:dyDescent="0.35">
      <c r="C67" s="5" t="s">
        <v>40</v>
      </c>
      <c r="D67" s="4">
        <v>8764.73</v>
      </c>
      <c r="E67" s="10">
        <v>10686.67</v>
      </c>
      <c r="F67" s="4">
        <v>15336.74</v>
      </c>
      <c r="G67" s="4">
        <v>23767.02</v>
      </c>
      <c r="H67" s="4">
        <v>20337.919999999998</v>
      </c>
      <c r="I67" s="4">
        <v>20812.75</v>
      </c>
      <c r="J67" s="4">
        <v>15770.72</v>
      </c>
      <c r="K67" s="4">
        <v>16308.48</v>
      </c>
      <c r="L67" s="4">
        <v>24620.28</v>
      </c>
      <c r="M67" s="4">
        <v>29379.53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3:28" ht="27.6" thickBot="1" x14ac:dyDescent="0.35">
      <c r="C68" s="5" t="s">
        <v>41</v>
      </c>
      <c r="D68" s="4">
        <v>85600.02</v>
      </c>
      <c r="E68" s="4">
        <v>105385.09</v>
      </c>
      <c r="F68" s="4">
        <v>104858.47</v>
      </c>
      <c r="G68" s="4">
        <v>106266.4</v>
      </c>
      <c r="H68" s="4">
        <v>122599.52</v>
      </c>
      <c r="I68" s="4">
        <v>144931.70000000001</v>
      </c>
      <c r="J68" s="4">
        <v>146814.46</v>
      </c>
      <c r="K68" s="4">
        <v>141141.48000000001</v>
      </c>
      <c r="L68" s="4">
        <v>157278.09</v>
      </c>
      <c r="M68" s="4">
        <v>150575.42000000001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3:28" ht="15" thickBot="1" x14ac:dyDescent="0.35">
      <c r="C69" s="1" t="s">
        <v>37</v>
      </c>
      <c r="D69" s="4">
        <v>168330.03</v>
      </c>
      <c r="E69" s="4">
        <v>218425.99</v>
      </c>
      <c r="F69" s="4">
        <v>237314.79</v>
      </c>
      <c r="G69" s="4">
        <v>263184.12</v>
      </c>
      <c r="H69" s="4">
        <v>272580.36</v>
      </c>
      <c r="I69" s="4">
        <v>327191.81</v>
      </c>
      <c r="J69" s="4">
        <v>305703.49</v>
      </c>
      <c r="K69" s="4">
        <v>320179.39</v>
      </c>
      <c r="L69" s="4">
        <v>341569.91</v>
      </c>
      <c r="M69" s="4">
        <v>329061.49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3:28" ht="15" thickBot="1" x14ac:dyDescent="0.35">
      <c r="C70" s="5" t="s">
        <v>42</v>
      </c>
      <c r="D70" s="4">
        <v>10959.6</v>
      </c>
      <c r="E70" s="4">
        <v>10574.23</v>
      </c>
      <c r="F70" s="4">
        <v>12579.2</v>
      </c>
      <c r="G70" s="4">
        <v>13570.91</v>
      </c>
      <c r="H70" s="4">
        <v>14075.55</v>
      </c>
      <c r="I70" s="4">
        <v>19893.3</v>
      </c>
      <c r="J70" s="4">
        <v>18996.169999999998</v>
      </c>
      <c r="K70" s="4">
        <v>11172.69</v>
      </c>
      <c r="L70" s="4">
        <v>12679.08</v>
      </c>
      <c r="M70" s="4">
        <v>12442.12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3:28" ht="15" thickBot="1" x14ac:dyDescent="0.35">
      <c r="C71" s="5" t="s">
        <v>43</v>
      </c>
      <c r="D71" s="10">
        <v>21036.82</v>
      </c>
      <c r="E71" s="10">
        <v>27270.89</v>
      </c>
      <c r="F71" s="10">
        <v>29272.34</v>
      </c>
      <c r="G71" s="10">
        <v>32655.73</v>
      </c>
      <c r="H71" s="10">
        <v>35085.31</v>
      </c>
      <c r="I71" s="10">
        <v>42137.63</v>
      </c>
      <c r="J71" s="10">
        <v>39013.730000000003</v>
      </c>
      <c r="K71" s="10">
        <v>37456.879999999997</v>
      </c>
      <c r="L71" s="10">
        <v>36088.589999999997</v>
      </c>
      <c r="M71" s="10">
        <v>35240.339999999997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3:28" ht="27.6" thickBot="1" x14ac:dyDescent="0.35">
      <c r="C72" s="5" t="s">
        <v>44</v>
      </c>
      <c r="D72" s="4">
        <v>21114.82</v>
      </c>
      <c r="E72" s="4">
        <v>29711.79</v>
      </c>
      <c r="F72" s="4">
        <v>32115.759999999998</v>
      </c>
      <c r="G72" s="4">
        <v>30460.400000000001</v>
      </c>
      <c r="H72" s="4">
        <v>36077.879999999997</v>
      </c>
      <c r="I72" s="4">
        <v>34613.910000000003</v>
      </c>
      <c r="J72" s="4">
        <v>32648.82</v>
      </c>
      <c r="K72" s="4">
        <v>33726.97</v>
      </c>
      <c r="L72" s="4">
        <v>46792.46</v>
      </c>
      <c r="M72" s="4">
        <v>40669.19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3:28" ht="40.799999999999997" thickBot="1" x14ac:dyDescent="0.35">
      <c r="C73" s="5" t="s">
        <v>45</v>
      </c>
      <c r="D73" s="4">
        <v>3190115771</v>
      </c>
      <c r="E73" s="4">
        <v>3218930000</v>
      </c>
      <c r="F73" s="4">
        <v>3218930067</v>
      </c>
      <c r="G73" s="4">
        <v>3395930306</v>
      </c>
      <c r="H73" s="4">
        <v>3396100719</v>
      </c>
      <c r="I73" s="4">
        <v>3396100719</v>
      </c>
      <c r="J73" s="4">
        <v>3396100719</v>
      </c>
      <c r="K73" s="4">
        <v>3597726185</v>
      </c>
      <c r="L73" s="4">
        <v>3829060661</v>
      </c>
      <c r="M73" s="4">
        <v>3829414903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3:28" ht="27.6" thickBot="1" x14ac:dyDescent="0.35">
      <c r="C74" s="5" t="s">
        <v>46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3:28" ht="15" thickBot="1" x14ac:dyDescent="0.35">
      <c r="C75" s="5" t="s">
        <v>47</v>
      </c>
      <c r="D75" s="4">
        <v>2</v>
      </c>
      <c r="E75" s="4">
        <v>2</v>
      </c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4">
        <v>2</v>
      </c>
      <c r="L75" s="4">
        <v>2</v>
      </c>
      <c r="M75" s="4">
        <v>2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3:28" ht="15" thickBot="1" x14ac:dyDescent="0.35">
      <c r="C76" s="3"/>
      <c r="D76" s="3"/>
      <c r="E76" s="3"/>
      <c r="F76" s="3"/>
      <c r="G76" s="3"/>
      <c r="H76" s="3"/>
      <c r="I76" s="3"/>
      <c r="J76" s="6">
        <v>-4101.26</v>
      </c>
      <c r="K76" s="6">
        <v>22304.78</v>
      </c>
      <c r="L76" s="6">
        <v>17441.509999999998</v>
      </c>
      <c r="M76" s="6">
        <v>6045.18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3:28" ht="15" thickBot="1" x14ac:dyDescent="0.3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3:28" ht="15" thickBot="1" x14ac:dyDescent="0.3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3:28" ht="15" thickBot="1" x14ac:dyDescent="0.3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3:28" ht="27.6" thickBot="1" x14ac:dyDescent="0.35">
      <c r="C80" s="1" t="s">
        <v>48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3:28" ht="27.6" thickBot="1" x14ac:dyDescent="0.35">
      <c r="C81" s="7" t="s">
        <v>11</v>
      </c>
      <c r="D81" s="9">
        <v>41334</v>
      </c>
      <c r="E81" s="9">
        <v>41699</v>
      </c>
      <c r="F81" s="9">
        <v>42064</v>
      </c>
      <c r="G81" s="9">
        <v>42430</v>
      </c>
      <c r="H81" s="9">
        <v>42795</v>
      </c>
      <c r="I81" s="9">
        <v>43160</v>
      </c>
      <c r="J81" s="9">
        <v>43525</v>
      </c>
      <c r="K81" s="9">
        <v>43891</v>
      </c>
      <c r="L81" s="9">
        <v>44256</v>
      </c>
      <c r="M81" s="9">
        <v>44621</v>
      </c>
      <c r="N81" s="18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3:28" ht="40.799999999999997" thickBot="1" x14ac:dyDescent="0.35">
      <c r="C82" s="5" t="s">
        <v>49</v>
      </c>
      <c r="D82" s="4">
        <v>22162.61</v>
      </c>
      <c r="E82" s="4">
        <v>36151.160000000003</v>
      </c>
      <c r="F82" s="4">
        <v>35531.26</v>
      </c>
      <c r="G82" s="4">
        <v>37899.54</v>
      </c>
      <c r="H82" s="4">
        <v>30199.25</v>
      </c>
      <c r="I82" s="4">
        <v>23857.42</v>
      </c>
      <c r="J82" s="4">
        <v>18890.75</v>
      </c>
      <c r="K82" s="4">
        <v>26632.94</v>
      </c>
      <c r="L82" s="4">
        <v>29000.51</v>
      </c>
      <c r="M82" s="4">
        <v>14282.83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3:28" ht="40.799999999999997" thickBot="1" x14ac:dyDescent="0.35">
      <c r="C83" s="5" t="s">
        <v>50</v>
      </c>
      <c r="D83" s="4">
        <v>-22969.45</v>
      </c>
      <c r="E83" s="4">
        <v>-27990.91</v>
      </c>
      <c r="F83" s="4">
        <v>-36232.35</v>
      </c>
      <c r="G83" s="4">
        <v>-36693.9</v>
      </c>
      <c r="H83" s="4">
        <v>-39571.4</v>
      </c>
      <c r="I83" s="4">
        <v>-25139.14</v>
      </c>
      <c r="J83" s="4">
        <v>-20878.07</v>
      </c>
      <c r="K83" s="4">
        <v>-33114.550000000003</v>
      </c>
      <c r="L83" s="4">
        <v>-25672.5</v>
      </c>
      <c r="M83" s="4">
        <v>-4443.66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3:28" ht="40.799999999999997" thickBot="1" x14ac:dyDescent="0.35">
      <c r="C84" s="5" t="s">
        <v>51</v>
      </c>
      <c r="D84" s="4">
        <v>-1692.08</v>
      </c>
      <c r="E84" s="4">
        <v>-3883.24</v>
      </c>
      <c r="F84" s="4">
        <v>5201.4399999999996</v>
      </c>
      <c r="G84" s="4">
        <v>-3795.12</v>
      </c>
      <c r="H84" s="4">
        <v>6205.3</v>
      </c>
      <c r="I84" s="4">
        <v>2011.71</v>
      </c>
      <c r="J84" s="4">
        <v>8830.3700000000008</v>
      </c>
      <c r="K84" s="4">
        <v>3389.61</v>
      </c>
      <c r="L84" s="4">
        <v>9904.2000000000007</v>
      </c>
      <c r="M84" s="4">
        <v>-3380.17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3:28" ht="27.6" thickBot="1" x14ac:dyDescent="0.35">
      <c r="C85" s="5" t="s">
        <v>52</v>
      </c>
      <c r="D85" s="4">
        <v>-2498.92</v>
      </c>
      <c r="E85" s="4">
        <v>4277.01</v>
      </c>
      <c r="F85" s="4">
        <v>4500.3500000000004</v>
      </c>
      <c r="G85" s="4">
        <v>-2589.48</v>
      </c>
      <c r="H85" s="4">
        <v>-3166.85</v>
      </c>
      <c r="I85" s="4">
        <v>729.99</v>
      </c>
      <c r="J85" s="4">
        <v>6843.05</v>
      </c>
      <c r="K85" s="4">
        <v>-3092</v>
      </c>
      <c r="L85" s="4">
        <v>13232.21</v>
      </c>
      <c r="M85" s="4">
        <v>6459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3:28" ht="15" thickBot="1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3:28" ht="15" thickBot="1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3:28" ht="15" thickBot="1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3:28" ht="15" thickBot="1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3:28" ht="15" thickBot="1" x14ac:dyDescent="0.35">
      <c r="C90" s="1" t="s">
        <v>53</v>
      </c>
      <c r="D90" s="4">
        <v>266.3</v>
      </c>
      <c r="E90" s="4">
        <v>394.42</v>
      </c>
      <c r="F90" s="4">
        <v>544.37</v>
      </c>
      <c r="G90" s="4">
        <v>386.6</v>
      </c>
      <c r="H90" s="4">
        <v>465.85</v>
      </c>
      <c r="I90" s="4">
        <v>326.85000000000002</v>
      </c>
      <c r="J90" s="4">
        <v>174.25</v>
      </c>
      <c r="K90" s="4">
        <v>71.05</v>
      </c>
      <c r="L90" s="4">
        <v>301.8</v>
      </c>
      <c r="M90" s="4">
        <v>433.75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3:28" ht="15" thickBot="1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3:28" ht="15" thickBot="1" x14ac:dyDescent="0.35">
      <c r="C92" s="1" t="s">
        <v>54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3:28" ht="54" thickBot="1" x14ac:dyDescent="0.35">
      <c r="C93" s="5" t="s">
        <v>55</v>
      </c>
      <c r="D93" s="4">
        <v>285.72000000000003</v>
      </c>
      <c r="E93" s="4">
        <v>288.74</v>
      </c>
      <c r="F93" s="4">
        <v>288.74</v>
      </c>
      <c r="G93" s="4">
        <v>288.72000000000003</v>
      </c>
      <c r="H93" s="4">
        <v>288.73</v>
      </c>
      <c r="I93" s="4">
        <v>288.73</v>
      </c>
      <c r="J93" s="4">
        <v>288.73</v>
      </c>
      <c r="K93" s="4">
        <v>308.89999999999998</v>
      </c>
      <c r="L93" s="4">
        <v>332.03</v>
      </c>
      <c r="M93" s="4">
        <v>332.07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3:28" ht="15" thickBot="1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3:28" ht="15" thickBot="1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3:28" ht="15" thickBot="1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</sheetData>
  <mergeCells count="2">
    <mergeCell ref="G4:M4"/>
    <mergeCell ref="G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CF07-49B2-4CA9-8C36-CD5DFADD76E0}">
  <dimension ref="B1:N36"/>
  <sheetViews>
    <sheetView workbookViewId="0">
      <selection activeCell="E4" sqref="E4"/>
    </sheetView>
  </sheetViews>
  <sheetFormatPr defaultRowHeight="13.8" x14ac:dyDescent="0.25"/>
  <cols>
    <col min="2" max="2" width="21.7265625" customWidth="1"/>
  </cols>
  <sheetData>
    <row r="1" spans="2:14" ht="14.4" thickBot="1" x14ac:dyDescent="0.3"/>
    <row r="2" spans="2:14" ht="15" thickBot="1" x14ac:dyDescent="0.35">
      <c r="B2" s="3"/>
      <c r="C2" s="34">
        <v>40603</v>
      </c>
      <c r="D2" s="34">
        <v>40969</v>
      </c>
      <c r="E2" s="34">
        <v>41334</v>
      </c>
      <c r="F2" s="34">
        <v>41699</v>
      </c>
      <c r="G2" s="34">
        <v>42064</v>
      </c>
      <c r="H2" s="34">
        <v>42430</v>
      </c>
      <c r="I2" s="34">
        <v>42795</v>
      </c>
      <c r="J2" s="34">
        <v>43160</v>
      </c>
      <c r="K2" s="34">
        <v>43525</v>
      </c>
      <c r="L2" s="34">
        <v>43891</v>
      </c>
      <c r="M2" s="34">
        <v>44256</v>
      </c>
      <c r="N2" s="34">
        <v>44621</v>
      </c>
    </row>
    <row r="3" spans="2:14" ht="43.8" thickBot="1" x14ac:dyDescent="0.35">
      <c r="B3" s="3" t="s">
        <v>97</v>
      </c>
      <c r="C3" s="35">
        <v>11240</v>
      </c>
      <c r="D3" s="35">
        <v>18384</v>
      </c>
      <c r="E3" s="35">
        <v>22163</v>
      </c>
      <c r="F3" s="35">
        <v>36151</v>
      </c>
      <c r="G3" s="35">
        <v>35531</v>
      </c>
      <c r="H3" s="35">
        <v>37900</v>
      </c>
      <c r="I3" s="35">
        <v>30199</v>
      </c>
      <c r="J3" s="35">
        <v>23857</v>
      </c>
      <c r="K3" s="35">
        <v>18891</v>
      </c>
      <c r="L3" s="35">
        <v>26633</v>
      </c>
      <c r="M3" s="35">
        <v>29001</v>
      </c>
      <c r="N3" s="35">
        <v>14283</v>
      </c>
    </row>
    <row r="4" spans="2:14" ht="15" thickBot="1" x14ac:dyDescent="0.35">
      <c r="B4" s="3" t="s">
        <v>98</v>
      </c>
      <c r="C4" s="35">
        <v>16680</v>
      </c>
      <c r="D4" s="35">
        <v>22432</v>
      </c>
      <c r="E4" s="35">
        <v>24406</v>
      </c>
      <c r="F4" s="35">
        <v>36303</v>
      </c>
      <c r="G4" s="35">
        <v>43397</v>
      </c>
      <c r="H4" s="35">
        <v>38626</v>
      </c>
      <c r="I4" s="35">
        <v>28840</v>
      </c>
      <c r="J4" s="35">
        <v>33312</v>
      </c>
      <c r="K4" s="35">
        <v>28771</v>
      </c>
      <c r="L4" s="35">
        <v>23352</v>
      </c>
      <c r="M4" s="35">
        <v>31198</v>
      </c>
      <c r="N4" s="35">
        <v>26666</v>
      </c>
    </row>
    <row r="5" spans="2:14" ht="15" thickBot="1" x14ac:dyDescent="0.35">
      <c r="B5" s="3" t="s">
        <v>42</v>
      </c>
      <c r="C5" s="35">
        <v>-1422</v>
      </c>
      <c r="D5" s="35">
        <v>-6659</v>
      </c>
      <c r="E5" s="35">
        <v>-5177</v>
      </c>
      <c r="F5" s="10">
        <v>445</v>
      </c>
      <c r="G5" s="35">
        <v>-3179</v>
      </c>
      <c r="H5" s="35">
        <v>-2223</v>
      </c>
      <c r="I5" s="35">
        <v>-4152</v>
      </c>
      <c r="J5" s="35">
        <v>-10688</v>
      </c>
      <c r="K5" s="35">
        <v>-9109</v>
      </c>
      <c r="L5" s="35">
        <v>9950</v>
      </c>
      <c r="M5" s="35">
        <v>-5505</v>
      </c>
      <c r="N5" s="10">
        <v>337</v>
      </c>
    </row>
    <row r="6" spans="2:14" ht="15" thickBot="1" x14ac:dyDescent="0.35">
      <c r="B6" s="3" t="s">
        <v>43</v>
      </c>
      <c r="C6" s="35">
        <v>-2411</v>
      </c>
      <c r="D6" s="35">
        <v>-2719</v>
      </c>
      <c r="E6" s="35">
        <v>-2656</v>
      </c>
      <c r="F6" s="35">
        <v>-2853</v>
      </c>
      <c r="G6" s="35">
        <v>-3692</v>
      </c>
      <c r="H6" s="35">
        <v>-5743</v>
      </c>
      <c r="I6" s="35">
        <v>-6621</v>
      </c>
      <c r="J6" s="35">
        <v>-3560</v>
      </c>
      <c r="K6" s="35">
        <v>2069</v>
      </c>
      <c r="L6" s="35">
        <v>2326</v>
      </c>
      <c r="M6" s="35">
        <v>3814</v>
      </c>
      <c r="N6" s="10">
        <v>597</v>
      </c>
    </row>
    <row r="7" spans="2:14" ht="15" thickBot="1" x14ac:dyDescent="0.35">
      <c r="B7" s="3" t="s">
        <v>99</v>
      </c>
      <c r="C7" s="10">
        <v>344</v>
      </c>
      <c r="D7" s="35">
        <v>5867</v>
      </c>
      <c r="E7" s="35">
        <v>8132</v>
      </c>
      <c r="F7" s="35">
        <v>4694</v>
      </c>
      <c r="G7" s="35">
        <v>3598</v>
      </c>
      <c r="H7" s="35">
        <v>3947</v>
      </c>
      <c r="I7" s="35">
        <v>9301</v>
      </c>
      <c r="J7" s="35">
        <v>7320</v>
      </c>
      <c r="K7" s="35">
        <v>-4692</v>
      </c>
      <c r="L7" s="35">
        <v>-8085</v>
      </c>
      <c r="M7" s="35">
        <v>5748</v>
      </c>
      <c r="N7" s="35">
        <v>-7012</v>
      </c>
    </row>
    <row r="8" spans="2:14" ht="15" thickBot="1" x14ac:dyDescent="0.35">
      <c r="B8" s="3" t="s">
        <v>100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-520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</row>
    <row r="9" spans="2:14" ht="15" thickBot="1" x14ac:dyDescent="0.35">
      <c r="B9" s="3" t="s">
        <v>101</v>
      </c>
      <c r="C9" s="10">
        <v>-559</v>
      </c>
      <c r="D9" s="35">
        <v>1231</v>
      </c>
      <c r="E9" s="10">
        <v>-303</v>
      </c>
      <c r="F9" s="35">
        <v>1870</v>
      </c>
      <c r="G9" s="10">
        <v>-398</v>
      </c>
      <c r="H9" s="35">
        <v>5852</v>
      </c>
      <c r="I9" s="35">
        <v>4727</v>
      </c>
      <c r="J9" s="10">
        <v>494</v>
      </c>
      <c r="K9" s="35">
        <v>4512</v>
      </c>
      <c r="L9" s="10">
        <v>875</v>
      </c>
      <c r="M9" s="35">
        <v>-4150</v>
      </c>
      <c r="N9" s="35">
        <v>-4396</v>
      </c>
    </row>
    <row r="10" spans="2:14" ht="15" thickBot="1" x14ac:dyDescent="0.35">
      <c r="B10" s="3" t="s">
        <v>102</v>
      </c>
      <c r="C10" s="35">
        <v>-4048</v>
      </c>
      <c r="D10" s="35">
        <v>-2280</v>
      </c>
      <c r="E10" s="10">
        <v>-3</v>
      </c>
      <c r="F10" s="35">
        <v>4157</v>
      </c>
      <c r="G10" s="35">
        <v>-3672</v>
      </c>
      <c r="H10" s="35">
        <v>1313</v>
      </c>
      <c r="I10" s="35">
        <v>3254</v>
      </c>
      <c r="J10" s="35">
        <v>-6434</v>
      </c>
      <c r="K10" s="35">
        <v>-7221</v>
      </c>
      <c r="L10" s="35">
        <v>5065</v>
      </c>
      <c r="M10" s="10">
        <v>-93</v>
      </c>
      <c r="N10" s="35">
        <v>-10474</v>
      </c>
    </row>
    <row r="11" spans="2:14" ht="15" thickBot="1" x14ac:dyDescent="0.35">
      <c r="B11" s="3" t="s">
        <v>103</v>
      </c>
      <c r="C11" s="35">
        <v>-1391</v>
      </c>
      <c r="D11" s="35">
        <v>-1768</v>
      </c>
      <c r="E11" s="35">
        <v>-2240</v>
      </c>
      <c r="F11" s="35">
        <v>-4308</v>
      </c>
      <c r="G11" s="35">
        <v>-4194</v>
      </c>
      <c r="H11" s="35">
        <v>-2040</v>
      </c>
      <c r="I11" s="35">
        <v>-1895</v>
      </c>
      <c r="J11" s="35">
        <v>-3021</v>
      </c>
      <c r="K11" s="35">
        <v>-2659</v>
      </c>
      <c r="L11" s="35">
        <v>-1785</v>
      </c>
      <c r="M11" s="35">
        <v>-2105</v>
      </c>
      <c r="N11" s="35">
        <v>-1910</v>
      </c>
    </row>
    <row r="12" spans="2:14" ht="15" thickBot="1" x14ac:dyDescent="0.35">
      <c r="B12" s="3" t="s">
        <v>104</v>
      </c>
      <c r="C12" s="35">
        <v>-7023</v>
      </c>
      <c r="D12" s="35">
        <v>-19464</v>
      </c>
      <c r="E12" s="35">
        <v>-22969</v>
      </c>
      <c r="F12" s="35">
        <v>-27991</v>
      </c>
      <c r="G12" s="35">
        <v>-36232</v>
      </c>
      <c r="H12" s="35">
        <v>-36694</v>
      </c>
      <c r="I12" s="35">
        <v>-39571</v>
      </c>
      <c r="J12" s="35">
        <v>-25139</v>
      </c>
      <c r="K12" s="35">
        <v>-20878</v>
      </c>
      <c r="L12" s="35">
        <v>-33115</v>
      </c>
      <c r="M12" s="35">
        <v>-25672</v>
      </c>
      <c r="N12" s="35">
        <v>-4444</v>
      </c>
    </row>
    <row r="13" spans="2:14" ht="15" thickBot="1" x14ac:dyDescent="0.35">
      <c r="B13" s="3" t="s">
        <v>105</v>
      </c>
      <c r="C13" s="35">
        <v>-8124</v>
      </c>
      <c r="D13" s="35">
        <v>-13876</v>
      </c>
      <c r="E13" s="35">
        <v>-18863</v>
      </c>
      <c r="F13" s="35">
        <v>-26975</v>
      </c>
      <c r="G13" s="35">
        <v>-31962</v>
      </c>
      <c r="H13" s="35">
        <v>-31503</v>
      </c>
      <c r="I13" s="35">
        <v>-16072</v>
      </c>
      <c r="J13" s="35">
        <v>-35079</v>
      </c>
      <c r="K13" s="35">
        <v>-35304</v>
      </c>
      <c r="L13" s="35">
        <v>-29702</v>
      </c>
      <c r="M13" s="35">
        <v>-20205</v>
      </c>
      <c r="N13" s="35">
        <v>-15168</v>
      </c>
    </row>
    <row r="14" spans="2:14" ht="15" thickBot="1" x14ac:dyDescent="0.35">
      <c r="B14" s="3" t="s">
        <v>106</v>
      </c>
      <c r="C14" s="10">
        <v>11</v>
      </c>
      <c r="D14" s="10">
        <v>93</v>
      </c>
      <c r="E14" s="10">
        <v>37</v>
      </c>
      <c r="F14" s="10">
        <v>50</v>
      </c>
      <c r="G14" s="10">
        <v>74</v>
      </c>
      <c r="H14" s="10">
        <v>59</v>
      </c>
      <c r="I14" s="10">
        <v>53</v>
      </c>
      <c r="J14" s="10">
        <v>30</v>
      </c>
      <c r="K14" s="10">
        <v>67</v>
      </c>
      <c r="L14" s="10">
        <v>171</v>
      </c>
      <c r="M14" s="10">
        <v>351</v>
      </c>
      <c r="N14" s="10">
        <v>230</v>
      </c>
    </row>
    <row r="15" spans="2:14" ht="15" thickBot="1" x14ac:dyDescent="0.35">
      <c r="B15" s="3" t="s">
        <v>107</v>
      </c>
      <c r="C15" s="10">
        <v>-147</v>
      </c>
      <c r="D15" s="35">
        <v>-5857</v>
      </c>
      <c r="E15" s="10">
        <v>73</v>
      </c>
      <c r="F15" s="10">
        <v>-429</v>
      </c>
      <c r="G15" s="35">
        <v>-5461</v>
      </c>
      <c r="H15" s="35">
        <v>-4728</v>
      </c>
      <c r="I15" s="10">
        <v>-6</v>
      </c>
      <c r="J15" s="10">
        <v>-329</v>
      </c>
      <c r="K15" s="10">
        <v>-130</v>
      </c>
      <c r="L15" s="35">
        <v>-1439</v>
      </c>
      <c r="M15" s="35">
        <v>-7530</v>
      </c>
      <c r="N15" s="35">
        <v>-3008</v>
      </c>
    </row>
    <row r="16" spans="2:14" ht="15" thickBot="1" x14ac:dyDescent="0.35">
      <c r="B16" s="3" t="s">
        <v>108</v>
      </c>
      <c r="C16" s="10">
        <v>7</v>
      </c>
      <c r="D16" s="10">
        <v>84</v>
      </c>
      <c r="E16" s="10">
        <v>34</v>
      </c>
      <c r="F16" s="10">
        <v>4</v>
      </c>
      <c r="G16" s="10">
        <v>42</v>
      </c>
      <c r="H16" s="10">
        <v>89</v>
      </c>
      <c r="I16" s="35">
        <v>1965</v>
      </c>
      <c r="J16" s="35">
        <v>2381</v>
      </c>
      <c r="K16" s="35">
        <v>5644</v>
      </c>
      <c r="L16" s="10">
        <v>21</v>
      </c>
      <c r="M16" s="10">
        <v>226</v>
      </c>
      <c r="N16" s="10">
        <v>104</v>
      </c>
    </row>
    <row r="17" spans="2:14" ht="15" thickBot="1" x14ac:dyDescent="0.35">
      <c r="B17" s="3" t="s">
        <v>109</v>
      </c>
      <c r="C17" s="10">
        <v>314</v>
      </c>
      <c r="D17" s="10">
        <v>467</v>
      </c>
      <c r="E17" s="10">
        <v>713</v>
      </c>
      <c r="F17" s="10">
        <v>653</v>
      </c>
      <c r="G17" s="10">
        <v>698</v>
      </c>
      <c r="H17" s="10">
        <v>731</v>
      </c>
      <c r="I17" s="10">
        <v>638</v>
      </c>
      <c r="J17" s="10">
        <v>690</v>
      </c>
      <c r="K17" s="10">
        <v>761</v>
      </c>
      <c r="L17" s="35">
        <v>1104</v>
      </c>
      <c r="M17" s="10">
        <v>428</v>
      </c>
      <c r="N17" s="10">
        <v>653</v>
      </c>
    </row>
    <row r="18" spans="2:14" ht="15" thickBot="1" x14ac:dyDescent="0.35">
      <c r="B18" s="3" t="s">
        <v>110</v>
      </c>
      <c r="C18" s="10">
        <v>98</v>
      </c>
      <c r="D18" s="10">
        <v>70</v>
      </c>
      <c r="E18" s="10">
        <v>95</v>
      </c>
      <c r="F18" s="10">
        <v>40</v>
      </c>
      <c r="G18" s="10">
        <v>80</v>
      </c>
      <c r="H18" s="10">
        <v>58</v>
      </c>
      <c r="I18" s="10">
        <v>620</v>
      </c>
      <c r="J18" s="35">
        <v>1797</v>
      </c>
      <c r="K18" s="10">
        <v>232</v>
      </c>
      <c r="L18" s="10">
        <v>21</v>
      </c>
      <c r="M18" s="10">
        <v>18</v>
      </c>
      <c r="N18" s="10">
        <v>32</v>
      </c>
    </row>
    <row r="19" spans="2:14" ht="15" thickBot="1" x14ac:dyDescent="0.35">
      <c r="B19" s="3" t="s">
        <v>111</v>
      </c>
      <c r="C19" s="10">
        <v>-70</v>
      </c>
      <c r="D19" s="10">
        <v>-304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  <row r="20" spans="2:14" ht="15" thickBot="1" x14ac:dyDescent="0.35">
      <c r="B20" s="3" t="s">
        <v>112</v>
      </c>
      <c r="C20" s="10">
        <v>-4</v>
      </c>
      <c r="D20" s="10">
        <v>-9</v>
      </c>
      <c r="E20" s="10">
        <v>0</v>
      </c>
      <c r="F20" s="10">
        <v>0</v>
      </c>
      <c r="G20" s="10">
        <v>-160</v>
      </c>
      <c r="H20" s="10">
        <v>0</v>
      </c>
      <c r="I20" s="10">
        <v>-107</v>
      </c>
      <c r="J20" s="10">
        <v>-4</v>
      </c>
      <c r="K20" s="10">
        <v>-9</v>
      </c>
      <c r="L20" s="10">
        <v>-606</v>
      </c>
      <c r="M20" s="10">
        <v>-10</v>
      </c>
      <c r="N20" s="10">
        <v>0</v>
      </c>
    </row>
    <row r="21" spans="2:14" ht="15" thickBot="1" x14ac:dyDescent="0.35">
      <c r="B21" s="3" t="s">
        <v>113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14</v>
      </c>
      <c r="K21" s="10">
        <v>533</v>
      </c>
      <c r="L21" s="10">
        <v>0</v>
      </c>
      <c r="M21" s="10">
        <v>0</v>
      </c>
      <c r="N21" s="10">
        <v>0</v>
      </c>
    </row>
    <row r="22" spans="2:14" ht="15" thickBot="1" x14ac:dyDescent="0.35">
      <c r="B22" s="3" t="s">
        <v>114</v>
      </c>
      <c r="C22" s="10">
        <v>2</v>
      </c>
      <c r="D22" s="10">
        <v>0</v>
      </c>
      <c r="E22" s="10">
        <v>0</v>
      </c>
      <c r="F22" s="10">
        <v>-185</v>
      </c>
      <c r="G22" s="10">
        <v>0</v>
      </c>
      <c r="H22" s="10">
        <v>-111</v>
      </c>
      <c r="I22" s="10">
        <v>0</v>
      </c>
      <c r="J22" s="10">
        <v>0</v>
      </c>
      <c r="K22" s="10">
        <v>-8</v>
      </c>
      <c r="L22" s="10">
        <v>-27</v>
      </c>
      <c r="M22" s="10">
        <v>0</v>
      </c>
      <c r="N22" s="10">
        <v>-98</v>
      </c>
    </row>
    <row r="23" spans="2:14" ht="15" thickBot="1" x14ac:dyDescent="0.35">
      <c r="B23" s="3" t="s">
        <v>115</v>
      </c>
      <c r="C23" s="10">
        <v>5</v>
      </c>
      <c r="D23" s="10">
        <v>-3</v>
      </c>
      <c r="E23" s="10">
        <v>45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</row>
    <row r="24" spans="2:14" ht="15" thickBot="1" x14ac:dyDescent="0.35">
      <c r="B24" s="3" t="s">
        <v>116</v>
      </c>
      <c r="C24" s="10">
        <v>884</v>
      </c>
      <c r="D24" s="10">
        <v>-129</v>
      </c>
      <c r="E24" s="35">
        <v>-5103</v>
      </c>
      <c r="F24" s="35">
        <v>-1149</v>
      </c>
      <c r="G24" s="10">
        <v>456</v>
      </c>
      <c r="H24" s="35">
        <v>-1289</v>
      </c>
      <c r="I24" s="35">
        <v>-26663</v>
      </c>
      <c r="J24" s="35">
        <v>5360</v>
      </c>
      <c r="K24" s="35">
        <v>7335</v>
      </c>
      <c r="L24" s="35">
        <v>-2659</v>
      </c>
      <c r="M24" s="35">
        <v>1051</v>
      </c>
      <c r="N24" s="35">
        <v>12813</v>
      </c>
    </row>
    <row r="25" spans="2:14" ht="15" thickBot="1" x14ac:dyDescent="0.35">
      <c r="B25" s="3" t="s">
        <v>117</v>
      </c>
      <c r="C25" s="35">
        <v>-1401</v>
      </c>
      <c r="D25" s="35">
        <v>6567</v>
      </c>
      <c r="E25" s="35">
        <v>-1692</v>
      </c>
      <c r="F25" s="35">
        <v>-3883</v>
      </c>
      <c r="G25" s="35">
        <v>5201</v>
      </c>
      <c r="H25" s="35">
        <v>-3795</v>
      </c>
      <c r="I25" s="35">
        <v>6205</v>
      </c>
      <c r="J25" s="35">
        <v>2012</v>
      </c>
      <c r="K25" s="35">
        <v>8830</v>
      </c>
      <c r="L25" s="35">
        <v>3390</v>
      </c>
      <c r="M25" s="35">
        <v>9904</v>
      </c>
      <c r="N25" s="35">
        <v>-3380</v>
      </c>
    </row>
    <row r="26" spans="2:14" ht="15" thickBot="1" x14ac:dyDescent="0.35">
      <c r="B26" s="3" t="s">
        <v>118</v>
      </c>
      <c r="C26" s="35">
        <v>3258</v>
      </c>
      <c r="D26" s="10">
        <v>139</v>
      </c>
      <c r="E26" s="10">
        <v>1</v>
      </c>
      <c r="F26" s="10">
        <v>0</v>
      </c>
      <c r="G26" s="10">
        <v>0</v>
      </c>
      <c r="H26" s="35">
        <v>7433</v>
      </c>
      <c r="I26" s="10">
        <v>5</v>
      </c>
      <c r="J26" s="10">
        <v>0</v>
      </c>
      <c r="K26" s="10">
        <v>0</v>
      </c>
      <c r="L26" s="35">
        <v>3889</v>
      </c>
      <c r="M26" s="35">
        <v>2603</v>
      </c>
      <c r="N26" s="10">
        <v>19</v>
      </c>
    </row>
    <row r="27" spans="2:14" ht="15" thickBot="1" x14ac:dyDescent="0.35">
      <c r="B27" s="3" t="s">
        <v>119</v>
      </c>
      <c r="C27" s="10">
        <v>0</v>
      </c>
      <c r="D27" s="10">
        <v>0</v>
      </c>
      <c r="E27" s="10">
        <v>-97</v>
      </c>
      <c r="F27" s="10">
        <v>-658</v>
      </c>
      <c r="G27" s="10">
        <v>-744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</row>
    <row r="28" spans="2:14" ht="15" thickBot="1" x14ac:dyDescent="0.35">
      <c r="B28" s="3" t="s">
        <v>120</v>
      </c>
      <c r="C28" s="35">
        <v>15530</v>
      </c>
      <c r="D28" s="35">
        <v>27462</v>
      </c>
      <c r="E28" s="35">
        <v>27863</v>
      </c>
      <c r="F28" s="35">
        <v>33258</v>
      </c>
      <c r="G28" s="35">
        <v>36363</v>
      </c>
      <c r="H28" s="35">
        <v>19519</v>
      </c>
      <c r="I28" s="35">
        <v>33390</v>
      </c>
      <c r="J28" s="35">
        <v>37482</v>
      </c>
      <c r="K28" s="35">
        <v>51128</v>
      </c>
      <c r="L28" s="35">
        <v>38297</v>
      </c>
      <c r="M28" s="35">
        <v>46641</v>
      </c>
      <c r="N28" s="35">
        <v>46578</v>
      </c>
    </row>
    <row r="29" spans="2:14" ht="15" thickBot="1" x14ac:dyDescent="0.35">
      <c r="B29" s="3" t="s">
        <v>121</v>
      </c>
      <c r="C29" s="35">
        <v>-16641</v>
      </c>
      <c r="D29" s="35">
        <v>-15010</v>
      </c>
      <c r="E29" s="35">
        <v>-20395</v>
      </c>
      <c r="F29" s="35">
        <v>-29141</v>
      </c>
      <c r="G29" s="35">
        <v>-23332</v>
      </c>
      <c r="H29" s="35">
        <v>-24924</v>
      </c>
      <c r="I29" s="35">
        <v>-21732</v>
      </c>
      <c r="J29" s="35">
        <v>-29964</v>
      </c>
      <c r="K29" s="35">
        <v>-35198</v>
      </c>
      <c r="L29" s="35">
        <v>-29847</v>
      </c>
      <c r="M29" s="35">
        <v>-29709</v>
      </c>
      <c r="N29" s="35">
        <v>-42816</v>
      </c>
    </row>
    <row r="30" spans="2:14" ht="15" thickBot="1" x14ac:dyDescent="0.35">
      <c r="B30" s="3" t="s">
        <v>122</v>
      </c>
      <c r="C30" s="10">
        <v>339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</row>
    <row r="31" spans="2:14" ht="15" thickBot="1" x14ac:dyDescent="0.35">
      <c r="B31" s="3" t="s">
        <v>123</v>
      </c>
      <c r="C31" s="35">
        <v>-2469</v>
      </c>
      <c r="D31" s="35">
        <v>-3374</v>
      </c>
      <c r="E31" s="35">
        <v>-4666</v>
      </c>
      <c r="F31" s="35">
        <v>-6171</v>
      </c>
      <c r="G31" s="35">
        <v>-6307</v>
      </c>
      <c r="H31" s="35">
        <v>-5716</v>
      </c>
      <c r="I31" s="35">
        <v>-5336</v>
      </c>
      <c r="J31" s="35">
        <v>-5411</v>
      </c>
      <c r="K31" s="35">
        <v>-7005</v>
      </c>
      <c r="L31" s="35">
        <v>-7518</v>
      </c>
      <c r="M31" s="35">
        <v>-8123</v>
      </c>
      <c r="N31" s="35">
        <v>-9251</v>
      </c>
    </row>
    <row r="32" spans="2:14" ht="15" thickBot="1" x14ac:dyDescent="0.35">
      <c r="B32" s="3" t="s">
        <v>124</v>
      </c>
      <c r="C32" s="35">
        <v>-1020</v>
      </c>
      <c r="D32" s="35">
        <v>-1503</v>
      </c>
      <c r="E32" s="35">
        <v>-1551</v>
      </c>
      <c r="F32" s="10">
        <v>-722</v>
      </c>
      <c r="G32" s="10">
        <v>-720</v>
      </c>
      <c r="H32" s="10">
        <v>-108</v>
      </c>
      <c r="I32" s="10">
        <v>-121</v>
      </c>
      <c r="J32" s="10">
        <v>-96</v>
      </c>
      <c r="K32" s="10">
        <v>-95</v>
      </c>
      <c r="L32" s="10">
        <v>-57</v>
      </c>
      <c r="M32" s="10">
        <v>-30</v>
      </c>
      <c r="N32" s="10">
        <v>-100</v>
      </c>
    </row>
    <row r="33" spans="2:14" ht="15" thickBot="1" x14ac:dyDescent="0.35">
      <c r="B33" s="3" t="s">
        <v>125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35">
        <v>-1346</v>
      </c>
      <c r="M33" s="35">
        <v>-1477</v>
      </c>
      <c r="N33" s="35">
        <v>-1559</v>
      </c>
    </row>
    <row r="34" spans="2:14" ht="15" thickBot="1" x14ac:dyDescent="0.35">
      <c r="B34" s="3" t="s">
        <v>126</v>
      </c>
      <c r="C34" s="10">
        <v>-399</v>
      </c>
      <c r="D34" s="35">
        <v>-1147</v>
      </c>
      <c r="E34" s="35">
        <v>-2849</v>
      </c>
      <c r="F34" s="10">
        <v>-450</v>
      </c>
      <c r="G34" s="10">
        <v>-57</v>
      </c>
      <c r="H34" s="10">
        <v>0</v>
      </c>
      <c r="I34" s="10">
        <v>0</v>
      </c>
      <c r="J34" s="10">
        <v>0</v>
      </c>
      <c r="K34" s="10">
        <v>0</v>
      </c>
      <c r="L34" s="10">
        <v>-29</v>
      </c>
      <c r="M34" s="10">
        <v>0</v>
      </c>
      <c r="N34" s="35">
        <v>3750</v>
      </c>
    </row>
    <row r="35" spans="2:14" ht="15" thickBot="1" x14ac:dyDescent="0.35">
      <c r="B35" s="3" t="s">
        <v>52</v>
      </c>
      <c r="C35" s="35">
        <v>2815</v>
      </c>
      <c r="D35" s="35">
        <v>5488</v>
      </c>
      <c r="E35" s="35">
        <v>-2499</v>
      </c>
      <c r="F35" s="35">
        <v>4277</v>
      </c>
      <c r="G35" s="35">
        <v>4500</v>
      </c>
      <c r="H35" s="35">
        <v>-2589</v>
      </c>
      <c r="I35" s="35">
        <v>-3167</v>
      </c>
      <c r="J35" s="10">
        <v>730</v>
      </c>
      <c r="K35" s="35">
        <v>6843</v>
      </c>
      <c r="L35" s="35">
        <v>-3092</v>
      </c>
      <c r="M35" s="35">
        <v>13232</v>
      </c>
      <c r="N35" s="35">
        <v>6459</v>
      </c>
    </row>
    <row r="36" spans="2:14" ht="15" thickBot="1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FS </vt:lpstr>
      <vt:lpstr>Data Sheet  </vt:lpstr>
      <vt:lpstr>Cash Flow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dadisetti</dc:creator>
  <cp:lastModifiedBy>lavanya dadisetti</cp:lastModifiedBy>
  <dcterms:created xsi:type="dcterms:W3CDTF">2025-08-27T07:16:41Z</dcterms:created>
  <dcterms:modified xsi:type="dcterms:W3CDTF">2025-08-27T12:38:00Z</dcterms:modified>
</cp:coreProperties>
</file>