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1445" windowHeight="7110"/>
  </bookViews>
  <sheets>
    <sheet name="N2O oxygen " sheetId="1" r:id="rId1"/>
    <sheet name="Oxygen air rotameters" sheetId="2" r:id="rId2"/>
    <sheet name="Set FiO2 + FGF" sheetId="4" r:id="rId3"/>
    <sheet name="N2O oxygen (calcs)" sheetId="5" r:id="rId4"/>
    <sheet name="Oxygen air rotameters (calcs)" sheetId="6" r:id="rId5"/>
    <sheet name="Set FiO2 + FGF (calcs)" sheetId="7" r:id="rId6"/>
  </sheets>
  <calcPr calcId="145621"/>
  <fileRecoveryPr repairLoad="1"/>
</workbook>
</file>

<file path=xl/calcChain.xml><?xml version="1.0" encoding="utf-8"?>
<calcChain xmlns="http://schemas.openxmlformats.org/spreadsheetml/2006/main">
  <c r="E16" i="7" l="1"/>
  <c r="D16" i="7"/>
  <c r="C16" i="7"/>
  <c r="E10" i="7"/>
  <c r="D10" i="7"/>
  <c r="C10" i="7"/>
  <c r="C4" i="7"/>
  <c r="E8" i="7" s="1"/>
  <c r="E11" i="6"/>
  <c r="E6" i="6" s="1"/>
  <c r="E7" i="6" s="1"/>
  <c r="D11" i="6"/>
  <c r="C11" i="6"/>
  <c r="E8" i="6"/>
  <c r="D8" i="6"/>
  <c r="C8" i="6"/>
  <c r="E5" i="6"/>
  <c r="D5" i="6"/>
  <c r="D6" i="6" s="1"/>
  <c r="D7" i="6" s="1"/>
  <c r="C5" i="6"/>
  <c r="C5" i="5"/>
  <c r="D5" i="5"/>
  <c r="E5" i="5"/>
  <c r="C8" i="5"/>
  <c r="C9" i="5" s="1"/>
  <c r="C10" i="5" s="1"/>
  <c r="C11" i="5" s="1"/>
  <c r="C13" i="5" s="1"/>
  <c r="D8" i="5"/>
  <c r="D9" i="5" s="1"/>
  <c r="D10" i="5" s="1"/>
  <c r="D11" i="5" s="1"/>
  <c r="D13" i="5" s="1"/>
  <c r="E8" i="5"/>
  <c r="E9" i="5" s="1"/>
  <c r="E10" i="5" s="1"/>
  <c r="E11" i="5" s="1"/>
  <c r="E13" i="5" s="1"/>
  <c r="C12" i="5"/>
  <c r="D12" i="5"/>
  <c r="E12" i="5"/>
  <c r="C17" i="5"/>
  <c r="D17" i="5"/>
  <c r="E17" i="5"/>
  <c r="D11" i="7" l="1"/>
  <c r="E11" i="7"/>
  <c r="C6" i="5"/>
  <c r="C7" i="5" s="1"/>
  <c r="C11" i="7"/>
  <c r="C6" i="6"/>
  <c r="C7" i="6" s="1"/>
  <c r="E6" i="5"/>
  <c r="E7" i="5" s="1"/>
  <c r="D6" i="5"/>
  <c r="D7" i="5" s="1"/>
  <c r="C18" i="7"/>
  <c r="C19" i="7" s="1"/>
  <c r="C20" i="7" s="1"/>
  <c r="C22" i="7" s="1"/>
  <c r="C28" i="7" s="1"/>
  <c r="C29" i="7" s="1"/>
  <c r="C30" i="7" s="1"/>
  <c r="E18" i="7"/>
  <c r="E19" i="7" s="1"/>
  <c r="E20" i="7" s="1"/>
  <c r="E22" i="7" s="1"/>
  <c r="E23" i="7" s="1"/>
  <c r="C9" i="7"/>
  <c r="C8" i="7"/>
  <c r="D9" i="7"/>
  <c r="D8" i="7"/>
  <c r="D18" i="7"/>
  <c r="D19" i="7" s="1"/>
  <c r="D20" i="7" s="1"/>
  <c r="D22" i="7" s="1"/>
  <c r="E9" i="7"/>
  <c r="E13" i="6"/>
  <c r="E14" i="6" s="1"/>
  <c r="E15" i="6" s="1"/>
  <c r="E17" i="6" s="1"/>
  <c r="E23" i="6" s="1"/>
  <c r="E24" i="6" s="1"/>
  <c r="E25" i="6" s="1"/>
  <c r="C13" i="6"/>
  <c r="C14" i="6" s="1"/>
  <c r="C15" i="6" s="1"/>
  <c r="C17" i="6" s="1"/>
  <c r="D13" i="6"/>
  <c r="D14" i="6" s="1"/>
  <c r="D15" i="6" s="1"/>
  <c r="D17" i="6" s="1"/>
  <c r="E19" i="5"/>
  <c r="E20" i="5" s="1"/>
  <c r="E21" i="5" s="1"/>
  <c r="E23" i="5" s="1"/>
  <c r="E29" i="5" s="1"/>
  <c r="E30" i="5" s="1"/>
  <c r="E31" i="5" s="1"/>
  <c r="D14" i="5"/>
  <c r="C19" i="5"/>
  <c r="C20" i="5" s="1"/>
  <c r="C21" i="5" s="1"/>
  <c r="C23" i="5" s="1"/>
  <c r="C29" i="5" s="1"/>
  <c r="C30" i="5" s="1"/>
  <c r="C31" i="5" s="1"/>
  <c r="C14" i="5"/>
  <c r="E14" i="5"/>
  <c r="D19" i="5"/>
  <c r="D20" i="5" s="1"/>
  <c r="D21" i="5" s="1"/>
  <c r="D23" i="5" s="1"/>
  <c r="E24" i="5" l="1"/>
  <c r="E15" i="5" s="1"/>
  <c r="E25" i="5" s="1"/>
  <c r="C24" i="5"/>
  <c r="C15" i="5" s="1"/>
  <c r="C25" i="5" s="1"/>
  <c r="C23" i="7"/>
  <c r="E28" i="7"/>
  <c r="E29" i="7" s="1"/>
  <c r="E30" i="7" s="1"/>
  <c r="C12" i="7"/>
  <c r="C13" i="7"/>
  <c r="D23" i="7"/>
  <c r="D28" i="7"/>
  <c r="D29" i="7" s="1"/>
  <c r="D30" i="7" s="1"/>
  <c r="D12" i="7"/>
  <c r="D13" i="7"/>
  <c r="E12" i="7"/>
  <c r="E13" i="7"/>
  <c r="E14" i="7" s="1"/>
  <c r="E24" i="7" s="1"/>
  <c r="E18" i="6"/>
  <c r="E9" i="6" s="1"/>
  <c r="E19" i="6" s="1"/>
  <c r="D18" i="6"/>
  <c r="D9" i="6" s="1"/>
  <c r="D19" i="6" s="1"/>
  <c r="D23" i="6"/>
  <c r="D24" i="6" s="1"/>
  <c r="D25" i="6" s="1"/>
  <c r="C23" i="6"/>
  <c r="C24" i="6" s="1"/>
  <c r="C25" i="6" s="1"/>
  <c r="C18" i="6"/>
  <c r="C9" i="6" s="1"/>
  <c r="C19" i="6" s="1"/>
  <c r="D24" i="5"/>
  <c r="D15" i="5" s="1"/>
  <c r="D25" i="5" s="1"/>
  <c r="D29" i="5"/>
  <c r="D30" i="5" s="1"/>
  <c r="D31" i="5" s="1"/>
  <c r="C14" i="7" l="1"/>
  <c r="C24" i="7" s="1"/>
  <c r="D14" i="7"/>
  <c r="D24" i="7" s="1"/>
</calcChain>
</file>

<file path=xl/sharedStrings.xml><?xml version="1.0" encoding="utf-8"?>
<sst xmlns="http://schemas.openxmlformats.org/spreadsheetml/2006/main" count="108" uniqueCount="49">
  <si>
    <t>FGF</t>
  </si>
  <si>
    <t>FiO2</t>
  </si>
  <si>
    <t>Mols/hr</t>
  </si>
  <si>
    <t>Mass nitrous oxide per hour (Kg)</t>
  </si>
  <si>
    <t>mls vapour</t>
  </si>
  <si>
    <t>Sevoflurane</t>
  </si>
  <si>
    <t>MW</t>
  </si>
  <si>
    <t>Desflurane</t>
  </si>
  <si>
    <t>Isoflurane</t>
  </si>
  <si>
    <t>Percent</t>
  </si>
  <si>
    <t>FGF/l</t>
  </si>
  <si>
    <t>Mols</t>
  </si>
  <si>
    <t>GWP</t>
  </si>
  <si>
    <t>litres N2O/min</t>
  </si>
  <si>
    <t>Litres N20 per hour</t>
  </si>
  <si>
    <t>Total Gas</t>
  </si>
  <si>
    <t>CO2e (Kg/Hr)</t>
  </si>
  <si>
    <t>CO2e N2O(Kg/hour)</t>
  </si>
  <si>
    <t>TOTAL inc halogenated agent (Kg/Hr)</t>
  </si>
  <si>
    <t>FGF+Vapour</t>
  </si>
  <si>
    <t>Nitrous/min</t>
  </si>
  <si>
    <t>Oxygen/min</t>
  </si>
  <si>
    <t>Calculated FiO2</t>
  </si>
  <si>
    <t>% Vapour</t>
  </si>
  <si>
    <t>Litres O2/min</t>
  </si>
  <si>
    <t>Percent vapour</t>
  </si>
  <si>
    <t>Air/min</t>
  </si>
  <si>
    <t>mls vapour/min</t>
  </si>
  <si>
    <t>Mass/kg/hr</t>
  </si>
  <si>
    <t>Mass/min (kg)</t>
  </si>
  <si>
    <t>Mass/hr (Kg)</t>
  </si>
  <si>
    <t>Mass/hr (kg)</t>
  </si>
  <si>
    <t>CO2e for Oxygen at 0.4g/l (Kg/Hr)</t>
  </si>
  <si>
    <t>CO2e (KgCO2e/Hr)</t>
  </si>
  <si>
    <t>Air (l/min)</t>
  </si>
  <si>
    <t>Oxygen (l/min)</t>
  </si>
  <si>
    <t>CO2e (kg CO2e/Hr)</t>
  </si>
  <si>
    <t>CO2e (kg CO2/Hr)</t>
  </si>
  <si>
    <t>Unit cost</t>
  </si>
  <si>
    <t>Unit volume</t>
  </si>
  <si>
    <t>Vol liquid used/Hr</t>
  </si>
  <si>
    <t>Density Kg/cm3</t>
  </si>
  <si>
    <t>Fraction of bottle</t>
  </si>
  <si>
    <t>Cost per hour (£)</t>
  </si>
  <si>
    <t>INPUTS</t>
  </si>
  <si>
    <t>Calculations</t>
  </si>
  <si>
    <t>Oxygen air rotameters</t>
  </si>
  <si>
    <t>N20 oxygen rotameters</t>
  </si>
  <si>
    <t>Set FiO2 + FGF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</si>
</sst>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Fon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1" fillId="0" borderId="1" xfId="0" applyNumberFormat="1" applyFont="1" applyFill="1" applyBorder="1"/>
    <xf numFmtId="2" fontId="0" fillId="3" borderId="1" xfId="0" applyNumberFormat="1" applyFont="1" applyFill="1" applyBorder="1"/>
    <xf numFmtId="2" fontId="0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/>
    <xf numFmtId="2" fontId="0" fillId="4" borderId="1" xfId="0" applyNumberFormat="1" applyFon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</a:t>
            </a:r>
            <a:r>
              <a:rPr lang="en-US" baseline="-25000"/>
              <a:t>2</a:t>
            </a:r>
            <a:r>
              <a:rPr lang="en-US"/>
              <a:t>e</a:t>
            </a:r>
            <a:r>
              <a:rPr lang="en-US" baseline="0"/>
              <a:t> (KgCO</a:t>
            </a:r>
            <a:r>
              <a:rPr lang="en-US" baseline="-25000"/>
              <a:t>2</a:t>
            </a:r>
            <a:r>
              <a:rPr lang="en-US" baseline="0"/>
              <a:t>e/Hr)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'N2O oxygen (calcs)'!$C$4:$E$4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'N2O oxygen (calcs)'!$C$25:$E$25</c:f>
              <c:numCache>
                <c:formatCode>0.00</c:formatCode>
                <c:ptCount val="3"/>
                <c:pt idx="0">
                  <c:v>80.988836065573764</c:v>
                </c:pt>
                <c:pt idx="1">
                  <c:v>70.94203278688525</c:v>
                </c:pt>
                <c:pt idx="2">
                  <c:v>193.0233442622951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9408"/>
        <c:axId val="133970944"/>
      </c:barChart>
      <c:catAx>
        <c:axId val="1339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70944"/>
        <c:crosses val="autoZero"/>
        <c:auto val="1"/>
        <c:lblAlgn val="ctr"/>
        <c:lblOffset val="100"/>
        <c:noMultiLvlLbl val="0"/>
      </c:catAx>
      <c:valAx>
        <c:axId val="133970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96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 hour  (£)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'N2O oxygen (calcs)'!$C$4:$E$4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'N2O oxygen (calcs)'!$C$31:$E$31</c:f>
              <c:numCache>
                <c:formatCode>0.00</c:formatCode>
                <c:ptCount val="3"/>
                <c:pt idx="0">
                  <c:v>0.74324399932859642</c:v>
                </c:pt>
                <c:pt idx="1">
                  <c:v>6.2122519413287316</c:v>
                </c:pt>
                <c:pt idx="2">
                  <c:v>10.57460974654507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09216"/>
        <c:axId val="134010752"/>
      </c:barChart>
      <c:catAx>
        <c:axId val="134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0752"/>
        <c:crosses val="autoZero"/>
        <c:auto val="1"/>
        <c:lblAlgn val="ctr"/>
        <c:lblOffset val="100"/>
        <c:noMultiLvlLbl val="0"/>
      </c:catAx>
      <c:valAx>
        <c:axId val="134010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0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CO2e (kg CO</a:t>
            </a:r>
            <a:r>
              <a:rPr lang="en-US" baseline="-25000"/>
              <a:t>2</a:t>
            </a:r>
            <a:r>
              <a:rPr lang="en-US"/>
              <a:t>/hr)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'Oxygen air rotameters (calcs)'!$C$4:$E$4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'Oxygen air rotameters (calcs)'!$C$19:$E$19</c:f>
              <c:numCache>
                <c:formatCode>0.00</c:formatCode>
                <c:ptCount val="3"/>
                <c:pt idx="0">
                  <c:v>11.629057377049181</c:v>
                </c:pt>
                <c:pt idx="1">
                  <c:v>1.2906885245901638</c:v>
                </c:pt>
                <c:pt idx="2">
                  <c:v>62.970688524590166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90368"/>
        <c:axId val="140112640"/>
      </c:barChart>
      <c:catAx>
        <c:axId val="1400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12640"/>
        <c:crosses val="autoZero"/>
        <c:auto val="1"/>
        <c:lblAlgn val="ctr"/>
        <c:lblOffset val="100"/>
        <c:noMultiLvlLbl val="0"/>
      </c:catAx>
      <c:valAx>
        <c:axId val="14011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0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 hour (£)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1826297399005"/>
          <c:y val="0.25361642596751222"/>
          <c:w val="0.89138173702600998"/>
          <c:h val="0.6383612209525765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'Oxygen air rotameters (calcs)'!$C$4:$E$4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'Oxygen air rotameters (calcs)'!$C$25:$E$25</c:f>
              <c:numCache>
                <c:formatCode>0.00</c:formatCode>
                <c:ptCount val="3"/>
                <c:pt idx="0">
                  <c:v>0.61936999944049687</c:v>
                </c:pt>
                <c:pt idx="1">
                  <c:v>2.0707506471095769</c:v>
                </c:pt>
                <c:pt idx="2">
                  <c:v>5.287304873272535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46176"/>
        <c:axId val="140147712"/>
      </c:barChart>
      <c:catAx>
        <c:axId val="140146176"/>
        <c:scaling>
          <c:orientation val="minMax"/>
        </c:scaling>
        <c:delete val="0"/>
        <c:axPos val="b"/>
        <c:numFmt formatCode="&quot;£&quot;#,##0.00" sourceLinked="1"/>
        <c:majorTickMark val="out"/>
        <c:minorTickMark val="none"/>
        <c:tickLblPos val="nextTo"/>
        <c:crossAx val="140147712"/>
        <c:crosses val="autoZero"/>
        <c:auto val="1"/>
        <c:lblAlgn val="ctr"/>
        <c:lblOffset val="100"/>
        <c:noMultiLvlLbl val="0"/>
      </c:catAx>
      <c:valAx>
        <c:axId val="14014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14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CO2e (kg CO</a:t>
            </a:r>
            <a:r>
              <a:rPr lang="en-GB" baseline="-25000"/>
              <a:t>2</a:t>
            </a:r>
            <a:r>
              <a:rPr lang="en-GB"/>
              <a:t>e/Hr)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'Set FiO2 + FGF (calcs)'!$C$7:$E$7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'Set FiO2 + FGF (calcs)'!$C$24:$E$24</c:f>
              <c:numCache>
                <c:formatCode>0.00</c:formatCode>
                <c:ptCount val="3"/>
                <c:pt idx="0">
                  <c:v>4.6452816107438188</c:v>
                </c:pt>
                <c:pt idx="1">
                  <c:v>2.5750357091044744</c:v>
                </c:pt>
                <c:pt idx="2">
                  <c:v>83.962576692711039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95712"/>
        <c:axId val="140197248"/>
      </c:barChart>
      <c:catAx>
        <c:axId val="1401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97248"/>
        <c:crosses val="autoZero"/>
        <c:auto val="1"/>
        <c:lblAlgn val="ctr"/>
        <c:lblOffset val="100"/>
        <c:noMultiLvlLbl val="0"/>
      </c:catAx>
      <c:valAx>
        <c:axId val="140197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1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 per hour (£)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'Set FiO2 + FGF (calcs)'!$C$7:$E$7</c:f>
              <c:strCache>
                <c:ptCount val="3"/>
                <c:pt idx="0">
                  <c:v>Isoflurane</c:v>
                </c:pt>
                <c:pt idx="1">
                  <c:v>Sevoflurane</c:v>
                </c:pt>
                <c:pt idx="2">
                  <c:v>Desflurane</c:v>
                </c:pt>
              </c:strCache>
            </c:strRef>
          </c:cat>
          <c:val>
            <c:numRef>
              <c:f>'Set FiO2 + FGF (calcs)'!$C$30:$E$30</c:f>
              <c:numCache>
                <c:formatCode>0.00</c:formatCode>
                <c:ptCount val="3"/>
                <c:pt idx="0">
                  <c:v>0.24774799977619874</c:v>
                </c:pt>
                <c:pt idx="1">
                  <c:v>4.1415012942191538</c:v>
                </c:pt>
                <c:pt idx="2">
                  <c:v>7.0497398310300454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13248"/>
        <c:axId val="140239616"/>
      </c:barChart>
      <c:catAx>
        <c:axId val="1402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39616"/>
        <c:crosses val="autoZero"/>
        <c:auto val="1"/>
        <c:lblAlgn val="ctr"/>
        <c:lblOffset val="100"/>
        <c:noMultiLvlLbl val="0"/>
      </c:catAx>
      <c:valAx>
        <c:axId val="14023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21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627590</xdr:colOff>
      <xdr:row>8</xdr:row>
      <xdr:rowOff>168273</xdr:rowOff>
    </xdr:from>
    <xdr:to>
      <xdr:col>13</xdr:col>
      <xdr:colOff>143933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268817</xdr:colOff>
      <xdr:row>8</xdr:row>
      <xdr:rowOff>158748</xdr:rowOff>
    </xdr:from>
    <xdr:to>
      <xdr:col>7</xdr:col>
      <xdr:colOff>385234</xdr:colOff>
      <xdr:row>24</xdr:row>
      <xdr:rowOff>64558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751418</xdr:colOff>
      <xdr:row>8</xdr:row>
      <xdr:rowOff>158750</xdr:rowOff>
    </xdr:from>
    <xdr:to>
      <xdr:col>11</xdr:col>
      <xdr:colOff>1296459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169863</xdr:colOff>
      <xdr:row>8</xdr:row>
      <xdr:rowOff>153988</xdr:rowOff>
    </xdr:from>
    <xdr:to>
      <xdr:col>6</xdr:col>
      <xdr:colOff>569385</xdr:colOff>
      <xdr:row>21</xdr:row>
      <xdr:rowOff>34926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138112</xdr:rowOff>
    </xdr:from>
    <xdr:to>
      <xdr:col>12</xdr:col>
      <xdr:colOff>466725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61911</xdr:colOff>
      <xdr:row>9</xdr:row>
      <xdr:rowOff>119061</xdr:rowOff>
    </xdr:from>
    <xdr:to>
      <xdr:col>7</xdr:col>
      <xdr:colOff>171449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6"/>
  <sheetViews>
    <sheetView showGridLines="0" tabSelected="1" zoomScale="80" zoomScaleNormal="80" workbookViewId="0">
      <selection activeCell="D8" sqref="D8"/>
    </sheetView>
  </sheetViews>
  <sheetFormatPr defaultRowHeight="15" x14ac:dyDescent="0.25"/>
  <cols>
    <col min="1" max="11" width="12.5703125" customWidth="1"/>
    <col min="12" max="12" width="34.28515625" customWidth="1"/>
    <col min="13" max="13" width="12.42578125" customWidth="1"/>
    <col min="14" max="14" width="15.28515625" customWidth="1"/>
    <col min="15" max="15" width="11.42578125" customWidth="1"/>
    <col min="16" max="16" width="18" bestFit="1" customWidth="1"/>
    <col min="17" max="17" width="10.28515625" customWidth="1"/>
    <col min="18" max="18" width="30.28515625" bestFit="1" customWidth="1"/>
    <col min="19" max="19" width="30.28515625" customWidth="1"/>
    <col min="20" max="20" width="16.7109375" customWidth="1"/>
    <col min="22" max="22" width="32.5703125" customWidth="1"/>
  </cols>
  <sheetData>
    <row r="1" spans="1:6" ht="23.25" x14ac:dyDescent="0.35">
      <c r="A1" s="12" t="s">
        <v>47</v>
      </c>
    </row>
    <row r="2" spans="1:6" x14ac:dyDescent="0.25">
      <c r="C2" s="1" t="s">
        <v>44</v>
      </c>
    </row>
    <row r="3" spans="1:6" x14ac:dyDescent="0.25">
      <c r="C3" s="10"/>
      <c r="D3" s="11" t="s">
        <v>8</v>
      </c>
      <c r="E3" s="11" t="s">
        <v>5</v>
      </c>
      <c r="F3" s="11" t="s">
        <v>7</v>
      </c>
    </row>
    <row r="4" spans="1:6" x14ac:dyDescent="0.25">
      <c r="C4" s="6" t="s">
        <v>23</v>
      </c>
      <c r="D4" s="14">
        <v>2</v>
      </c>
      <c r="E4" s="14">
        <v>2</v>
      </c>
      <c r="F4" s="14">
        <v>4</v>
      </c>
    </row>
    <row r="5" spans="1:6" x14ac:dyDescent="0.25">
      <c r="C5" s="6" t="s">
        <v>20</v>
      </c>
      <c r="D5" s="14">
        <v>2</v>
      </c>
      <c r="E5" s="14">
        <v>2</v>
      </c>
      <c r="F5" s="14">
        <v>2</v>
      </c>
    </row>
    <row r="6" spans="1:6" x14ac:dyDescent="0.25">
      <c r="C6" s="6" t="s">
        <v>21</v>
      </c>
      <c r="D6" s="14">
        <v>1</v>
      </c>
      <c r="E6" s="14">
        <v>1</v>
      </c>
      <c r="F6" s="14">
        <v>1</v>
      </c>
    </row>
    <row r="7" spans="1:6" x14ac:dyDescent="0.25">
      <c r="C7" s="6" t="s">
        <v>38</v>
      </c>
      <c r="D7" s="16">
        <v>10</v>
      </c>
      <c r="E7" s="16">
        <v>80</v>
      </c>
      <c r="F7" s="16">
        <v>75</v>
      </c>
    </row>
    <row r="20" spans="1:11" s="1" customFormat="1" x14ac:dyDescent="0.25">
      <c r="K20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38" spans="1:2" x14ac:dyDescent="0.25">
      <c r="B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37"/>
  <sheetViews>
    <sheetView showGridLines="0" zoomScale="90" zoomScaleNormal="90" workbookViewId="0">
      <selection activeCell="D8" sqref="D8"/>
    </sheetView>
  </sheetViews>
  <sheetFormatPr defaultRowHeight="15" x14ac:dyDescent="0.25"/>
  <cols>
    <col min="1" max="2" width="10.7109375" customWidth="1"/>
    <col min="3" max="3" width="14.5703125" bestFit="1" customWidth="1"/>
    <col min="4" max="4" width="12.42578125" customWidth="1"/>
    <col min="5" max="5" width="11.5703125" customWidth="1"/>
    <col min="6" max="6" width="11.85546875" customWidth="1"/>
    <col min="7" max="11" width="14.28515625" customWidth="1"/>
    <col min="12" max="12" width="40.5703125" customWidth="1"/>
    <col min="13" max="15" width="14.28515625" customWidth="1"/>
  </cols>
  <sheetData>
    <row r="1" spans="1:6" ht="23.25" x14ac:dyDescent="0.35">
      <c r="A1" s="12" t="s">
        <v>46</v>
      </c>
    </row>
    <row r="2" spans="1:6" x14ac:dyDescent="0.25">
      <c r="C2" s="1" t="s">
        <v>44</v>
      </c>
    </row>
    <row r="3" spans="1:6" x14ac:dyDescent="0.25">
      <c r="C3" s="10"/>
      <c r="D3" s="11" t="s">
        <v>8</v>
      </c>
      <c r="E3" s="11" t="s">
        <v>5</v>
      </c>
      <c r="F3" s="11" t="s">
        <v>7</v>
      </c>
    </row>
    <row r="4" spans="1:6" x14ac:dyDescent="0.25">
      <c r="C4" s="3" t="s">
        <v>25</v>
      </c>
      <c r="D4" s="15">
        <v>1</v>
      </c>
      <c r="E4" s="15">
        <v>2</v>
      </c>
      <c r="F4" s="15">
        <v>6</v>
      </c>
    </row>
    <row r="5" spans="1:6" x14ac:dyDescent="0.25">
      <c r="C5" s="3" t="s">
        <v>34</v>
      </c>
      <c r="D5" s="15">
        <v>2.5</v>
      </c>
      <c r="E5" s="15">
        <v>0.5</v>
      </c>
      <c r="F5" s="15">
        <v>0.5</v>
      </c>
    </row>
    <row r="6" spans="1:6" x14ac:dyDescent="0.25">
      <c r="C6" s="3" t="s">
        <v>35</v>
      </c>
      <c r="D6" s="15">
        <v>2.5</v>
      </c>
      <c r="E6" s="15">
        <v>0.5</v>
      </c>
      <c r="F6" s="15">
        <v>0.5</v>
      </c>
    </row>
    <row r="7" spans="1:6" x14ac:dyDescent="0.25">
      <c r="C7" s="3" t="s">
        <v>38</v>
      </c>
      <c r="D7" s="16">
        <v>10</v>
      </c>
      <c r="E7" s="16">
        <v>80</v>
      </c>
      <c r="F7" s="16">
        <v>75</v>
      </c>
    </row>
    <row r="27" spans="1:2" x14ac:dyDescent="0.25"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38"/>
  <sheetViews>
    <sheetView showGridLines="0" zoomScaleNormal="100" workbookViewId="0">
      <selection activeCell="F7" sqref="F7"/>
    </sheetView>
  </sheetViews>
  <sheetFormatPr defaultRowHeight="15" x14ac:dyDescent="0.25"/>
  <cols>
    <col min="1" max="1" width="11.7109375" customWidth="1"/>
    <col min="3" max="3" width="14.5703125" bestFit="1" customWidth="1"/>
    <col min="4" max="4" width="12.42578125" customWidth="1"/>
    <col min="5" max="5" width="11.5703125" customWidth="1"/>
    <col min="6" max="6" width="11.85546875" customWidth="1"/>
    <col min="7" max="7" width="16" customWidth="1"/>
    <col min="10" max="10" width="34.28515625" bestFit="1" customWidth="1"/>
    <col min="11" max="11" width="12.42578125" customWidth="1"/>
    <col min="12" max="12" width="11.5703125" customWidth="1"/>
    <col min="13" max="13" width="11.85546875" customWidth="1"/>
  </cols>
  <sheetData>
    <row r="1" spans="1:7" ht="23.25" x14ac:dyDescent="0.35">
      <c r="A1" s="12" t="s">
        <v>48</v>
      </c>
    </row>
    <row r="2" spans="1:7" x14ac:dyDescent="0.25">
      <c r="C2" s="1" t="s">
        <v>44</v>
      </c>
    </row>
    <row r="3" spans="1:7" x14ac:dyDescent="0.25">
      <c r="C3" s="11" t="s">
        <v>1</v>
      </c>
      <c r="D3" s="11" t="s">
        <v>0</v>
      </c>
    </row>
    <row r="4" spans="1:7" x14ac:dyDescent="0.25">
      <c r="C4" s="14">
        <v>0.5</v>
      </c>
      <c r="D4" s="14">
        <v>2</v>
      </c>
    </row>
    <row r="5" spans="1:7" x14ac:dyDescent="0.25">
      <c r="C5" s="10"/>
      <c r="D5" s="11" t="s">
        <v>8</v>
      </c>
      <c r="E5" s="11" t="s">
        <v>5</v>
      </c>
      <c r="F5" s="11" t="s">
        <v>7</v>
      </c>
    </row>
    <row r="6" spans="1:7" x14ac:dyDescent="0.25">
      <c r="C6" s="6" t="s">
        <v>25</v>
      </c>
      <c r="D6" s="14">
        <v>1</v>
      </c>
      <c r="E6" s="14">
        <v>2</v>
      </c>
      <c r="F6" s="14">
        <v>4</v>
      </c>
    </row>
    <row r="7" spans="1:7" x14ac:dyDescent="0.25">
      <c r="C7" s="6" t="s">
        <v>38</v>
      </c>
      <c r="D7" s="16">
        <v>10</v>
      </c>
      <c r="E7" s="16">
        <v>80</v>
      </c>
      <c r="F7" s="16">
        <v>75</v>
      </c>
    </row>
    <row r="15" spans="1:7" x14ac:dyDescent="0.25">
      <c r="D15" s="1"/>
      <c r="E15" s="1"/>
      <c r="F15" s="1"/>
      <c r="G15" s="1"/>
    </row>
    <row r="17" spans="1:7" x14ac:dyDescent="0.25">
      <c r="E17" s="1"/>
      <c r="G17" s="2"/>
    </row>
    <row r="18" spans="1:7" x14ac:dyDescent="0.25">
      <c r="D18" s="1"/>
      <c r="E18" s="1"/>
      <c r="G18" s="2"/>
    </row>
    <row r="20" spans="1:7" x14ac:dyDescent="0.25">
      <c r="E20" s="1"/>
      <c r="G20" s="2"/>
    </row>
    <row r="21" spans="1:7" x14ac:dyDescent="0.25">
      <c r="D21" s="1"/>
      <c r="E21" s="1"/>
      <c r="G21" s="2"/>
    </row>
    <row r="30" spans="1:7" x14ac:dyDescent="0.25">
      <c r="B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1"/>
  <sheetViews>
    <sheetView showGridLines="0" topLeftCell="A9" workbookViewId="0">
      <selection activeCell="A29" sqref="A29"/>
    </sheetView>
  </sheetViews>
  <sheetFormatPr defaultRowHeight="15" x14ac:dyDescent="0.25"/>
  <cols>
    <col min="2" max="2" width="34.28515625" customWidth="1"/>
    <col min="3" max="3" width="12.42578125" style="17" customWidth="1"/>
    <col min="4" max="4" width="15.28515625" style="17" customWidth="1"/>
    <col min="5" max="5" width="11.42578125" style="17" customWidth="1"/>
  </cols>
  <sheetData>
    <row r="1" spans="1:5" ht="23.25" x14ac:dyDescent="0.35">
      <c r="A1" s="12" t="s">
        <v>47</v>
      </c>
    </row>
    <row r="3" spans="1:5" x14ac:dyDescent="0.25">
      <c r="B3" s="1" t="s">
        <v>45</v>
      </c>
    </row>
    <row r="4" spans="1:5" x14ac:dyDescent="0.25">
      <c r="B4" s="9"/>
      <c r="C4" s="18" t="s">
        <v>8</v>
      </c>
      <c r="D4" s="18" t="s">
        <v>5</v>
      </c>
      <c r="E4" s="18" t="s">
        <v>7</v>
      </c>
    </row>
    <row r="5" spans="1:5" x14ac:dyDescent="0.25">
      <c r="B5" s="3" t="s">
        <v>10</v>
      </c>
      <c r="C5" s="19">
        <f>'N2O oxygen '!D5+'N2O oxygen '!D6</f>
        <v>3</v>
      </c>
      <c r="D5" s="19">
        <f>'N2O oxygen '!E5+'N2O oxygen '!E6</f>
        <v>3</v>
      </c>
      <c r="E5" s="19">
        <f>'N2O oxygen '!F5+'N2O oxygen '!F6</f>
        <v>3</v>
      </c>
    </row>
    <row r="6" spans="1:5" x14ac:dyDescent="0.25">
      <c r="B6" s="3" t="s">
        <v>19</v>
      </c>
      <c r="C6" s="20">
        <f>C5+((C17/100)*C5)</f>
        <v>3.06</v>
      </c>
      <c r="D6" s="20">
        <f>D5+((D17/100)*D5)</f>
        <v>3.06</v>
      </c>
      <c r="E6" s="20">
        <f>E5+((E17/100)*E5)</f>
        <v>3.12</v>
      </c>
    </row>
    <row r="7" spans="1:5" x14ac:dyDescent="0.25">
      <c r="B7" s="3" t="s">
        <v>22</v>
      </c>
      <c r="C7" s="19">
        <f>'N2O oxygen '!D6/C6</f>
        <v>0.32679738562091504</v>
      </c>
      <c r="D7" s="19">
        <f>'N2O oxygen '!E6/D6</f>
        <v>0.32679738562091504</v>
      </c>
      <c r="E7" s="19">
        <f>'N2O oxygen '!F6/E6</f>
        <v>0.32051282051282048</v>
      </c>
    </row>
    <row r="8" spans="1:5" x14ac:dyDescent="0.25">
      <c r="B8" s="3" t="s">
        <v>13</v>
      </c>
      <c r="C8" s="20">
        <f>'N2O oxygen '!D5</f>
        <v>2</v>
      </c>
      <c r="D8" s="20">
        <f>'N2O oxygen '!E5</f>
        <v>2</v>
      </c>
      <c r="E8" s="20">
        <f>'N2O oxygen '!F5</f>
        <v>2</v>
      </c>
    </row>
    <row r="9" spans="1:5" x14ac:dyDescent="0.25">
      <c r="B9" s="3" t="s">
        <v>14</v>
      </c>
      <c r="C9" s="20">
        <f>(C8*60)</f>
        <v>120</v>
      </c>
      <c r="D9" s="20">
        <f>(D8*60)</f>
        <v>120</v>
      </c>
      <c r="E9" s="20">
        <f>(E8*60)</f>
        <v>120</v>
      </c>
    </row>
    <row r="10" spans="1:5" x14ac:dyDescent="0.25">
      <c r="B10" s="3" t="s">
        <v>2</v>
      </c>
      <c r="C10" s="20">
        <f>(C9/24.4)</f>
        <v>4.918032786885246</v>
      </c>
      <c r="D10" s="20">
        <f>(D9/24.4)</f>
        <v>4.918032786885246</v>
      </c>
      <c r="E10" s="20">
        <f>(E9/24.4)</f>
        <v>4.918032786885246</v>
      </c>
    </row>
    <row r="11" spans="1:5" x14ac:dyDescent="0.25">
      <c r="B11" s="3" t="s">
        <v>3</v>
      </c>
      <c r="C11" s="20">
        <f>(C10*44)/1000</f>
        <v>0.21639344262295082</v>
      </c>
      <c r="D11" s="20">
        <f>(D10*44)/1000</f>
        <v>0.21639344262295082</v>
      </c>
      <c r="E11" s="20">
        <f>(E10*44)/1000</f>
        <v>0.21639344262295082</v>
      </c>
    </row>
    <row r="12" spans="1:5" x14ac:dyDescent="0.25">
      <c r="B12" s="3" t="s">
        <v>32</v>
      </c>
      <c r="C12" s="20">
        <f>'N2O oxygen '!D6*0.0004*60</f>
        <v>2.4E-2</v>
      </c>
      <c r="D12" s="20">
        <f>'N2O oxygen '!E6*0.0004*60</f>
        <v>2.4E-2</v>
      </c>
      <c r="E12" s="20">
        <f>'N2O oxygen '!F6*0.0004*60</f>
        <v>2.4E-2</v>
      </c>
    </row>
    <row r="13" spans="1:5" x14ac:dyDescent="0.25">
      <c r="B13" s="3" t="s">
        <v>17</v>
      </c>
      <c r="C13" s="20">
        <f>C11*310</f>
        <v>67.081967213114751</v>
      </c>
      <c r="D13" s="20">
        <f>D11*310</f>
        <v>67.081967213114751</v>
      </c>
      <c r="E13" s="20">
        <f>E11*310</f>
        <v>67.081967213114751</v>
      </c>
    </row>
    <row r="14" spans="1:5" x14ac:dyDescent="0.25">
      <c r="B14" s="3" t="s">
        <v>15</v>
      </c>
      <c r="C14" s="20">
        <f>C12+C13</f>
        <v>67.105967213114752</v>
      </c>
      <c r="D14" s="20">
        <f>D12+D13</f>
        <v>67.105967213114752</v>
      </c>
      <c r="E14" s="20">
        <f>E12+E13</f>
        <v>67.105967213114752</v>
      </c>
    </row>
    <row r="15" spans="1:5" x14ac:dyDescent="0.25">
      <c r="B15" s="3" t="s">
        <v>18</v>
      </c>
      <c r="C15" s="20">
        <f>C14+C24</f>
        <v>80.988836065573764</v>
      </c>
      <c r="D15" s="20">
        <f>D14+D24</f>
        <v>70.94203278688525</v>
      </c>
      <c r="E15" s="20">
        <f>E14+E24</f>
        <v>193.0233442622951</v>
      </c>
    </row>
    <row r="16" spans="1:5" x14ac:dyDescent="0.25">
      <c r="B16" s="7"/>
      <c r="C16" s="21"/>
      <c r="D16" s="21"/>
      <c r="E16" s="21"/>
    </row>
    <row r="17" spans="2:5" x14ac:dyDescent="0.25">
      <c r="B17" s="3" t="s">
        <v>9</v>
      </c>
      <c r="C17" s="22">
        <f>'N2O oxygen '!D4</f>
        <v>2</v>
      </c>
      <c r="D17" s="22">
        <f>'N2O oxygen '!E4</f>
        <v>2</v>
      </c>
      <c r="E17" s="22">
        <f>'N2O oxygen '!F4</f>
        <v>4</v>
      </c>
    </row>
    <row r="18" spans="2:5" x14ac:dyDescent="0.25">
      <c r="B18" s="3" t="s">
        <v>6</v>
      </c>
      <c r="C18" s="20">
        <v>184.5</v>
      </c>
      <c r="D18" s="20">
        <v>200</v>
      </c>
      <c r="E18" s="20">
        <v>168</v>
      </c>
    </row>
    <row r="19" spans="2:5" x14ac:dyDescent="0.25">
      <c r="B19" s="3" t="s">
        <v>4</v>
      </c>
      <c r="C19" s="20">
        <f>(C5*1000)*(C17/100)</f>
        <v>60</v>
      </c>
      <c r="D19" s="20">
        <f>(D5*1000)*(D17/100)</f>
        <v>60</v>
      </c>
      <c r="E19" s="20">
        <f>(E5*1000)*(E17/100)</f>
        <v>120</v>
      </c>
    </row>
    <row r="20" spans="2:5" x14ac:dyDescent="0.25">
      <c r="B20" s="3" t="s">
        <v>11</v>
      </c>
      <c r="C20" s="20">
        <f>C19/24400</f>
        <v>2.4590163934426232E-3</v>
      </c>
      <c r="D20" s="20">
        <f>D19/24400</f>
        <v>2.4590163934426232E-3</v>
      </c>
      <c r="E20" s="20">
        <f>E19/24400</f>
        <v>4.9180327868852463E-3</v>
      </c>
    </row>
    <row r="21" spans="2:5" x14ac:dyDescent="0.25">
      <c r="B21" s="5" t="s">
        <v>29</v>
      </c>
      <c r="C21" s="20">
        <f>(C18*C20)/1000</f>
        <v>4.5368852459016395E-4</v>
      </c>
      <c r="D21" s="20">
        <f>(D18*D20)/1000</f>
        <v>4.9180327868852459E-4</v>
      </c>
      <c r="E21" s="20">
        <f>(E18*E20)/1000</f>
        <v>8.2622950819672141E-4</v>
      </c>
    </row>
    <row r="22" spans="2:5" x14ac:dyDescent="0.25">
      <c r="B22" s="3" t="s">
        <v>12</v>
      </c>
      <c r="C22" s="20">
        <v>510</v>
      </c>
      <c r="D22" s="20">
        <v>130</v>
      </c>
      <c r="E22" s="20">
        <v>2540</v>
      </c>
    </row>
    <row r="23" spans="2:5" x14ac:dyDescent="0.25">
      <c r="B23" s="4" t="s">
        <v>31</v>
      </c>
      <c r="C23" s="20">
        <f>C21*60</f>
        <v>2.7221311475409838E-2</v>
      </c>
      <c r="D23" s="20">
        <f>D21*60</f>
        <v>2.9508196721311476E-2</v>
      </c>
      <c r="E23" s="20">
        <f>E21*60</f>
        <v>4.9573770491803282E-2</v>
      </c>
    </row>
    <row r="24" spans="2:5" x14ac:dyDescent="0.25">
      <c r="B24" s="6" t="s">
        <v>16</v>
      </c>
      <c r="C24" s="20">
        <f>C22*C23</f>
        <v>13.882868852459017</v>
      </c>
      <c r="D24" s="20">
        <f>D22*D23</f>
        <v>3.8360655737704921</v>
      </c>
      <c r="E24" s="20">
        <f>E22*E23</f>
        <v>125.91737704918033</v>
      </c>
    </row>
    <row r="25" spans="2:5" x14ac:dyDescent="0.25">
      <c r="B25" s="3" t="s">
        <v>33</v>
      </c>
      <c r="C25" s="20">
        <f>C15</f>
        <v>80.988836065573764</v>
      </c>
      <c r="D25" s="20">
        <f>D15</f>
        <v>70.94203278688525</v>
      </c>
      <c r="E25" s="20">
        <f>E15</f>
        <v>193.0233442622951</v>
      </c>
    </row>
    <row r="26" spans="2:5" x14ac:dyDescent="0.25">
      <c r="B26" s="8"/>
      <c r="C26" s="21"/>
      <c r="D26" s="23"/>
      <c r="E26" s="21"/>
    </row>
    <row r="27" spans="2:5" x14ac:dyDescent="0.25">
      <c r="B27" s="6" t="s">
        <v>41</v>
      </c>
      <c r="C27" s="20">
        <v>1.4649999999999999E-3</v>
      </c>
      <c r="D27" s="20">
        <v>1.5200000000000001E-3</v>
      </c>
      <c r="E27" s="20">
        <v>1.4649999999999999E-3</v>
      </c>
    </row>
    <row r="28" spans="2:5" x14ac:dyDescent="0.25">
      <c r="B28" s="3" t="s">
        <v>39</v>
      </c>
      <c r="C28" s="20">
        <v>250</v>
      </c>
      <c r="D28" s="20">
        <v>250</v>
      </c>
      <c r="E28" s="20">
        <v>240</v>
      </c>
    </row>
    <row r="29" spans="2:5" x14ac:dyDescent="0.25">
      <c r="B29" s="3" t="s">
        <v>40</v>
      </c>
      <c r="C29" s="20">
        <f>C23/C27</f>
        <v>18.581099983214909</v>
      </c>
      <c r="D29" s="20">
        <f>D23/D27</f>
        <v>19.413287316652287</v>
      </c>
      <c r="E29" s="20">
        <f>E23/E27</f>
        <v>33.838751188944222</v>
      </c>
    </row>
    <row r="30" spans="2:5" x14ac:dyDescent="0.25">
      <c r="B30" s="3" t="s">
        <v>42</v>
      </c>
      <c r="C30" s="20">
        <f>C29/C28</f>
        <v>7.4324399932859636E-2</v>
      </c>
      <c r="D30" s="20">
        <f>D29/D28</f>
        <v>7.7653149266609142E-2</v>
      </c>
      <c r="E30" s="20">
        <f>E29/E28</f>
        <v>0.14099479662060094</v>
      </c>
    </row>
    <row r="31" spans="2:5" x14ac:dyDescent="0.25">
      <c r="B31" s="3" t="s">
        <v>43</v>
      </c>
      <c r="C31" s="20">
        <f>C30*'N2O oxygen '!D7</f>
        <v>0.74324399932859642</v>
      </c>
      <c r="D31" s="20">
        <f>D30*'N2O oxygen '!E7</f>
        <v>6.2122519413287316</v>
      </c>
      <c r="E31" s="20">
        <f>E30*'N2O oxygen '!F7</f>
        <v>10.57460974654507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5"/>
  <sheetViews>
    <sheetView showGridLines="0" topLeftCell="B1" workbookViewId="0">
      <selection activeCell="E1" sqref="E1:E1048576"/>
    </sheetView>
  </sheetViews>
  <sheetFormatPr defaultRowHeight="15" x14ac:dyDescent="0.25"/>
  <cols>
    <col min="2" max="2" width="40.5703125" customWidth="1"/>
    <col min="3" max="5" width="14.28515625" style="17" customWidth="1"/>
  </cols>
  <sheetData>
    <row r="1" spans="1:5" ht="23.25" x14ac:dyDescent="0.35">
      <c r="A1" s="12" t="s">
        <v>46</v>
      </c>
    </row>
    <row r="3" spans="1:5" x14ac:dyDescent="0.25">
      <c r="B3" s="1" t="s">
        <v>45</v>
      </c>
    </row>
    <row r="4" spans="1:5" x14ac:dyDescent="0.25">
      <c r="B4" s="9"/>
      <c r="C4" s="24" t="s">
        <v>8</v>
      </c>
      <c r="D4" s="24" t="s">
        <v>5</v>
      </c>
      <c r="E4" s="24" t="s">
        <v>7</v>
      </c>
    </row>
    <row r="5" spans="1:5" x14ac:dyDescent="0.25">
      <c r="B5" s="3" t="s">
        <v>10</v>
      </c>
      <c r="C5" s="19">
        <f>'Oxygen air rotameters'!D5+'Oxygen air rotameters'!D6</f>
        <v>5</v>
      </c>
      <c r="D5" s="19">
        <f>'Oxygen air rotameters'!E5+'Oxygen air rotameters'!E6</f>
        <v>1</v>
      </c>
      <c r="E5" s="19">
        <f>'Oxygen air rotameters'!F5+'Oxygen air rotameters'!F6</f>
        <v>1</v>
      </c>
    </row>
    <row r="6" spans="1:5" x14ac:dyDescent="0.25">
      <c r="B6" s="3" t="s">
        <v>19</v>
      </c>
      <c r="C6" s="20">
        <f>C5+((C11/100)*C5)</f>
        <v>5.05</v>
      </c>
      <c r="D6" s="20">
        <f>D5+((D11/100)*D5)</f>
        <v>1.02</v>
      </c>
      <c r="E6" s="20">
        <f>E5+((E11/100)*E5)</f>
        <v>1.06</v>
      </c>
    </row>
    <row r="7" spans="1:5" x14ac:dyDescent="0.25">
      <c r="B7" s="3" t="s">
        <v>22</v>
      </c>
      <c r="C7" s="19">
        <f>('Oxygen air rotameters'!D6+('Oxygen air rotameters'!D5*0.209))/C6</f>
        <v>0.59851485148514849</v>
      </c>
      <c r="D7" s="19">
        <f>('Oxygen air rotameters'!E6+('Oxygen air rotameters'!E5*0.209))/D6</f>
        <v>0.59264705882352942</v>
      </c>
      <c r="E7" s="19">
        <f>('Oxygen air rotameters'!F6+('Oxygen air rotameters'!F5*0.209))/E6</f>
        <v>0.57028301886792454</v>
      </c>
    </row>
    <row r="8" spans="1:5" x14ac:dyDescent="0.25">
      <c r="B8" s="3" t="s">
        <v>32</v>
      </c>
      <c r="C8" s="20">
        <f>'Oxygen air rotameters'!D6*0.0004*60</f>
        <v>0.06</v>
      </c>
      <c r="D8" s="20">
        <f>'Oxygen air rotameters'!E6*0.0004*60</f>
        <v>1.2E-2</v>
      </c>
      <c r="E8" s="20">
        <f>'Oxygen air rotameters'!F6*0.0004*60</f>
        <v>1.2E-2</v>
      </c>
    </row>
    <row r="9" spans="1:5" x14ac:dyDescent="0.25">
      <c r="B9" s="3" t="s">
        <v>18</v>
      </c>
      <c r="C9" s="25">
        <f>C8+C18</f>
        <v>11.629057377049181</v>
      </c>
      <c r="D9" s="25">
        <f>D8+D18</f>
        <v>1.2906885245901638</v>
      </c>
      <c r="E9" s="25">
        <f>E8+E18</f>
        <v>62.970688524590166</v>
      </c>
    </row>
    <row r="10" spans="1:5" x14ac:dyDescent="0.25">
      <c r="B10" s="7"/>
      <c r="C10" s="21"/>
      <c r="D10" s="21"/>
      <c r="E10" s="21"/>
    </row>
    <row r="11" spans="1:5" x14ac:dyDescent="0.25">
      <c r="B11" s="3" t="s">
        <v>9</v>
      </c>
      <c r="C11" s="22">
        <f>'Oxygen air rotameters'!D4</f>
        <v>1</v>
      </c>
      <c r="D11" s="22">
        <f>'Oxygen air rotameters'!E4</f>
        <v>2</v>
      </c>
      <c r="E11" s="22">
        <f>'Oxygen air rotameters'!F4</f>
        <v>6</v>
      </c>
    </row>
    <row r="12" spans="1:5" x14ac:dyDescent="0.25">
      <c r="B12" s="3" t="s">
        <v>6</v>
      </c>
      <c r="C12" s="20">
        <v>184.5</v>
      </c>
      <c r="D12" s="20">
        <v>200</v>
      </c>
      <c r="E12" s="20">
        <v>168</v>
      </c>
    </row>
    <row r="13" spans="1:5" x14ac:dyDescent="0.25">
      <c r="B13" s="3" t="s">
        <v>4</v>
      </c>
      <c r="C13" s="20">
        <f>(C5*1000)*(C11/100)</f>
        <v>50</v>
      </c>
      <c r="D13" s="20">
        <f>(D5*1000)*(D11/100)</f>
        <v>20</v>
      </c>
      <c r="E13" s="20">
        <f>(E5*1000)*(E11/100)</f>
        <v>60</v>
      </c>
    </row>
    <row r="14" spans="1:5" x14ac:dyDescent="0.25">
      <c r="B14" s="3" t="s">
        <v>11</v>
      </c>
      <c r="C14" s="20">
        <f>C13/24400</f>
        <v>2.0491803278688526E-3</v>
      </c>
      <c r="D14" s="20">
        <f>D13/24400</f>
        <v>8.1967213114754098E-4</v>
      </c>
      <c r="E14" s="20">
        <f>E13/24400</f>
        <v>2.4590163934426232E-3</v>
      </c>
    </row>
    <row r="15" spans="1:5" x14ac:dyDescent="0.25">
      <c r="B15" s="3" t="s">
        <v>29</v>
      </c>
      <c r="C15" s="20">
        <f>(C12*C14)/1000</f>
        <v>3.7807377049180332E-4</v>
      </c>
      <c r="D15" s="20">
        <f>(D12*D14)/1000</f>
        <v>1.639344262295082E-4</v>
      </c>
      <c r="E15" s="20">
        <f>(E12*E14)/1000</f>
        <v>4.131147540983607E-4</v>
      </c>
    </row>
    <row r="16" spans="1:5" x14ac:dyDescent="0.25">
      <c r="B16" s="3" t="s">
        <v>12</v>
      </c>
      <c r="C16" s="20">
        <v>510</v>
      </c>
      <c r="D16" s="20">
        <v>130</v>
      </c>
      <c r="E16" s="20">
        <v>2540</v>
      </c>
    </row>
    <row r="17" spans="2:5" x14ac:dyDescent="0.25">
      <c r="B17" s="3" t="s">
        <v>30</v>
      </c>
      <c r="C17" s="20">
        <f>C15*60</f>
        <v>2.2684426229508198E-2</v>
      </c>
      <c r="D17" s="20">
        <f>D15*60</f>
        <v>9.8360655737704909E-3</v>
      </c>
      <c r="E17" s="20">
        <f>E15*60</f>
        <v>2.4786885245901641E-2</v>
      </c>
    </row>
    <row r="18" spans="2:5" x14ac:dyDescent="0.25">
      <c r="B18" s="3" t="s">
        <v>16</v>
      </c>
      <c r="C18" s="20">
        <f>C16*C17</f>
        <v>11.56905737704918</v>
      </c>
      <c r="D18" s="20">
        <f>D16*D17</f>
        <v>1.2786885245901638</v>
      </c>
      <c r="E18" s="20">
        <f>E16*E17</f>
        <v>62.958688524590166</v>
      </c>
    </row>
    <row r="19" spans="2:5" x14ac:dyDescent="0.25">
      <c r="B19" s="3" t="s">
        <v>37</v>
      </c>
      <c r="C19" s="20">
        <f>C9</f>
        <v>11.629057377049181</v>
      </c>
      <c r="D19" s="20">
        <f>D9</f>
        <v>1.2906885245901638</v>
      </c>
      <c r="E19" s="20">
        <f>E9</f>
        <v>62.970688524590166</v>
      </c>
    </row>
    <row r="20" spans="2:5" x14ac:dyDescent="0.25">
      <c r="B20" s="7"/>
      <c r="C20" s="21"/>
      <c r="D20" s="21"/>
      <c r="E20" s="21"/>
    </row>
    <row r="21" spans="2:5" x14ac:dyDescent="0.25">
      <c r="B21" s="3" t="s">
        <v>41</v>
      </c>
      <c r="C21" s="20">
        <v>1.4649999999999999E-3</v>
      </c>
      <c r="D21" s="20">
        <v>1.5200000000000001E-3</v>
      </c>
      <c r="E21" s="20">
        <v>1.4649999999999999E-3</v>
      </c>
    </row>
    <row r="22" spans="2:5" x14ac:dyDescent="0.25">
      <c r="B22" s="3" t="s">
        <v>39</v>
      </c>
      <c r="C22" s="20">
        <v>250</v>
      </c>
      <c r="D22" s="20">
        <v>250</v>
      </c>
      <c r="E22" s="20">
        <v>240</v>
      </c>
    </row>
    <row r="23" spans="2:5" x14ac:dyDescent="0.25">
      <c r="B23" s="3" t="s">
        <v>40</v>
      </c>
      <c r="C23" s="20">
        <f>C17/C21</f>
        <v>15.484249986012422</v>
      </c>
      <c r="D23" s="20">
        <f>D17/D21</f>
        <v>6.4710957722174278</v>
      </c>
      <c r="E23" s="20">
        <f>E17/E21</f>
        <v>16.919375594472111</v>
      </c>
    </row>
    <row r="24" spans="2:5" x14ac:dyDescent="0.25">
      <c r="B24" s="3" t="s">
        <v>42</v>
      </c>
      <c r="C24" s="20">
        <f>C23/C22</f>
        <v>6.1936999944049685E-2</v>
      </c>
      <c r="D24" s="20">
        <f>D23/D22</f>
        <v>2.5884383088869711E-2</v>
      </c>
      <c r="E24" s="20">
        <f>E23/E22</f>
        <v>7.0497398310300469E-2</v>
      </c>
    </row>
    <row r="25" spans="2:5" x14ac:dyDescent="0.25">
      <c r="B25" s="3" t="s">
        <v>43</v>
      </c>
      <c r="C25" s="20">
        <f>C24*'Oxygen air rotameters'!D7</f>
        <v>0.61936999944049687</v>
      </c>
      <c r="D25" s="20">
        <f>D24*'Oxygen air rotameters'!E7</f>
        <v>2.0707506471095769</v>
      </c>
      <c r="E25" s="20">
        <f>E24*'Oxygen air rotameters'!F7</f>
        <v>5.287304873272535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30"/>
  <sheetViews>
    <sheetView showGridLines="0" workbookViewId="0">
      <selection activeCell="E1" sqref="E1:E1048576"/>
    </sheetView>
  </sheetViews>
  <sheetFormatPr defaultRowHeight="15" x14ac:dyDescent="0.25"/>
  <cols>
    <col min="2" max="2" width="34.28515625" bestFit="1" customWidth="1"/>
    <col min="3" max="3" width="12.42578125" style="17" customWidth="1"/>
    <col min="4" max="4" width="11.5703125" style="17" customWidth="1"/>
    <col min="5" max="5" width="11.85546875" style="17" customWidth="1"/>
  </cols>
  <sheetData>
    <row r="1" spans="1:6" ht="23.25" x14ac:dyDescent="0.35">
      <c r="A1" s="12" t="s">
        <v>48</v>
      </c>
    </row>
    <row r="3" spans="1:6" x14ac:dyDescent="0.25">
      <c r="B3" s="1" t="s">
        <v>45</v>
      </c>
    </row>
    <row r="4" spans="1:6" x14ac:dyDescent="0.25">
      <c r="B4" s="13" t="s">
        <v>24</v>
      </c>
      <c r="C4" s="22">
        <f>('Set FiO2 + FGF'!C4-0.209)*'Set FiO2 + FGF'!D4/0.791</f>
        <v>0.73577749683944382</v>
      </c>
    </row>
    <row r="7" spans="1:6" x14ac:dyDescent="0.25">
      <c r="B7" s="9"/>
      <c r="C7" s="26" t="s">
        <v>8</v>
      </c>
      <c r="D7" s="26" t="s">
        <v>5</v>
      </c>
      <c r="E7" s="26" t="s">
        <v>7</v>
      </c>
    </row>
    <row r="8" spans="1:6" x14ac:dyDescent="0.25">
      <c r="B8" s="3" t="s">
        <v>26</v>
      </c>
      <c r="C8" s="27">
        <f>'Set FiO2 + FGF'!D4-C4</f>
        <v>1.2642225031605561</v>
      </c>
      <c r="D8" s="27">
        <f>'Set FiO2 + FGF'!D4-C4</f>
        <v>1.2642225031605561</v>
      </c>
      <c r="E8" s="27">
        <f>'Set FiO2 + FGF'!D4-C4</f>
        <v>1.2642225031605561</v>
      </c>
    </row>
    <row r="9" spans="1:6" x14ac:dyDescent="0.25">
      <c r="B9" s="3" t="s">
        <v>21</v>
      </c>
      <c r="C9" s="27">
        <f>C4</f>
        <v>0.73577749683944382</v>
      </c>
      <c r="D9" s="27">
        <f>C4</f>
        <v>0.73577749683944382</v>
      </c>
      <c r="E9" s="27">
        <f>C4</f>
        <v>0.73577749683944382</v>
      </c>
    </row>
    <row r="10" spans="1:6" x14ac:dyDescent="0.25">
      <c r="B10" s="3" t="s">
        <v>10</v>
      </c>
      <c r="C10" s="22">
        <f>'Set FiO2 + FGF'!D4</f>
        <v>2</v>
      </c>
      <c r="D10" s="22">
        <f>'Set FiO2 + FGF'!D4</f>
        <v>2</v>
      </c>
      <c r="E10" s="22">
        <f>'Set FiO2 + FGF'!D4</f>
        <v>2</v>
      </c>
    </row>
    <row r="11" spans="1:6" x14ac:dyDescent="0.25">
      <c r="B11" s="3" t="s">
        <v>19</v>
      </c>
      <c r="C11" s="20">
        <f>C10+((C16/100)*C10)</f>
        <v>2.02</v>
      </c>
      <c r="D11" s="20">
        <f>D10+((D16/100)*D10)</f>
        <v>2.04</v>
      </c>
      <c r="E11" s="20">
        <f>E10+((E16/100)*E10)</f>
        <v>2.08</v>
      </c>
    </row>
    <row r="12" spans="1:6" x14ac:dyDescent="0.25">
      <c r="B12" s="3" t="s">
        <v>22</v>
      </c>
      <c r="C12" s="19">
        <f>(C9+(C8*0.209))/C11</f>
        <v>0.49504950495049505</v>
      </c>
      <c r="D12" s="19">
        <f>(D9+(D8*0.209))/D11</f>
        <v>0.49019607843137253</v>
      </c>
      <c r="E12" s="19">
        <f>(E9+(E8*0.209))/E11</f>
        <v>0.48076923076923073</v>
      </c>
    </row>
    <row r="13" spans="1:6" x14ac:dyDescent="0.25">
      <c r="B13" s="3" t="s">
        <v>32</v>
      </c>
      <c r="C13" s="20">
        <f>C9*0.0004*60</f>
        <v>1.7658659924146655E-2</v>
      </c>
      <c r="D13" s="20">
        <f>D9*0.0004*60</f>
        <v>1.7658659924146655E-2</v>
      </c>
      <c r="E13" s="20">
        <f>E9*0.0004*60</f>
        <v>1.7658659924146655E-2</v>
      </c>
      <c r="F13" s="17"/>
    </row>
    <row r="14" spans="1:6" x14ac:dyDescent="0.25">
      <c r="B14" s="3" t="s">
        <v>18</v>
      </c>
      <c r="C14" s="20">
        <f>C13+C23</f>
        <v>4.6452816107438188</v>
      </c>
      <c r="D14" s="20">
        <f>D13+D23</f>
        <v>2.5750357091044744</v>
      </c>
      <c r="E14" s="20">
        <f>E13+E23</f>
        <v>83.962576692711039</v>
      </c>
    </row>
    <row r="15" spans="1:6" x14ac:dyDescent="0.25">
      <c r="B15" s="7"/>
      <c r="C15" s="21"/>
      <c r="D15" s="21"/>
      <c r="E15" s="21"/>
    </row>
    <row r="16" spans="1:6" x14ac:dyDescent="0.25">
      <c r="B16" s="3" t="s">
        <v>9</v>
      </c>
      <c r="C16" s="22">
        <f>'Set FiO2 + FGF'!D6</f>
        <v>1</v>
      </c>
      <c r="D16" s="22">
        <f>'Set FiO2 + FGF'!E6</f>
        <v>2</v>
      </c>
      <c r="E16" s="22">
        <f>'Set FiO2 + FGF'!F6</f>
        <v>4</v>
      </c>
    </row>
    <row r="17" spans="2:5" x14ac:dyDescent="0.25">
      <c r="B17" s="3" t="s">
        <v>6</v>
      </c>
      <c r="C17" s="20">
        <v>184.5</v>
      </c>
      <c r="D17" s="20">
        <v>200</v>
      </c>
      <c r="E17" s="20">
        <v>168</v>
      </c>
    </row>
    <row r="18" spans="2:5" x14ac:dyDescent="0.25">
      <c r="B18" s="3" t="s">
        <v>27</v>
      </c>
      <c r="C18" s="20">
        <f>(C10*1000)*(C16/100)</f>
        <v>20</v>
      </c>
      <c r="D18" s="20">
        <f>(D10*1000)*(D16/100)</f>
        <v>40</v>
      </c>
      <c r="E18" s="20">
        <f>(E10*1000)*(E16/100)</f>
        <v>80</v>
      </c>
    </row>
    <row r="19" spans="2:5" x14ac:dyDescent="0.25">
      <c r="B19" s="3" t="s">
        <v>11</v>
      </c>
      <c r="C19" s="20">
        <f>C18/24400</f>
        <v>8.1967213114754098E-4</v>
      </c>
      <c r="D19" s="20">
        <f>D18/24400</f>
        <v>1.639344262295082E-3</v>
      </c>
      <c r="E19" s="20">
        <f>E18/24400</f>
        <v>3.2786885245901639E-3</v>
      </c>
    </row>
    <row r="20" spans="2:5" x14ac:dyDescent="0.25">
      <c r="B20" s="3" t="s">
        <v>29</v>
      </c>
      <c r="C20" s="20">
        <f>(C17*C19)/1000</f>
        <v>1.5122950819672132E-4</v>
      </c>
      <c r="D20" s="20">
        <f>(D17*D19)/1000</f>
        <v>3.2786885245901639E-4</v>
      </c>
      <c r="E20" s="20">
        <f>(E17*E19)/1000</f>
        <v>5.5081967213114753E-4</v>
      </c>
    </row>
    <row r="21" spans="2:5" x14ac:dyDescent="0.25">
      <c r="B21" s="3" t="s">
        <v>12</v>
      </c>
      <c r="C21" s="20">
        <v>510</v>
      </c>
      <c r="D21" s="20">
        <v>130</v>
      </c>
      <c r="E21" s="20">
        <v>2540</v>
      </c>
    </row>
    <row r="22" spans="2:5" x14ac:dyDescent="0.25">
      <c r="B22" s="3" t="s">
        <v>28</v>
      </c>
      <c r="C22" s="20">
        <f>C20*60</f>
        <v>9.0737704918032788E-3</v>
      </c>
      <c r="D22" s="20">
        <f>D20*60</f>
        <v>1.9672131147540982E-2</v>
      </c>
      <c r="E22" s="20">
        <f>E20*60</f>
        <v>3.3049180327868855E-2</v>
      </c>
    </row>
    <row r="23" spans="2:5" x14ac:dyDescent="0.25">
      <c r="B23" s="3" t="s">
        <v>16</v>
      </c>
      <c r="C23" s="20">
        <f>C21*C22</f>
        <v>4.6276229508196725</v>
      </c>
      <c r="D23" s="20">
        <f>D21*D22</f>
        <v>2.5573770491803276</v>
      </c>
      <c r="E23" s="20">
        <f>E21*E22</f>
        <v>83.944918032786887</v>
      </c>
    </row>
    <row r="24" spans="2:5" x14ac:dyDescent="0.25">
      <c r="B24" s="3" t="s">
        <v>36</v>
      </c>
      <c r="C24" s="20">
        <f>C14</f>
        <v>4.6452816107438188</v>
      </c>
      <c r="D24" s="20">
        <f>D14</f>
        <v>2.5750357091044744</v>
      </c>
      <c r="E24" s="20">
        <f>E14</f>
        <v>83.962576692711039</v>
      </c>
    </row>
    <row r="25" spans="2:5" x14ac:dyDescent="0.25">
      <c r="B25" s="7"/>
      <c r="C25" s="21"/>
      <c r="D25" s="21"/>
      <c r="E25" s="21"/>
    </row>
    <row r="26" spans="2:5" x14ac:dyDescent="0.25">
      <c r="B26" s="3" t="s">
        <v>41</v>
      </c>
      <c r="C26" s="20">
        <v>1.4649999999999999E-3</v>
      </c>
      <c r="D26" s="20">
        <v>1.5200000000000001E-3</v>
      </c>
      <c r="E26" s="20">
        <v>1.4649999999999999E-3</v>
      </c>
    </row>
    <row r="27" spans="2:5" x14ac:dyDescent="0.25">
      <c r="B27" s="3" t="s">
        <v>39</v>
      </c>
      <c r="C27" s="20">
        <v>250</v>
      </c>
      <c r="D27" s="20">
        <v>250</v>
      </c>
      <c r="E27" s="20">
        <v>240</v>
      </c>
    </row>
    <row r="28" spans="2:5" x14ac:dyDescent="0.25">
      <c r="B28" s="3" t="s">
        <v>40</v>
      </c>
      <c r="C28" s="20">
        <f>C22/C26</f>
        <v>6.1936999944049687</v>
      </c>
      <c r="D28" s="20">
        <f>D22/D26</f>
        <v>12.942191544434856</v>
      </c>
      <c r="E28" s="20">
        <f>E22/E26</f>
        <v>22.559167459296148</v>
      </c>
    </row>
    <row r="29" spans="2:5" x14ac:dyDescent="0.25">
      <c r="B29" s="3" t="s">
        <v>42</v>
      </c>
      <c r="C29" s="20">
        <f>C28/C27</f>
        <v>2.4774799977619874E-2</v>
      </c>
      <c r="D29" s="20">
        <f>D28/D27</f>
        <v>5.1768766177739421E-2</v>
      </c>
      <c r="E29" s="20">
        <f>E28/E27</f>
        <v>9.3996531080400611E-2</v>
      </c>
    </row>
    <row r="30" spans="2:5" x14ac:dyDescent="0.25">
      <c r="B30" s="3" t="s">
        <v>43</v>
      </c>
      <c r="C30" s="20">
        <f>C29*'Set FiO2 + FGF'!D7</f>
        <v>0.24774799977619874</v>
      </c>
      <c r="D30" s="20">
        <f>D29*'Set FiO2 + FGF'!E7</f>
        <v>4.1415012942191538</v>
      </c>
      <c r="E30" s="20">
        <f>E29*'Set FiO2 + FGF'!F7</f>
        <v>7.0497398310300454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N2O oxygen </vt:lpstr>
      <vt:lpstr>Oxygen air rotameters</vt:lpstr>
      <vt:lpstr>Set FiO2 + FGF</vt:lpstr>
      <vt:lpstr>N2O oxygen (calcs)</vt:lpstr>
      <vt:lpstr>Oxygen air rotameters (calcs)</vt:lpstr>
      <vt:lpstr>Set FiO2 + FGF (calcs)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Tom Pierce</dc:creator>
  <cp:lastModifiedBy>Dr Tom Pierce</cp:lastModifiedBy>
  <dcterms:created xsi:type="dcterms:W3CDTF">2014-12-27T00:12:02Z</dcterms:created>
  <dcterms:modified xsi:type="dcterms:W3CDTF">2015-09-15T09:38:30Z</dcterms:modified>
</cp:coreProperties>
</file>