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Title">Raw_Book_Sales!$B$2:$B1736</definedName>
    <definedName name="Total_Earnings_to_Date">Raw_Book_Sales!$U$2:$U$1737</definedName>
    <definedName name="Total_Units_to_Date">Raw_Book_Sales!$S$2:$S$1737</definedName>
  </definedNames>
  <calcPr calcId="145621"/>
</workbook>
</file>

<file path=xl/calcChain.xml><?xml version="1.0" encoding="utf-8"?>
<calcChain xmlns="http://schemas.openxmlformats.org/spreadsheetml/2006/main">
  <c r="F25" i="2" l="1"/>
  <c r="C4" i="2" l="1"/>
  <c r="B12" i="3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E11" i="3" l="1"/>
  <c r="E9" i="3"/>
  <c r="E7" i="3"/>
  <c r="E5" i="3"/>
  <c r="E3" i="3"/>
  <c r="E10" i="3"/>
  <c r="E8" i="3"/>
  <c r="E6" i="3"/>
  <c r="E4" i="3"/>
  <c r="C27" i="2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19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U5" i="1"/>
  <c r="F7" i="2"/>
  <c r="U4" i="1"/>
  <c r="F4" i="2"/>
  <c r="U8" i="1"/>
  <c r="G9" i="2" s="1"/>
  <c r="F9" i="2"/>
  <c r="U187" i="1"/>
  <c r="B6" i="2"/>
  <c r="U240" i="1"/>
  <c r="C5" i="2" s="1"/>
  <c r="B5" i="2"/>
  <c r="U233" i="1"/>
  <c r="B4" i="2"/>
  <c r="U420" i="1"/>
  <c r="B7" i="2"/>
  <c r="C6" i="2" l="1"/>
  <c r="G4" i="2"/>
  <c r="G7" i="2"/>
  <c r="G15" i="2"/>
  <c r="G14" i="2"/>
  <c r="G6" i="2"/>
  <c r="C7" i="2"/>
</calcChain>
</file>

<file path=xl/sharedStrings.xml><?xml version="1.0" encoding="utf-8"?>
<sst xmlns="http://schemas.openxmlformats.org/spreadsheetml/2006/main" count="7035" uniqueCount="1790">
  <si>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</si>
  <si>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</si>
  <si>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</si>
  <si>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</si>
  <si>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</si>
  <si>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</si>
  <si>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</si>
  <si>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</si>
  <si>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</si>
  <si>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</si>
  <si>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</si>
  <si>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</si>
  <si>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</si>
  <si>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</si>
  <si>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</si>
  <si>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</si>
  <si>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</si>
  <si>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</si>
  <si>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</si>
  <si>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</si>
  <si>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</si>
  <si>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</si>
  <si>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</si>
  <si>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</si>
  <si>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</si>
  <si>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</si>
  <si>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</si>
  <si>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</si>
  <si>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</si>
  <si>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</si>
  <si>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</si>
  <si>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</si>
  <si>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</si>
  <si>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</si>
  <si>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</si>
  <si>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</si>
  <si>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</si>
  <si>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</si>
  <si>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</si>
  <si>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</si>
  <si>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</si>
  <si>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</si>
  <si>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</si>
  <si>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</si>
  <si>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</si>
  <si>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</si>
  <si>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</si>
  <si>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</si>
  <si>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</si>
  <si>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</si>
  <si>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</si>
  <si>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</si>
  <si>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</si>
  <si>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</si>
  <si>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</si>
  <si>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</si>
  <si>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</si>
  <si>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</si>
  <si>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</si>
  <si>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</si>
  <si>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</si>
  <si>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</si>
  <si>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</si>
  <si>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</si>
  <si>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</si>
  <si>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</si>
  <si>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</si>
  <si>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</si>
  <si>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</si>
  <si>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</si>
  <si>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</si>
  <si>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</si>
  <si>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</si>
  <si>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</si>
  <si>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</si>
  <si>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</si>
  <si>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</si>
  <si>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</si>
  <si>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</si>
  <si>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</si>
  <si>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</si>
  <si>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</si>
  <si>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</si>
  <si>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</si>
  <si>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</si>
  <si>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</si>
  <si>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</si>
  <si>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</si>
  <si>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</si>
  <si>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</si>
  <si>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</si>
  <si>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</si>
  <si>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</si>
  <si>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</si>
  <si>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</si>
  <si>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</si>
  <si>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</si>
  <si>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</si>
  <si>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</si>
  <si>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</si>
  <si>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</si>
  <si>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</si>
  <si>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</si>
  <si>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</si>
  <si>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</si>
  <si>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</si>
  <si>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</si>
  <si>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</si>
  <si>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</si>
  <si>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</si>
  <si>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</si>
  <si>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</si>
  <si>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</si>
  <si>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</si>
  <si>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</si>
  <si>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</si>
  <si>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</si>
  <si>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</si>
  <si>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</si>
  <si>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</si>
  <si>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</si>
  <si>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</si>
  <si>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</si>
  <si>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</si>
  <si>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</si>
  <si>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</si>
  <si>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</si>
  <si>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</si>
  <si>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</si>
  <si>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</si>
  <si>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</si>
  <si>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</si>
  <si>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</si>
  <si>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</si>
  <si>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</si>
  <si>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</si>
  <si>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</si>
  <si>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</si>
  <si>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</si>
  <si>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</si>
  <si>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</si>
  <si>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</si>
  <si>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</si>
  <si>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</si>
  <si>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</si>
  <si>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</si>
  <si>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</si>
  <si>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</si>
  <si>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</si>
  <si>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</si>
  <si>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</si>
  <si>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</si>
  <si>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</si>
  <si>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</si>
  <si>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</si>
  <si>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</si>
  <si>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</si>
  <si>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</si>
  <si>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</si>
  <si>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</si>
  <si>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</si>
  <si>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</si>
  <si>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</si>
  <si>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</si>
  <si>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</si>
  <si>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</si>
  <si>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</si>
  <si>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</si>
  <si>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</si>
  <si>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</si>
  <si>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</si>
  <si>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</si>
  <si>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</si>
  <si>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</si>
  <si>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</si>
  <si>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</si>
  <si>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</si>
  <si>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</si>
  <si>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</si>
  <si>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</si>
  <si>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</si>
  <si>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</si>
  <si>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</si>
  <si>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</si>
  <si>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</si>
  <si>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</si>
  <si>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</si>
  <si>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</si>
  <si>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</si>
  <si>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</si>
  <si>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</si>
  <si>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</si>
  <si>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</si>
  <si>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</si>
  <si>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</si>
  <si>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</si>
  <si>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</si>
  <si>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</si>
  <si>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</si>
  <si>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</si>
  <si>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</si>
  <si>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</si>
  <si>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</si>
  <si>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</si>
  <si>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</si>
  <si>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</si>
  <si>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</si>
  <si>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</si>
  <si>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</si>
  <si>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</si>
  <si>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</si>
  <si>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</si>
  <si>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</si>
  <si>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</si>
  <si>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</si>
  <si>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</si>
  <si>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</si>
  <si>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</si>
  <si>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</si>
  <si>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</si>
  <si>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</si>
  <si>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</si>
  <si>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</si>
  <si>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</si>
  <si>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</si>
  <si>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</si>
  <si>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</si>
  <si>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</si>
  <si>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</si>
  <si>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</si>
  <si>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</si>
  <si>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</si>
  <si>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</si>
  <si>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</si>
  <si>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</si>
  <si>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</si>
  <si>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</si>
  <si>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</si>
  <si>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</si>
  <si>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</si>
  <si>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</si>
  <si>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</si>
  <si>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</si>
  <si>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</si>
  <si>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</si>
  <si>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</si>
  <si>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</si>
  <si>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</si>
  <si>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</si>
  <si>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</si>
  <si>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</si>
  <si>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</si>
  <si>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</si>
  <si>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</si>
  <si>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</si>
  <si>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</si>
  <si>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</si>
  <si>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</si>
  <si>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</si>
  <si>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</si>
  <si>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</si>
  <si>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</si>
  <si>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</si>
  <si>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</si>
  <si>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</si>
  <si>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</si>
  <si>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</si>
  <si>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</si>
  <si>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</si>
  <si>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</si>
  <si>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</si>
  <si>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</si>
  <si>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</si>
  <si>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</si>
  <si>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</si>
  <si>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</si>
  <si>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</si>
  <si>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</si>
  <si>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</si>
  <si>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</si>
  <si>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</si>
  <si>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</si>
  <si>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</si>
  <si>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</si>
  <si>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</si>
  <si>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</si>
  <si>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</si>
  <si>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</si>
  <si>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</si>
  <si>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</si>
  <si>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</si>
  <si>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</si>
  <si>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</si>
  <si>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</si>
  <si>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</si>
  <si>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</si>
  <si>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</si>
  <si>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</si>
  <si>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</si>
  <si>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</si>
  <si>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</si>
  <si>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</si>
  <si>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</si>
  <si>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</si>
  <si>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</si>
  <si>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</si>
  <si>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</si>
  <si>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</si>
  <si>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</si>
  <si>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</si>
  <si>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</si>
  <si>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</si>
  <si>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</si>
  <si>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</si>
  <si>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</si>
  <si>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</si>
  <si>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</si>
  <si>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</si>
  <si>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</si>
  <si>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</si>
  <si>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</si>
  <si>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</si>
  <si>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</si>
  <si>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</si>
  <si>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</si>
  <si>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</si>
  <si>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</si>
  <si>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</si>
  <si>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</si>
  <si>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</si>
  <si>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</si>
  <si>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</si>
  <si>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</si>
  <si>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</si>
  <si>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</si>
  <si>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</si>
  <si>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</si>
  <si>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</si>
  <si>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</si>
  <si>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</si>
  <si>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</si>
  <si>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</si>
  <si>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</si>
  <si>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</si>
  <si>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</si>
  <si>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</si>
  <si>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</si>
  <si>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</si>
  <si>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</si>
  <si>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</si>
  <si>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</si>
  <si>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</si>
  <si>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</si>
  <si>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</si>
  <si>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</si>
  <si>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</si>
  <si>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</si>
  <si>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</si>
  <si>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</si>
  <si>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</si>
  <si>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</si>
  <si>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</si>
  <si>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</si>
  <si>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</si>
  <si>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</si>
  <si>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</si>
  <si>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</si>
  <si>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</si>
  <si>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</si>
  <si>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</si>
  <si>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</si>
  <si>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</si>
  <si>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</si>
  <si>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</si>
  <si>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</si>
  <si>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</si>
  <si>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</si>
  <si>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</si>
  <si>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</si>
  <si>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</si>
  <si>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</si>
  <si>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</si>
  <si>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</si>
  <si>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</si>
  <si>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</si>
  <si>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</si>
  <si>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</si>
  <si>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</si>
  <si>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</si>
  <si>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</si>
  <si>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</si>
  <si>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</si>
  <si>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</si>
  <si>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</si>
  <si>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</si>
  <si>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</si>
  <si>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</si>
  <si>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</si>
  <si>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</si>
  <si>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</si>
  <si>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</si>
  <si>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</si>
  <si>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</si>
  <si>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</si>
  <si>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</si>
  <si>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</si>
  <si>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</si>
  <si>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</si>
  <si>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</si>
  <si>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</si>
  <si>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</si>
  <si>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</si>
  <si>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</si>
  <si>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</si>
  <si>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</si>
  <si>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</si>
  <si>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</si>
  <si>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</si>
  <si>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</si>
  <si>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</si>
  <si>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</si>
  <si>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</si>
  <si>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</si>
  <si>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</si>
  <si>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</si>
  <si>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</si>
  <si>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</si>
  <si>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</si>
  <si>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</si>
  <si>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</si>
  <si>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</si>
  <si>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</si>
  <si>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</si>
  <si>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</si>
  <si>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</si>
  <si>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</si>
  <si>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</si>
  <si>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</si>
  <si>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</si>
  <si>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</si>
  <si>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</si>
  <si>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</si>
  <si>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</si>
  <si>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</si>
  <si>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</si>
  <si>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</si>
  <si>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</si>
  <si>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</si>
  <si>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</si>
  <si>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</si>
  <si>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</si>
  <si>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</si>
  <si>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</si>
  <si>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</si>
  <si>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</si>
  <si>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</si>
  <si>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</si>
  <si>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</si>
  <si>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</si>
  <si>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</si>
  <si>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</si>
  <si>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</si>
  <si>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</si>
  <si>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</si>
  <si>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</si>
  <si>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</si>
  <si>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</si>
  <si>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</si>
  <si>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</si>
  <si>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</si>
  <si>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</si>
  <si>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</si>
  <si>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</si>
  <si>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</si>
  <si>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</si>
  <si>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</si>
  <si>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</si>
  <si>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</si>
  <si>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</si>
  <si>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</si>
  <si>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</si>
  <si>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</si>
  <si>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</si>
  <si>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</si>
  <si>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</si>
  <si>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</si>
  <si>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</si>
  <si>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</si>
  <si>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</si>
  <si>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</si>
  <si>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</si>
  <si>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</si>
  <si>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</si>
  <si>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</si>
  <si>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</si>
  <si>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</si>
  <si>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</si>
  <si>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</si>
  <si>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</si>
  <si>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</si>
  <si>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</si>
  <si>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</si>
  <si>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</si>
  <si>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</si>
  <si>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</si>
  <si>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</si>
  <si>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</si>
  <si>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</si>
  <si>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</si>
  <si>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</si>
  <si>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</si>
  <si>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</si>
  <si>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</si>
  <si>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</si>
  <si>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</si>
  <si>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</si>
  <si>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</si>
  <si>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</si>
  <si>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</si>
  <si>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</si>
  <si>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</si>
  <si>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</si>
  <si>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</si>
  <si>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</si>
  <si>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</si>
  <si>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</si>
  <si>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</si>
  <si>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</si>
  <si>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</si>
  <si>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</si>
  <si>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</si>
  <si>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</si>
  <si>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</si>
  <si>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</si>
  <si>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</si>
  <si>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</si>
  <si>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</si>
  <si>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</si>
  <si>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</si>
  <si>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</si>
  <si>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</si>
  <si>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</si>
  <si>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</si>
  <si>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</si>
  <si>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</si>
  <si>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</si>
  <si>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</si>
  <si>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</si>
  <si>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</si>
  <si>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</si>
  <si>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</si>
  <si>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</si>
  <si>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</si>
  <si>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</si>
  <si>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</si>
  <si>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</si>
  <si>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</si>
  <si>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</si>
  <si>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</si>
  <si>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</si>
  <si>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</si>
  <si>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</si>
  <si>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</si>
  <si>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</si>
  <si>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</si>
  <si>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</si>
  <si>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</si>
  <si>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</si>
  <si>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</si>
  <si>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</si>
  <si>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</si>
  <si>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</si>
  <si>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</si>
  <si>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</si>
  <si>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</si>
  <si>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</si>
  <si>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</si>
  <si>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</si>
  <si>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</si>
  <si>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</si>
  <si>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</si>
  <si>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</si>
  <si>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</si>
  <si>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</si>
  <si>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</si>
  <si>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</si>
  <si>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</si>
  <si>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</si>
  <si>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</si>
  <si>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</si>
  <si>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</si>
  <si>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</si>
  <si>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</si>
  <si>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</si>
  <si>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</si>
  <si>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</si>
  <si>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</si>
  <si>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</si>
  <si>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</si>
  <si>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</si>
  <si>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</si>
  <si>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</si>
  <si>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</si>
  <si>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</si>
  <si>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</si>
  <si>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</si>
  <si>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</si>
  <si>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</si>
  <si>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</si>
  <si>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</si>
  <si>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</si>
  <si>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</si>
  <si>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</si>
  <si>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</si>
  <si>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</si>
  <si>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</si>
  <si>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</si>
  <si>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</si>
  <si>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</si>
  <si>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</si>
  <si>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</si>
  <si>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</si>
  <si>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</si>
  <si>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</si>
  <si>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</si>
  <si>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</si>
  <si>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</si>
  <si>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</si>
  <si>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</si>
  <si>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</si>
  <si>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</si>
  <si>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</si>
  <si>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</si>
  <si>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</si>
  <si>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</si>
  <si>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</si>
  <si>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</si>
  <si>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</si>
  <si>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</si>
  <si>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</si>
  <si>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</si>
  <si>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</si>
  <si>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</si>
  <si>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</si>
  <si>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</si>
  <si>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</si>
  <si>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</si>
  <si>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</si>
  <si>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</si>
  <si>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</si>
  <si>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</si>
  <si>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</si>
  <si>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</si>
  <si>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</si>
  <si>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</si>
  <si>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</si>
  <si>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</si>
  <si>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</si>
  <si>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</si>
  <si>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</si>
  <si>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</si>
  <si>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</si>
  <si>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</si>
  <si>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</si>
  <si>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</si>
  <si>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</si>
  <si>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</si>
  <si>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</si>
  <si>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</si>
  <si>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</si>
  <si>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</si>
  <si>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</si>
  <si>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</si>
  <si>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</si>
  <si>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</si>
  <si>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</si>
  <si>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</si>
  <si>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</si>
  <si>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</si>
  <si>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</si>
  <si>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</si>
  <si>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</si>
  <si>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</si>
  <si>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</si>
  <si>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</si>
  <si>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</si>
  <si>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</si>
  <si>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</si>
  <si>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</si>
  <si>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</si>
  <si>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</si>
  <si>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</si>
  <si>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</si>
  <si>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</si>
  <si>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</si>
  <si>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</si>
  <si>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</si>
  <si>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</si>
  <si>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</si>
  <si>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</si>
  <si>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</si>
  <si>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</si>
  <si>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</si>
  <si>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</si>
  <si>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</si>
  <si>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</si>
  <si>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</si>
  <si>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</si>
  <si>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</si>
  <si>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</si>
  <si>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</si>
  <si>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</si>
  <si>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</si>
  <si>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</si>
  <si>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</si>
  <si>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</si>
  <si>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</si>
  <si>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</si>
  <si>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</si>
  <si>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</si>
  <si>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</si>
  <si>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</si>
  <si>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</si>
  <si>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</si>
  <si>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</si>
  <si>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</si>
  <si>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</si>
  <si>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</si>
  <si>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</si>
  <si>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</si>
  <si>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</si>
  <si>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</si>
  <si>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</si>
  <si>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</si>
  <si>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</si>
  <si>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</si>
  <si>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</si>
  <si>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</si>
  <si>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</si>
  <si>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</si>
  <si>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</si>
  <si>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</si>
  <si>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</si>
  <si>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</si>
  <si>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</si>
  <si>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</si>
  <si>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</si>
  <si>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</si>
  <si>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</si>
  <si>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</si>
  <si>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</si>
  <si>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</si>
  <si>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</si>
  <si>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</si>
  <si>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</si>
  <si>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</si>
  <si>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</si>
  <si>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</si>
  <si>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</si>
  <si>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</si>
  <si>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</si>
  <si>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</si>
  <si>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</si>
  <si>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</si>
  <si>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</si>
  <si>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</si>
  <si>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</si>
  <si>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</si>
  <si>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</si>
  <si>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</si>
  <si>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</si>
  <si>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</si>
  <si>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</si>
  <si>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</si>
  <si>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</si>
  <si>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</si>
  <si>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</si>
  <si>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</si>
  <si>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</si>
  <si>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</si>
  <si>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</si>
  <si>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</si>
  <si>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</si>
  <si>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</si>
  <si>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</si>
  <si>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</si>
  <si>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</si>
  <si>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</si>
  <si>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</si>
  <si>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</si>
  <si>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</si>
  <si>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</si>
  <si>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</si>
  <si>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</si>
  <si>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</si>
  <si>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</si>
  <si>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</si>
  <si>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</si>
  <si>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</si>
  <si>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</si>
  <si>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</si>
  <si>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</si>
  <si>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</si>
  <si>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</si>
  <si>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</si>
  <si>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</si>
  <si>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</si>
  <si>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</si>
  <si>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</si>
  <si>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</si>
  <si>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</si>
  <si>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</si>
  <si>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</si>
  <si>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</si>
  <si>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</si>
  <si>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</si>
  <si>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</si>
  <si>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</si>
  <si>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</si>
  <si>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</si>
  <si>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</si>
  <si>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</si>
  <si>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</si>
  <si>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</si>
  <si>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</si>
  <si>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</si>
  <si>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</si>
  <si>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</si>
  <si>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</si>
  <si>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</si>
  <si>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</si>
  <si>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</si>
  <si>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</si>
  <si>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</si>
  <si>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</si>
  <si>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</si>
  <si>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</si>
  <si>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</si>
  <si>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</si>
  <si>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</si>
  <si>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</si>
  <si>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</si>
  <si>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</si>
  <si>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</si>
  <si>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</si>
  <si>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</si>
  <si>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</si>
  <si>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</si>
  <si>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</si>
  <si>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</si>
  <si>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</si>
  <si>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</si>
  <si>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</si>
  <si>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</si>
  <si>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</si>
  <si>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</si>
  <si>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</si>
  <si>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</si>
  <si>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</si>
  <si>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</si>
  <si>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</si>
  <si>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</si>
  <si>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</si>
  <si>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</si>
  <si>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</si>
  <si>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</si>
  <si>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</si>
  <si>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</si>
  <si>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</si>
  <si>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</si>
  <si>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</si>
  <si>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</si>
  <si>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</si>
  <si>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</si>
  <si>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</si>
  <si>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</si>
  <si>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</si>
  <si>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</si>
  <si>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</si>
  <si>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</si>
  <si>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</si>
  <si>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</si>
  <si>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</si>
  <si>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</si>
  <si>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</si>
  <si>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</si>
  <si>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</si>
  <si>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</si>
  <si>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</si>
  <si>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</si>
  <si>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</si>
  <si>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</si>
  <si>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</si>
  <si>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</si>
  <si>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</si>
  <si>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</si>
  <si>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</si>
  <si>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</si>
  <si>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</si>
  <si>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</si>
  <si>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</si>
  <si>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</si>
  <si>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</si>
  <si>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</si>
  <si>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</si>
  <si>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</si>
  <si>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</si>
  <si>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</si>
  <si>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</si>
  <si>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</si>
  <si>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</si>
  <si>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</si>
  <si>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</si>
  <si>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</si>
  <si>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</si>
  <si>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</si>
  <si>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</si>
  <si>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</si>
  <si>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</si>
  <si>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</si>
  <si>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</si>
  <si>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</si>
  <si>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</si>
  <si>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</si>
  <si>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</si>
  <si>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</si>
  <si>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</si>
  <si>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</si>
  <si>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</si>
  <si>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</si>
  <si>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</si>
  <si>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</si>
  <si>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</si>
  <si>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</si>
  <si>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</si>
  <si>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</si>
  <si>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</si>
  <si>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</si>
  <si>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</si>
  <si>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</si>
  <si>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</si>
  <si>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</si>
  <si>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</si>
  <si>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</si>
  <si>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</si>
  <si>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</si>
  <si>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</si>
  <si>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</si>
  <si>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</si>
  <si>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</si>
  <si>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</si>
  <si>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</si>
  <si>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</si>
  <si>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</si>
  <si>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</si>
  <si>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</si>
  <si>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</si>
  <si>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</si>
  <si>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</si>
  <si>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</si>
  <si>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</si>
  <si>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</si>
  <si>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</si>
  <si>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</si>
  <si>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</si>
  <si>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</si>
  <si>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</si>
  <si>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</si>
  <si>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</si>
  <si>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</si>
  <si>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</si>
  <si>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</si>
  <si>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</si>
  <si>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</si>
  <si>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</si>
  <si>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</si>
  <si>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</si>
  <si>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</si>
  <si>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</si>
  <si>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</si>
  <si>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</si>
  <si>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</si>
  <si>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</si>
  <si>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</si>
  <si>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</si>
  <si>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</si>
  <si>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</si>
  <si>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</si>
  <si>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</si>
  <si>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</si>
  <si>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</si>
  <si>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</si>
  <si>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</si>
  <si>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</si>
  <si>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</si>
  <si>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</si>
  <si>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</si>
  <si>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</si>
  <si>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</si>
  <si>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</si>
  <si>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</si>
  <si>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</si>
  <si>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</si>
  <si>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</si>
  <si>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</si>
  <si>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</si>
  <si>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</si>
  <si>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</si>
  <si>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</si>
  <si>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</si>
  <si>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</si>
  <si>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</si>
  <si>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</si>
  <si>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</si>
  <si>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</si>
  <si>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</si>
  <si>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</si>
  <si>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</si>
  <si>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</si>
  <si>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</si>
  <si>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</si>
  <si>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</si>
  <si>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</si>
  <si>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</si>
  <si>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</si>
  <si>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</si>
  <si>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</si>
  <si>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</si>
  <si>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</si>
  <si>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</si>
  <si>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</si>
  <si>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</si>
  <si>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</si>
  <si>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</si>
  <si>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</si>
  <si>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</si>
  <si>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</si>
  <si>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</si>
  <si>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</si>
  <si>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</si>
  <si>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</si>
  <si>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</si>
  <si>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</si>
  <si>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</si>
  <si>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</si>
  <si>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</si>
  <si>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</si>
  <si>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</si>
  <si>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</si>
  <si>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</si>
  <si>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</si>
  <si>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</si>
  <si>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</si>
  <si>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</si>
  <si>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</si>
  <si>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</si>
  <si>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</si>
  <si>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</si>
  <si>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</si>
  <si>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</si>
  <si>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</si>
  <si>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</si>
  <si>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</si>
  <si>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</si>
  <si>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</si>
  <si>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</si>
  <si>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</si>
  <si>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</si>
  <si>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</si>
  <si>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</si>
  <si>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</si>
  <si>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</si>
  <si>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</si>
  <si>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</si>
  <si>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</si>
  <si>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</si>
  <si>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</si>
  <si>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</si>
  <si>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</si>
  <si>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</si>
  <si>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</si>
  <si>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</si>
  <si>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</si>
  <si>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</si>
  <si>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</si>
  <si>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</si>
  <si>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</si>
  <si>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</si>
  <si>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</si>
  <si>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</si>
  <si>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</si>
  <si>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</si>
  <si>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</si>
  <si>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</si>
  <si>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</si>
  <si>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</si>
  <si>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</si>
  <si>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</si>
  <si>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</si>
  <si>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</si>
  <si>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</si>
  <si>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</si>
  <si>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</si>
  <si>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</si>
  <si>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</si>
  <si>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</si>
  <si>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</si>
  <si>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</si>
  <si>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</si>
  <si>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</si>
  <si>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</si>
  <si>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</si>
  <si>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</si>
  <si>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</si>
  <si>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</si>
  <si>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</si>
  <si>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</si>
  <si>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</si>
  <si>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</si>
  <si>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</si>
  <si>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</si>
  <si>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</si>
  <si>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</si>
  <si>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</si>
  <si>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</si>
  <si>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</si>
  <si>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</si>
  <si>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</si>
  <si>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</si>
  <si>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</si>
  <si>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</si>
  <si>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</si>
  <si>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</si>
  <si>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</si>
  <si>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</si>
  <si>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</si>
  <si>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</si>
  <si>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</si>
  <si>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</si>
  <si>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</si>
  <si>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</si>
  <si>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</si>
  <si>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</si>
  <si>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</si>
  <si>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</si>
  <si>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</si>
  <si>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</si>
  <si>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</si>
  <si>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</si>
  <si>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</si>
  <si>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</si>
  <si>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</si>
  <si>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</si>
  <si>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</si>
  <si>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</si>
  <si>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</si>
  <si>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</si>
  <si>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</si>
  <si>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</si>
  <si>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</si>
  <si>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</si>
  <si>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</si>
  <si>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</si>
  <si>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</si>
  <si>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</si>
  <si>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</si>
  <si>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</si>
  <si>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</si>
  <si>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</si>
  <si>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</si>
  <si>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</si>
  <si>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</si>
  <si>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</si>
  <si>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</si>
  <si>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</si>
  <si>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</si>
  <si>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</si>
  <si>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</si>
  <si>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</si>
  <si>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</si>
  <si>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</si>
  <si>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</si>
  <si>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</si>
  <si>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</si>
  <si>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</si>
  <si>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</si>
  <si>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</si>
  <si>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</si>
  <si>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</si>
  <si>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</si>
  <si>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</si>
  <si>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</si>
  <si>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</si>
  <si>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</si>
  <si>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</si>
  <si>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</si>
  <si>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</si>
  <si>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</si>
  <si>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</si>
  <si>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</si>
  <si>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</si>
  <si>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</si>
  <si>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</si>
  <si>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</si>
  <si>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</si>
  <si>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</si>
  <si>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</si>
  <si>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</si>
  <si>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</si>
  <si>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</si>
  <si>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</si>
  <si>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</si>
  <si>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</si>
  <si>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</si>
  <si>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</si>
  <si>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</si>
  <si>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</si>
  <si>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</si>
  <si>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</si>
  <si>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</si>
  <si>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</si>
  <si>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</si>
  <si>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</si>
  <si>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</si>
  <si>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</si>
  <si>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</si>
  <si>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</si>
  <si>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</si>
  <si>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</si>
  <si>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</si>
  <si>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</si>
  <si>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</si>
  <si>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</si>
  <si>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</si>
  <si>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</si>
  <si>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</si>
  <si>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</si>
  <si>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</si>
  <si>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</si>
  <si>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</si>
  <si>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</si>
  <si>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</si>
  <si>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</si>
  <si>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</si>
  <si>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</si>
  <si>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</si>
  <si>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</si>
  <si>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</si>
  <si>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</si>
  <si>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</si>
  <si>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</si>
  <si>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</si>
  <si>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</si>
  <si>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</si>
  <si>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</si>
  <si>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</si>
  <si>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</si>
  <si>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</si>
  <si>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</si>
  <si>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</si>
  <si>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</si>
  <si>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</si>
  <si>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</si>
  <si>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</si>
  <si>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</si>
  <si>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</si>
  <si>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</si>
  <si>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</si>
  <si>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</si>
  <si>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</si>
  <si>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</si>
  <si>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</si>
  <si>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</si>
  <si>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</si>
  <si>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</si>
  <si>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</si>
  <si>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</si>
  <si>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</si>
  <si>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</si>
  <si>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</si>
  <si>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</si>
  <si>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</si>
  <si>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</si>
  <si>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</si>
  <si>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</si>
  <si>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</si>
  <si>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</si>
  <si>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</si>
  <si>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</si>
  <si>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</si>
  <si>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</si>
  <si>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</si>
  <si>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</si>
  <si>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</si>
  <si>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</si>
  <si>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</si>
  <si>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</si>
  <si>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</si>
  <si>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</si>
  <si>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</si>
  <si>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</si>
  <si>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</si>
  <si>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</si>
  <si>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</si>
  <si>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</si>
  <si>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</si>
  <si>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</si>
  <si>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</si>
  <si>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</si>
  <si>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</si>
  <si>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</si>
  <si>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</si>
  <si>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</si>
  <si>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</si>
  <si>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</si>
  <si>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</si>
  <si>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</si>
  <si>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</si>
  <si>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</si>
  <si>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</si>
  <si>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</si>
  <si>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</si>
  <si>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</si>
  <si>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</si>
  <si>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</si>
  <si>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</si>
  <si>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</si>
  <si>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</si>
  <si>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</si>
  <si>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</si>
  <si>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</si>
  <si>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</si>
  <si>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</si>
  <si>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</si>
  <si>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</si>
  <si>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</si>
  <si>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</si>
  <si>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</si>
  <si>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</si>
  <si>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</si>
  <si>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</si>
  <si>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</si>
  <si>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</si>
  <si>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</si>
  <si>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</si>
  <si>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</si>
  <si>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</si>
  <si>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</si>
  <si>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</si>
  <si>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</si>
  <si>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</si>
  <si>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</si>
  <si>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</si>
  <si>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</si>
  <si>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</si>
  <si>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</si>
  <si>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</si>
  <si>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</si>
  <si>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</si>
  <si>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</si>
  <si>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</si>
  <si>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</si>
  <si>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</si>
  <si>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</si>
  <si>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</si>
  <si>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</si>
  <si>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</si>
  <si>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</si>
  <si>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</si>
  <si>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</si>
  <si>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</si>
  <si>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</si>
  <si>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</si>
  <si>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</si>
  <si>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</si>
  <si>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</si>
  <si>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</si>
  <si>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</si>
  <si>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</si>
  <si>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</si>
  <si>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</si>
  <si>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</si>
  <si>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</si>
  <si>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</si>
  <si>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</si>
  <si>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</si>
  <si>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</si>
  <si>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</si>
  <si>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</si>
  <si>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</si>
  <si>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</si>
  <si>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</si>
  <si>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</si>
  <si>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</si>
  <si>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</si>
  <si>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</si>
  <si>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</si>
  <si>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</si>
  <si>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</si>
  <si>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</si>
  <si>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</si>
  <si>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</si>
  <si>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</si>
  <si>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</si>
  <si>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</si>
  <si>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</si>
  <si>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</si>
  <si>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</si>
  <si>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</si>
  <si>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</si>
  <si>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</si>
  <si>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</si>
  <si>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</si>
  <si>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</si>
  <si>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</si>
  <si>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</si>
  <si>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</si>
  <si>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</si>
  <si>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</si>
  <si>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</si>
  <si>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</si>
  <si>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</si>
  <si>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</si>
  <si>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</si>
  <si>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</si>
  <si>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</si>
  <si>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</si>
  <si>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</si>
  <si>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</si>
  <si>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</si>
  <si>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</si>
  <si>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</si>
  <si>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</si>
  <si>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</si>
  <si>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</si>
  <si>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</si>
  <si>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</si>
  <si>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</si>
  <si>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</si>
  <si>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</si>
  <si>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</si>
  <si>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</si>
  <si>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</si>
  <si>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</si>
  <si>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</si>
  <si>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</si>
  <si>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</si>
  <si>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</si>
  <si>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</si>
  <si>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</si>
  <si>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</si>
  <si>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</si>
  <si>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</si>
  <si>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</si>
  <si>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</si>
  <si>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</si>
  <si>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</si>
  <si>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</si>
  <si>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</si>
  <si>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</si>
  <si>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</si>
  <si>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</si>
  <si>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</si>
  <si>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</si>
  <si>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</si>
  <si>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</si>
  <si>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</si>
  <si>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</si>
  <si>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</si>
  <si>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</si>
  <si>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</si>
  <si>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</si>
  <si>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</si>
  <si>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</si>
  <si>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</si>
  <si>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</si>
  <si>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</si>
  <si>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</si>
  <si>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</si>
  <si>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</si>
  <si>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</si>
  <si>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</si>
  <si>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</si>
  <si>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</si>
  <si>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</si>
  <si>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</si>
  <si>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</si>
  <si>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</si>
  <si>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</si>
  <si>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</si>
  <si>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</si>
  <si>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</si>
  <si>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</si>
  <si>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</si>
  <si>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</si>
  <si>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</si>
  <si>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</si>
  <si>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</si>
  <si>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</si>
  <si>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</si>
  <si>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</si>
  <si>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</si>
  <si>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</si>
  <si>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</si>
  <si>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</si>
  <si>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</si>
  <si>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</si>
  <si>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</si>
  <si>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</si>
  <si>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</si>
  <si>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</si>
  <si>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</si>
  <si>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</si>
  <si>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</si>
  <si>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</si>
  <si>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</si>
  <si>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</si>
  <si>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</si>
  <si>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</si>
  <si>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</si>
  <si>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</si>
  <si>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</si>
  <si>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</si>
  <si>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</si>
  <si>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</si>
  <si>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</si>
  <si>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</si>
  <si>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</si>
  <si>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</si>
  <si>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</si>
  <si>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</si>
  <si>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</si>
  <si>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</si>
  <si>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</si>
  <si>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</si>
  <si>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</si>
  <si>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</si>
  <si>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</si>
  <si>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</si>
  <si>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</si>
  <si>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</si>
  <si>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</si>
  <si>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</si>
  <si>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</si>
  <si>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</si>
  <si>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</si>
  <si>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</si>
  <si>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</si>
  <si>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</si>
  <si>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</si>
  <si>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</si>
  <si>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</si>
  <si>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</si>
  <si>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</si>
  <si>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</si>
  <si>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</si>
  <si>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</si>
  <si>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</si>
  <si>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</si>
  <si>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</si>
  <si>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</si>
  <si>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</si>
  <si>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</si>
  <si>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</si>
  <si>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</si>
  <si>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</si>
  <si>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</si>
  <si>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</si>
  <si>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</si>
  <si>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</si>
  <si>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</si>
  <si>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</si>
  <si>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</si>
  <si>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</si>
  <si>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</si>
  <si>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</si>
  <si>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</si>
  <si>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</si>
  <si>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</si>
  <si>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</si>
  <si>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</si>
  <si>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</si>
  <si>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</si>
  <si>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</si>
  <si>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</si>
  <si>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</si>
  <si>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</si>
  <si>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</si>
  <si>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</si>
  <si>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</si>
  <si>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</si>
  <si>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</si>
  <si>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</si>
  <si>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</si>
  <si>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</si>
  <si>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</si>
  <si>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</si>
  <si>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</si>
  <si>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</si>
  <si>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</si>
  <si>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</si>
  <si>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</si>
  <si>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</si>
  <si>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</si>
  <si>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</si>
  <si>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</si>
  <si>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</si>
  <si>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</si>
  <si>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</si>
  <si>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</si>
  <si>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</si>
  <si>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</si>
  <si>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</si>
  <si>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</si>
  <si>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</si>
  <si>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</si>
  <si>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</si>
  <si>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</si>
  <si>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</si>
  <si>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</si>
  <si>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</si>
  <si>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</si>
  <si>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</si>
  <si>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</si>
  <si>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</si>
  <si>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</si>
  <si>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</si>
  <si>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</si>
  <si>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</si>
  <si>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</si>
  <si>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</si>
  <si>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</si>
  <si>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</si>
  <si>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</si>
  <si>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</si>
  <si>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</si>
  <si>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</si>
  <si>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</si>
  <si>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</si>
  <si>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</si>
  <si>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</si>
  <si>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</si>
  <si>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</si>
  <si>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</si>
  <si>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</si>
  <si>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</si>
  <si>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</si>
  <si>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</si>
  <si>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</si>
  <si>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</si>
  <si>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</si>
  <si>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</si>
  <si>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</si>
  <si>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</si>
  <si>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</si>
  <si>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</si>
  <si>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</si>
  <si>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</si>
  <si>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</si>
  <si>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</si>
  <si>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</si>
  <si>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</si>
  <si>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</si>
  <si>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</si>
  <si>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</si>
  <si>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</si>
  <si>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</si>
  <si>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</si>
  <si>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</si>
  <si>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</si>
  <si>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</si>
  <si>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</si>
  <si>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</si>
  <si>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</si>
  <si>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</si>
  <si>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</si>
  <si>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</si>
  <si>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</si>
  <si>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</si>
  <si>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</si>
  <si>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</si>
  <si>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</si>
  <si>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</si>
  <si>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</si>
  <si>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</si>
  <si>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</si>
  <si>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</si>
  <si>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</si>
  <si>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</si>
  <si>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</si>
  <si>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</si>
  <si>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</si>
  <si>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</si>
  <si>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</si>
  <si>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</si>
  <si>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</si>
  <si>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</si>
  <si>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</si>
  <si>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</si>
  <si>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</si>
  <si>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</si>
  <si>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</si>
  <si>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</si>
  <si>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</si>
  <si>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</si>
  <si>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</si>
  <si>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</si>
  <si>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</si>
  <si>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</si>
  <si>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</si>
  <si>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</si>
  <si>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</si>
  <si>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</si>
  <si>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</si>
  <si>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</si>
  <si>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</si>
  <si>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</si>
  <si>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</si>
  <si>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</si>
  <si>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</si>
  <si>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</si>
  <si>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</si>
  <si>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</si>
  <si>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</si>
  <si>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</si>
  <si>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</si>
  <si>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</si>
  <si>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</si>
  <si>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</si>
  <si>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</si>
  <si>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</si>
  <si>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</si>
  <si>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</si>
  <si>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</si>
  <si>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</si>
  <si>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</si>
  <si>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</si>
  <si>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</si>
  <si>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</si>
  <si>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</si>
  <si>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</si>
  <si>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</si>
  <si>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</si>
  <si>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</si>
  <si>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</si>
  <si>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</si>
  <si>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</si>
  <si>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</si>
  <si>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</si>
  <si>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</si>
  <si>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</si>
  <si>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</si>
  <si>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</si>
  <si>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</si>
  <si>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</si>
  <si>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</si>
  <si>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</si>
  <si>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</si>
  <si>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</si>
  <si>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</si>
  <si>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</si>
  <si>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</si>
  <si>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</si>
  <si>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</si>
  <si>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</si>
  <si>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</si>
  <si>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</si>
  <si>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</si>
  <si>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</si>
  <si>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</si>
  <si>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</si>
  <si>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</si>
  <si>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</si>
  <si>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</si>
  <si>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</si>
  <si>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</si>
  <si>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</si>
  <si>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</si>
  <si>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</si>
  <si>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</si>
  <si>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</si>
  <si>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</si>
  <si>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</si>
  <si>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</si>
  <si>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</si>
  <si>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</si>
  <si>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</si>
  <si>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</si>
  <si>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</si>
  <si>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Total Copies Sold from 2000-2012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</si>
</sst>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0" fontId="1" fillId="2" borderId="0" xfId="1" applyAlignment="1">
      <alignment horizontal="center"/>
    </xf>
    <xf numFmtId="0" fontId="1" fillId="2" borderId="0" xfId="1" applyAlignment="1">
      <alignment wrapText="1"/>
    </xf>
  </cellXfs>
  <cellStyles count="3">
    <cellStyle name="Accent2" xfId="1" builtinId="3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B1"/>
    </sheetView>
  </sheetViews>
  <sheetFormatPr defaultRowHeight="15" x14ac:dyDescent="0.25"/>
  <cols>
    <col min="2" max="2" width="11.140625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</cols>
  <sheetData>
    <row r="1" spans="1:9" x14ac:dyDescent="0.25">
      <c r="A1" s="7" t="s">
        <v>372</v>
      </c>
      <c r="B1" s="7"/>
      <c r="E1" s="3" t="s">
        <v>375</v>
      </c>
      <c r="F1" s="3"/>
    </row>
    <row r="3" spans="1:9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</row>
    <row r="4" spans="1:9" x14ac:dyDescent="0.25">
      <c r="A4" s="2" t="s">
        <v>24</v>
      </c>
      <c r="B4">
        <f>SUMIF(Market,Sales_Dashboard!A4,Total_Units_to_Date)</f>
        <v>613923937</v>
      </c>
      <c r="C4" s="1">
        <f>SUMIF(Market,A4,Sell_Price)</f>
        <v>3391.2799999999615</v>
      </c>
      <c r="E4" s="2" t="s">
        <v>22</v>
      </c>
      <c r="F4" s="2">
        <f t="shared" ref="F4:F9" si="0">SUMIF(Genre,E4,Total_Units_to_Date)</f>
        <v>535695650</v>
      </c>
      <c r="G4" s="1">
        <f t="shared" ref="G4:G9" si="1">SUMIF(Genre,E4,Total_Earnings_to_Date)</f>
        <v>3893490633.5</v>
      </c>
      <c r="I4" s="5"/>
    </row>
    <row r="5" spans="1:9" x14ac:dyDescent="0.25">
      <c r="A5" s="2" t="s">
        <v>103</v>
      </c>
      <c r="B5" s="2">
        <f>SUMIF(Market,Sales_Dashboard!A5,Total_Units_to_Date)</f>
        <v>400527509</v>
      </c>
      <c r="C5" s="1">
        <f>SUMIF(Market,A5,Total_Earnings_to_Date)</f>
        <v>2231164511.9099998</v>
      </c>
      <c r="E5" s="2" t="s">
        <v>377</v>
      </c>
      <c r="F5" s="2">
        <f t="shared" si="0"/>
        <v>131962916</v>
      </c>
      <c r="G5" s="1">
        <f t="shared" si="1"/>
        <v>997285303.83999991</v>
      </c>
    </row>
    <row r="6" spans="1:9" x14ac:dyDescent="0.25">
      <c r="A6" s="2" t="s">
        <v>25</v>
      </c>
      <c r="B6" s="2">
        <f>SUMIF(Market,Sales_Dashboard!A6,Total_Units_to_Date)</f>
        <v>456933680</v>
      </c>
      <c r="C6" s="1">
        <f>SUMIF(Market,A7,Total_Earnings_to_Date)</f>
        <v>6086972541.9900036</v>
      </c>
      <c r="E6" s="2" t="s">
        <v>73</v>
      </c>
      <c r="F6" s="2">
        <f t="shared" si="0"/>
        <v>519625571</v>
      </c>
      <c r="G6" s="1">
        <f t="shared" si="1"/>
        <v>4140268260.7900009</v>
      </c>
    </row>
    <row r="7" spans="1:9" x14ac:dyDescent="0.25">
      <c r="A7" s="2" t="s">
        <v>26</v>
      </c>
      <c r="B7" s="2">
        <f>SUMIF(Market,Sales_Dashboard!A7,Total_Units_to_Date)</f>
        <v>641997801</v>
      </c>
      <c r="C7" s="1">
        <f>SUMIF(Market,A7,Total_Earnings_to_Date)</f>
        <v>6086972541.9900036</v>
      </c>
      <c r="E7" s="2" t="s">
        <v>124</v>
      </c>
      <c r="F7" s="2">
        <f t="shared" si="0"/>
        <v>372807790</v>
      </c>
      <c r="G7" s="1">
        <f t="shared" si="1"/>
        <v>2618395605.599999</v>
      </c>
    </row>
    <row r="8" spans="1:9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9" x14ac:dyDescent="0.25">
      <c r="E9" s="2" t="s">
        <v>186</v>
      </c>
      <c r="F9" s="2">
        <f t="shared" si="0"/>
        <v>302258794</v>
      </c>
      <c r="G9" s="1">
        <f t="shared" si="1"/>
        <v>2531095748.0599999</v>
      </c>
    </row>
    <row r="11" spans="1:9" x14ac:dyDescent="0.25">
      <c r="A11" s="7" t="s">
        <v>1774</v>
      </c>
      <c r="B11" s="7"/>
      <c r="C11" s="2"/>
      <c r="E11" s="7" t="s">
        <v>1773</v>
      </c>
      <c r="F11" s="7"/>
      <c r="G11" s="2"/>
    </row>
    <row r="12" spans="1:9" x14ac:dyDescent="0.25">
      <c r="A12" s="2"/>
      <c r="B12" s="2"/>
      <c r="C12" s="2"/>
      <c r="E12" s="2"/>
      <c r="F12" s="2"/>
      <c r="G12" s="2"/>
    </row>
    <row r="13" spans="1:9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</row>
    <row r="14" spans="1:9" x14ac:dyDescent="0.25">
      <c r="A14" s="2" t="s">
        <v>5</v>
      </c>
      <c r="B14">
        <f>SUM(FY_2000)</f>
        <v>21883826</v>
      </c>
      <c r="C14" s="1">
        <f t="array" ref="C14">SUM(FY_2000*Sell_Price)</f>
        <v>158321352.74000001</v>
      </c>
      <c r="E14" t="s">
        <v>219</v>
      </c>
      <c r="F14">
        <f>SUMIF(Format,E14,Total_Units_to_Date)</f>
        <v>1068696429</v>
      </c>
      <c r="G14" s="1">
        <f>SUMIF(Format,E14,Total_Earnings_to_Date)</f>
        <v>2475529027.2099996</v>
      </c>
    </row>
    <row r="15" spans="1:9" x14ac:dyDescent="0.25">
      <c r="A15" s="2" t="s">
        <v>6</v>
      </c>
      <c r="B15" s="2">
        <f>SUM(FY_2001)</f>
        <v>56929669</v>
      </c>
      <c r="C15" s="1">
        <f t="array" ref="C15">SUM(FY_2001*Sell_Price)</f>
        <v>403560116.80999994</v>
      </c>
      <c r="E15" t="s">
        <v>23</v>
      </c>
      <c r="F15" s="2">
        <f>SUMIF(Format,E15,Total_Units_to_Date)</f>
        <v>1044686498</v>
      </c>
      <c r="G15" s="1">
        <f>SUMIF(Format,E15,Total_Earnings_to_Date)</f>
        <v>13496783622.020006</v>
      </c>
    </row>
    <row r="16" spans="1:9" x14ac:dyDescent="0.25">
      <c r="A16" s="2" t="s">
        <v>7</v>
      </c>
      <c r="B16" s="2">
        <f>SUM(FY_2002)</f>
        <v>56424579</v>
      </c>
      <c r="C16" s="1">
        <f t="array" ref="C16">SUM(FY_2002*Sell_Price)</f>
        <v>419532236.70999968</v>
      </c>
    </row>
    <row r="17" spans="1:6" x14ac:dyDescent="0.25">
      <c r="A17" s="2" t="s">
        <v>8</v>
      </c>
      <c r="B17" s="2">
        <f>SUM(FY_2003)</f>
        <v>83067183</v>
      </c>
      <c r="C17" s="1">
        <f t="array" ref="C17">SUM(FY_2003*Sell_Price)</f>
        <v>580539155.66999984</v>
      </c>
      <c r="E17" s="3" t="s">
        <v>1778</v>
      </c>
      <c r="F17" s="3"/>
    </row>
    <row r="18" spans="1:6" x14ac:dyDescent="0.25">
      <c r="A18" s="2" t="s">
        <v>9</v>
      </c>
      <c r="B18" s="2">
        <f>SUM(FY_2004)</f>
        <v>92360234</v>
      </c>
      <c r="C18" s="1">
        <f t="array" ref="C18">SUM(FY_2004*Sell_Price)</f>
        <v>691328034.15999985</v>
      </c>
      <c r="E18" t="s">
        <v>1779</v>
      </c>
      <c r="F18" s="1">
        <f>$C$27/COUNTIF(E4:E9,"&lt;&gt;")</f>
        <v>2662052108.2049971</v>
      </c>
    </row>
    <row r="19" spans="1:6" x14ac:dyDescent="0.25">
      <c r="A19" s="2" t="s">
        <v>10</v>
      </c>
      <c r="B19" s="2">
        <f>SUM(FY_2005)</f>
        <v>97661139</v>
      </c>
      <c r="C19" s="1">
        <f t="array" ref="C19">SUM(FY_2005*Sell_Price)</f>
        <v>741757801.61000061</v>
      </c>
      <c r="E19" t="s">
        <v>1780</v>
      </c>
      <c r="F19" s="5" t="e">
        <f>$C$27/COUNTIF(C28,"&lt;&gt;")</f>
        <v>#DIV/0!</v>
      </c>
    </row>
    <row r="20" spans="1:6" x14ac:dyDescent="0.25">
      <c r="A20" s="2" t="s">
        <v>11</v>
      </c>
      <c r="B20" s="2">
        <f>SUM(FY_2006)</f>
        <v>113670824</v>
      </c>
      <c r="C20" s="1">
        <f t="array" ref="C20">SUM(FY_2006*Sell_Price)</f>
        <v>862933291.25999963</v>
      </c>
      <c r="E20" t="s">
        <v>1781</v>
      </c>
      <c r="F20" s="1">
        <f>$C$27/COUNTIF(E14:E15,"&lt;&gt;")</f>
        <v>7986156324.6149912</v>
      </c>
    </row>
    <row r="21" spans="1:6" x14ac:dyDescent="0.25">
      <c r="A21" s="2" t="s">
        <v>12</v>
      </c>
      <c r="B21" s="2">
        <f>SUM(FY_2007)</f>
        <v>150840271</v>
      </c>
      <c r="C21" s="1">
        <f t="array" ref="C21">SUM(FY_2007*Sell_Price)</f>
        <v>1249920602.79</v>
      </c>
      <c r="E21" t="s">
        <v>1782</v>
      </c>
      <c r="F21" s="1">
        <f>$C$27/COUNTIF(A4:A7,"&lt;&gt;")</f>
        <v>3993078162.3074956</v>
      </c>
    </row>
    <row r="22" spans="1:6" x14ac:dyDescent="0.25">
      <c r="A22" s="2" t="s">
        <v>13</v>
      </c>
      <c r="B22" s="2">
        <f>SUM(FY_2008)</f>
        <v>161715826</v>
      </c>
      <c r="C22" s="1">
        <f t="array" ref="C22">SUM(FY_2008*Sell_Price)</f>
        <v>1236787257.2399998</v>
      </c>
    </row>
    <row r="23" spans="1:6" x14ac:dyDescent="0.25">
      <c r="A23" s="2" t="s">
        <v>14</v>
      </c>
      <c r="B23" s="2">
        <f>SUM(FY_2009)</f>
        <v>221867022</v>
      </c>
      <c r="C23" s="1">
        <f t="array" ref="C23">SUM(FY_2009*Sell_Price)</f>
        <v>1685648166.2799962</v>
      </c>
      <c r="E23" s="3" t="s">
        <v>1787</v>
      </c>
      <c r="F23" s="3"/>
    </row>
    <row r="24" spans="1:6" x14ac:dyDescent="0.25">
      <c r="A24" s="2" t="s">
        <v>15</v>
      </c>
      <c r="B24" s="2">
        <f>SUM(FY_2010)</f>
        <v>272741465</v>
      </c>
      <c r="C24" s="1">
        <f t="array" ref="C24">SUM(FY_2010*Sell_Price)</f>
        <v>2073495921.3499973</v>
      </c>
      <c r="E24" t="s">
        <v>1784</v>
      </c>
      <c r="F24">
        <v>1010</v>
      </c>
    </row>
    <row r="25" spans="1:6" x14ac:dyDescent="0.25">
      <c r="A25" s="2" t="s">
        <v>16</v>
      </c>
      <c r="B25" s="2">
        <f>SUM(FY_2011)</f>
        <v>328800855</v>
      </c>
      <c r="C25" s="1">
        <f t="array" ref="C25">SUM(FY_2011*Sell_Price)</f>
        <v>2507797264.9499969</v>
      </c>
      <c r="E25" t="s">
        <v>1788</v>
      </c>
      <c r="F25" t="e">
        <f>IF(AVERAGEIF(Author,F24,Total_Earnings_to_Date)&gt;SUM,"Yes","Negotiate")</f>
        <v>#NAME?</v>
      </c>
    </row>
    <row r="26" spans="1:6" x14ac:dyDescent="0.25">
      <c r="A26" s="2" t="s">
        <v>17</v>
      </c>
      <c r="B26" s="2">
        <f>SUM(FY_2012)</f>
        <v>455420034</v>
      </c>
      <c r="C26" s="1">
        <f t="array" ref="C26">SUM(FY_2012*Sell_Price)</f>
        <v>3360691447.6599917</v>
      </c>
    </row>
    <row r="27" spans="1:6" ht="15.75" thickBot="1" x14ac:dyDescent="0.3">
      <c r="C27" s="6">
        <f>SUM(C14:C26)</f>
        <v>15972312649.229982</v>
      </c>
    </row>
    <row r="28" spans="1:6" ht="15.75" thickTop="1" x14ac:dyDescent="0.25"/>
  </sheetData>
  <sortState ref="E4:E9">
    <sortCondition ref="E4"/>
  </sortState>
  <mergeCells count="3">
    <mergeCell ref="A1:B1"/>
    <mergeCell ref="A11:B11"/>
    <mergeCell ref="E11:F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3.5703125" bestFit="1" customWidth="1"/>
    <col min="2" max="2" width="16.28515625" bestFit="1" customWidth="1"/>
    <col min="3" max="3" width="16.28515625" style="2" customWidth="1"/>
    <col min="4" max="4" width="9.28515625" bestFit="1" customWidth="1"/>
    <col min="5" max="5" width="14.85546875" bestFit="1" customWidth="1"/>
  </cols>
  <sheetData>
    <row r="1" spans="1:5" ht="30" x14ac:dyDescent="0.25">
      <c r="A1" s="3" t="s">
        <v>1</v>
      </c>
      <c r="B1" s="8" t="s">
        <v>1789</v>
      </c>
      <c r="C1" s="3" t="s">
        <v>1777</v>
      </c>
      <c r="D1" s="3" t="s">
        <v>19</v>
      </c>
      <c r="E1" s="3" t="s">
        <v>1776</v>
      </c>
    </row>
    <row r="2" spans="1:5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</row>
    <row r="3" spans="1:5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10.99</v>
      </c>
      <c r="E3" s="1">
        <f t="shared" ref="E3:E12" si="0">B3*D3</f>
        <v>172693475.08000001</v>
      </c>
    </row>
    <row r="4" spans="1:5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</row>
    <row r="5" spans="1:5" x14ac:dyDescent="0.25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</row>
    <row r="6" spans="1:5" x14ac:dyDescent="0.25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</row>
    <row r="7" spans="1:5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</row>
    <row r="8" spans="1:5" x14ac:dyDescent="0.25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</row>
    <row r="9" spans="1:5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</row>
    <row r="10" spans="1:5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</row>
    <row r="11" spans="1:5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</row>
    <row r="12" spans="1:5" x14ac:dyDescent="0.25">
      <c r="A12" t="s">
        <v>1738</v>
      </c>
      <c r="B12" s="4">
        <f>SUM(Raw_Book_Sales!O1703:R1703)</f>
        <v>4257658</v>
      </c>
      <c r="C12" s="4">
        <f>B12/COUNTIF(Raw_Book_Sales!F1703:R1703,"&gt;0")</f>
        <v>327512.15384615387</v>
      </c>
      <c r="D12" s="1">
        <f>VLOOKUP(A12,Raw_Book_Sales!$B$2:$U$1737,19)</f>
        <v>15.99</v>
      </c>
      <c r="E12" s="1">
        <f t="shared" si="0"/>
        <v>68079951.420000002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ErrorMessage="1">
          <x14:formula1>
            <xm:f>Supplemental_Info!$C$2:$C$10</xm:f>
          </x14:formula1>
          <xm:sqref>D2:D12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4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1783</v>
      </c>
      <c r="X2" s="3"/>
    </row>
    <row r="3" spans="1:24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1784</v>
      </c>
      <c r="X3">
        <v>1005</v>
      </c>
    </row>
    <row r="4" spans="1:24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39065681.730000004</v>
      </c>
    </row>
    <row r="5" spans="1:24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4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-100934</v>
      </c>
      <c r="Q6">
        <v>75992</v>
      </c>
      <c r="R6">
        <v>28345</v>
      </c>
      <c r="S6">
        <f t="shared" si="0"/>
        <v>441114</v>
      </c>
      <c r="T6" s="1">
        <v>12.99</v>
      </c>
      <c r="U6" s="1">
        <f t="shared" si="1"/>
        <v>5730070.8600000003</v>
      </c>
    </row>
    <row r="7" spans="1:24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4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4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4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4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4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4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4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4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4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-445259</v>
      </c>
      <c r="S32">
        <f t="shared" si="0"/>
        <v>-445259</v>
      </c>
      <c r="T32" s="1">
        <v>15.99</v>
      </c>
      <c r="U32" s="1">
        <f t="shared" si="1"/>
        <v>-7119691.4100000001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-103954</v>
      </c>
      <c r="Q115">
        <v>-278512</v>
      </c>
      <c r="R115">
        <v>533990</v>
      </c>
      <c r="S115">
        <f t="shared" si="2"/>
        <v>278169</v>
      </c>
      <c r="T115" s="1">
        <v>0.99</v>
      </c>
      <c r="U115" s="1">
        <f t="shared" si="3"/>
        <v>275387.31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10.99</v>
      </c>
      <c r="U960" s="1">
        <f t="shared" si="29"/>
        <v>172693475.08000001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1785</v>
      </c>
      <c r="C1" s="3" t="s">
        <v>1786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Total_Earnings_to_Date</vt:lpstr>
      <vt:lpstr>Total_Units_to_Date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2014-07-22T18:49:32Z</dcterms:modified>
</cp:coreProperties>
</file>