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upplemental_Info" sheetId="4" r:id="rId4"/>
  </sheet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Title">Raw_Book_Sales!$B$2:$B1736</definedName>
    <definedName name="Top_Titles">Titles_to_Watch!$A$2:$E$12</definedName>
    <definedName name="Total_Earnings_to_Date">Raw_Book_Sales!$U$2:$U$1737</definedName>
    <definedName name="Total_Units_to_Date">Raw_Book_Sales!$S$2:$S$1737</definedName>
  </definedNames>
  <calcPr calcId="145621"/>
</workbook>
</file>

<file path=xl/calcChain.xml><?xml version="1.0" encoding="utf-8"?>
<calcChain xmlns="http://schemas.openxmlformats.org/spreadsheetml/2006/main">
  <c r="B18" i="3" l="1"/>
  <c r="B12" i="3" l="1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7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E11" i="3" l="1"/>
  <c r="E9" i="3"/>
  <c r="E7" i="3"/>
  <c r="E5" i="3"/>
  <c r="E3" i="3"/>
  <c r="E10" i="3"/>
  <c r="E8" i="3"/>
  <c r="E6" i="3"/>
  <c r="E4" i="3"/>
  <c r="C27" i="2"/>
  <c r="F19" i="2" s="1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F25" i="2" l="1"/>
  <c r="X4" i="1"/>
  <c r="U2" i="1"/>
  <c r="C6" i="2" s="1"/>
  <c r="F14" i="2"/>
  <c r="F6" i="2"/>
  <c r="U21" i="1"/>
  <c r="G8" i="2" s="1"/>
  <c r="F8" i="2"/>
  <c r="U3" i="1"/>
  <c r="F15" i="2"/>
  <c r="U10" i="1"/>
  <c r="G5" i="2" s="1"/>
  <c r="F5" i="2"/>
  <c r="M5" i="2" s="1"/>
  <c r="U5" i="1"/>
  <c r="F7" i="2"/>
  <c r="U4" i="1"/>
  <c r="F4" i="2"/>
  <c r="J5" i="2" s="1"/>
  <c r="U8" i="1"/>
  <c r="G9" i="2" s="1"/>
  <c r="F9" i="2"/>
  <c r="U187" i="1"/>
  <c r="B6" i="2"/>
  <c r="U240" i="1"/>
  <c r="C5" i="2" s="1"/>
  <c r="B5" i="2"/>
  <c r="U233" i="1"/>
  <c r="B4" i="2"/>
  <c r="U420" i="1"/>
  <c r="B7" i="2"/>
  <c r="C4" i="2" l="1"/>
  <c r="G4" i="2"/>
  <c r="G7" i="2"/>
  <c r="G15" i="2"/>
  <c r="G14" i="2"/>
  <c r="G6" i="2"/>
  <c r="C7" i="2"/>
</calcChain>
</file>

<file path=xl/sharedStrings.xml><?xml version="1.0" encoding="utf-8"?>
<sst xmlns="http://schemas.openxmlformats.org/spreadsheetml/2006/main" count="7055" uniqueCount="1802">
  <si>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</si>
  <si>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</si>
  <si>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</si>
  <si>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</si>
  <si>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</si>
  <si>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</si>
  <si>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</si>
  <si>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</si>
  <si>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</si>
  <si>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</si>
  <si>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</si>
  <si>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</si>
  <si>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</si>
  <si>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</si>
  <si>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</si>
  <si>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</si>
  <si>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</si>
  <si>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</si>
  <si>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</si>
  <si>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</si>
  <si>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</si>
  <si>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</si>
  <si>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</si>
  <si>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</si>
  <si>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</si>
  <si>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</si>
  <si>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</si>
  <si>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</si>
  <si>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</si>
  <si>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</si>
  <si>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</si>
  <si>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</si>
  <si>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</si>
  <si>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</si>
  <si>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</si>
  <si>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</si>
  <si>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</si>
  <si>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</si>
  <si>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</si>
  <si>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</si>
  <si>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</si>
  <si>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</si>
  <si>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</si>
  <si>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</si>
  <si>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</si>
  <si>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</si>
  <si>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</si>
  <si>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</si>
  <si>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</si>
  <si>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</si>
  <si>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</si>
  <si>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</si>
  <si>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</si>
  <si>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</si>
  <si>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</si>
  <si>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</si>
  <si>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</si>
  <si>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</si>
  <si>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</si>
  <si>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</si>
  <si>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</si>
  <si>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</si>
  <si>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</si>
  <si>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</si>
  <si>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</si>
  <si>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</si>
  <si>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</si>
  <si>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</si>
  <si>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</si>
  <si>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</si>
  <si>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</si>
  <si>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</si>
  <si>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</si>
  <si>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</si>
  <si>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</si>
  <si>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</si>
  <si>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</si>
  <si>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</si>
  <si>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</si>
  <si>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</si>
  <si>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</si>
  <si>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</si>
  <si>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</si>
  <si>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</si>
  <si>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</si>
  <si>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</si>
  <si>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</si>
  <si>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</si>
  <si>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</si>
  <si>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</si>
  <si>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</si>
  <si>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</si>
  <si>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</si>
  <si>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</si>
  <si>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</si>
  <si>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</si>
  <si>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</si>
  <si>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</si>
  <si>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</si>
  <si>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</si>
  <si>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</si>
  <si>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</si>
  <si>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</si>
  <si>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</si>
  <si>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</si>
  <si>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</si>
  <si>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</si>
  <si>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</si>
  <si>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</si>
  <si>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</si>
  <si>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</si>
  <si>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</si>
  <si>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</si>
  <si>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</si>
  <si>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</si>
  <si>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</si>
  <si>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</si>
  <si>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</si>
  <si>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</si>
  <si>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</si>
  <si>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</si>
  <si>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</si>
  <si>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</si>
  <si>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</si>
  <si>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</si>
  <si>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</si>
  <si>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</si>
  <si>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</si>
  <si>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</si>
  <si>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</si>
  <si>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</si>
  <si>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</si>
  <si>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</si>
  <si>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</si>
  <si>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</si>
  <si>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</si>
  <si>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</si>
  <si>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</si>
  <si>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</si>
  <si>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</si>
  <si>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</si>
  <si>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</si>
  <si>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</si>
  <si>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</si>
  <si>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</si>
  <si>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</si>
  <si>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</si>
  <si>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</si>
  <si>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</si>
  <si>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</si>
  <si>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</si>
  <si>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</si>
  <si>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</si>
  <si>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</si>
  <si>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</si>
  <si>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</si>
  <si>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</si>
  <si>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</si>
  <si>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</si>
  <si>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</si>
  <si>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</si>
  <si>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</si>
  <si>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</si>
  <si>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</si>
  <si>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</si>
  <si>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</si>
  <si>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</si>
  <si>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</si>
  <si>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</si>
  <si>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</si>
  <si>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</si>
  <si>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</si>
  <si>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</si>
  <si>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</si>
  <si>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</si>
  <si>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</si>
  <si>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</si>
  <si>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</si>
  <si>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</si>
  <si>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</si>
  <si>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</si>
  <si>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</si>
  <si>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</si>
  <si>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</si>
  <si>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</si>
  <si>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</si>
  <si>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</si>
  <si>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</si>
  <si>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</si>
  <si>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</si>
  <si>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</si>
  <si>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</si>
  <si>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</si>
  <si>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</si>
  <si>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</si>
  <si>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</si>
  <si>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</si>
  <si>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</si>
  <si>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</si>
  <si>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</si>
  <si>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</si>
  <si>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</si>
  <si>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</si>
  <si>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</si>
  <si>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</si>
  <si>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</si>
  <si>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</si>
  <si>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</si>
  <si>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</si>
  <si>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</si>
  <si>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</si>
  <si>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</si>
  <si>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</si>
  <si>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</si>
  <si>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</si>
  <si>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</si>
  <si>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</si>
  <si>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</si>
  <si>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</si>
  <si>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</si>
  <si>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</si>
  <si>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</si>
  <si>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</si>
  <si>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</si>
  <si>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</si>
  <si>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</si>
  <si>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</si>
  <si>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</si>
  <si>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</si>
  <si>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</si>
  <si>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</si>
  <si>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</si>
  <si>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</si>
  <si>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</si>
  <si>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</si>
  <si>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</si>
  <si>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</si>
  <si>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</si>
  <si>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</si>
  <si>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</si>
  <si>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</si>
  <si>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</si>
  <si>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</si>
  <si>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</si>
  <si>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</si>
  <si>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</si>
  <si>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</si>
  <si>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</si>
  <si>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</si>
  <si>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</si>
  <si>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</si>
  <si>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</si>
  <si>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</si>
  <si>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</si>
  <si>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</si>
  <si>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</si>
  <si>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</si>
  <si>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</si>
  <si>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</si>
  <si>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</si>
  <si>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</si>
  <si>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</si>
  <si>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</si>
  <si>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</si>
  <si>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</si>
  <si>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</si>
  <si>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</si>
  <si>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</si>
  <si>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</si>
  <si>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</si>
  <si>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</si>
  <si>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</si>
  <si>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</si>
  <si>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</si>
  <si>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</si>
  <si>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</si>
  <si>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</si>
  <si>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</si>
  <si>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</si>
  <si>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</si>
  <si>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</si>
  <si>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</si>
  <si>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</si>
  <si>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</si>
  <si>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</si>
  <si>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</si>
  <si>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</si>
  <si>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</si>
  <si>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</si>
  <si>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</si>
  <si>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</si>
  <si>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</si>
  <si>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</si>
  <si>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</si>
  <si>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</si>
  <si>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</si>
  <si>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</si>
  <si>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</si>
  <si>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</si>
  <si>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</si>
  <si>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</si>
  <si>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</si>
  <si>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</si>
  <si>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</si>
  <si>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</si>
  <si>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</si>
  <si>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</si>
  <si>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</si>
  <si>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</si>
  <si>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</si>
  <si>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</si>
  <si>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</si>
  <si>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</si>
  <si>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</si>
  <si>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</si>
  <si>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</si>
  <si>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</si>
  <si>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</si>
  <si>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</si>
  <si>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</si>
  <si>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</si>
  <si>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</si>
  <si>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</si>
  <si>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</si>
  <si>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</si>
  <si>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</si>
  <si>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</si>
  <si>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</si>
  <si>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</si>
  <si>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</si>
  <si>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</si>
  <si>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</si>
  <si>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</si>
  <si>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</si>
  <si>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</si>
  <si>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</si>
  <si>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</si>
  <si>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</si>
  <si>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</si>
  <si>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</si>
  <si>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</si>
  <si>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</si>
  <si>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</si>
  <si>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</si>
  <si>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</si>
  <si>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</si>
  <si>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</si>
  <si>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</si>
  <si>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</si>
  <si>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</si>
  <si>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</si>
  <si>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</si>
  <si>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</si>
  <si>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</si>
  <si>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</si>
  <si>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</si>
  <si>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</si>
  <si>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</si>
  <si>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</si>
  <si>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</si>
  <si>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</si>
  <si>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</si>
  <si>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</si>
  <si>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</si>
  <si>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</si>
  <si>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</si>
  <si>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</si>
  <si>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</si>
  <si>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</si>
  <si>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</si>
  <si>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</si>
  <si>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</si>
  <si>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</si>
  <si>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</si>
  <si>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</si>
  <si>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</si>
  <si>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</si>
  <si>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</si>
  <si>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</si>
  <si>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</si>
  <si>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</si>
  <si>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</si>
  <si>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</si>
  <si>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</si>
  <si>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</si>
  <si>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</si>
  <si>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</si>
  <si>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</si>
  <si>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</si>
  <si>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</si>
  <si>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</si>
  <si>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</si>
  <si>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</si>
  <si>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</si>
  <si>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</si>
  <si>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</si>
  <si>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</si>
  <si>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</si>
  <si>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</si>
  <si>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</si>
  <si>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</si>
  <si>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</si>
  <si>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</si>
  <si>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</si>
  <si>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</si>
  <si>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</si>
  <si>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</si>
  <si>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</si>
  <si>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</si>
  <si>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</si>
  <si>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</si>
  <si>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</si>
  <si>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</si>
  <si>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</si>
  <si>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</si>
  <si>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</si>
  <si>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</si>
  <si>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</si>
  <si>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</si>
  <si>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</si>
  <si>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</si>
  <si>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</si>
  <si>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</si>
  <si>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</si>
  <si>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</si>
  <si>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</si>
  <si>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</si>
  <si>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</si>
  <si>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</si>
  <si>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</si>
  <si>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</si>
  <si>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</si>
  <si>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</si>
  <si>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</si>
  <si>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</si>
  <si>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</si>
  <si>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</si>
  <si>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</si>
  <si>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</si>
  <si>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</si>
  <si>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</si>
  <si>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</si>
  <si>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</si>
  <si>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</si>
  <si>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</si>
  <si>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</si>
  <si>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</si>
  <si>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</si>
  <si>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</si>
  <si>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</si>
  <si>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</si>
  <si>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</si>
  <si>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</si>
  <si>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</si>
  <si>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</si>
  <si>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</si>
  <si>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</si>
  <si>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</si>
  <si>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</si>
  <si>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</si>
  <si>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</si>
  <si>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</si>
  <si>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</si>
  <si>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</si>
  <si>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</si>
  <si>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</si>
  <si>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</si>
  <si>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</si>
  <si>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</si>
  <si>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</si>
  <si>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</si>
  <si>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</si>
  <si>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</si>
  <si>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</si>
  <si>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</si>
  <si>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</si>
  <si>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</si>
  <si>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</si>
  <si>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</si>
  <si>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</si>
  <si>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</si>
  <si>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</si>
  <si>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</si>
  <si>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</si>
  <si>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</si>
  <si>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</si>
  <si>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</si>
  <si>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</si>
  <si>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</si>
  <si>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</si>
  <si>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</si>
  <si>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</si>
  <si>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</si>
  <si>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</si>
  <si>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</si>
  <si>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</si>
  <si>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</si>
  <si>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</si>
  <si>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</si>
  <si>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</si>
  <si>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</si>
  <si>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</si>
  <si>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</si>
  <si>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</si>
  <si>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</si>
  <si>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</si>
  <si>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</si>
  <si>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</si>
  <si>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</si>
  <si>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</si>
  <si>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</si>
  <si>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</si>
  <si>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</si>
  <si>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</si>
  <si>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</si>
  <si>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</si>
  <si>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</si>
  <si>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</si>
  <si>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</si>
  <si>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</si>
  <si>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</si>
  <si>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</si>
  <si>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</si>
  <si>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</si>
  <si>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</si>
  <si>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</si>
  <si>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</si>
  <si>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</si>
  <si>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</si>
  <si>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</si>
  <si>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</si>
  <si>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</si>
  <si>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</si>
  <si>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</si>
  <si>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</si>
  <si>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</si>
  <si>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</si>
  <si>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</si>
  <si>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</si>
  <si>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</si>
  <si>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</si>
  <si>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</si>
  <si>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</si>
  <si>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</si>
  <si>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</si>
  <si>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</si>
  <si>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</si>
  <si>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</si>
  <si>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</si>
  <si>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</si>
  <si>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</si>
  <si>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</si>
  <si>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</si>
  <si>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</si>
  <si>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</si>
  <si>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</si>
  <si>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</si>
  <si>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</si>
  <si>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</si>
  <si>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</si>
  <si>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</si>
  <si>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</si>
  <si>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</si>
  <si>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</si>
  <si>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</si>
  <si>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</si>
  <si>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</si>
  <si>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</si>
  <si>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</si>
  <si>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</si>
  <si>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</si>
  <si>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</si>
  <si>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</si>
  <si>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</si>
  <si>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</si>
  <si>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</si>
  <si>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</si>
  <si>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</si>
  <si>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</si>
  <si>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</si>
  <si>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</si>
  <si>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</si>
  <si>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</si>
  <si>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</si>
  <si>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</si>
  <si>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</si>
  <si>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</si>
  <si>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</si>
  <si>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</si>
  <si>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</si>
  <si>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</si>
  <si>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</si>
  <si>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</si>
  <si>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</si>
  <si>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</si>
  <si>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</si>
  <si>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</si>
  <si>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</si>
  <si>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</si>
  <si>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</si>
  <si>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</si>
  <si>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</si>
  <si>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</si>
  <si>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</si>
  <si>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</si>
  <si>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</si>
  <si>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</si>
  <si>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</si>
  <si>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</si>
  <si>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</si>
  <si>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</si>
  <si>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</si>
  <si>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</si>
  <si>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</si>
  <si>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</si>
  <si>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</si>
  <si>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</si>
  <si>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</si>
  <si>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</si>
  <si>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</si>
  <si>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</si>
  <si>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</si>
  <si>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</si>
  <si>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</si>
  <si>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</si>
  <si>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</si>
  <si>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</si>
  <si>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</si>
  <si>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</si>
  <si>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</si>
  <si>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</si>
  <si>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</si>
  <si>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</si>
  <si>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</si>
  <si>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</si>
  <si>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</si>
  <si>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</si>
  <si>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</si>
  <si>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</si>
  <si>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</si>
  <si>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</si>
  <si>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</si>
  <si>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</si>
  <si>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</si>
  <si>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</si>
  <si>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</si>
  <si>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</si>
  <si>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</si>
  <si>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</si>
  <si>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</si>
  <si>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</si>
  <si>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</si>
  <si>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</si>
  <si>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</si>
  <si>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</si>
  <si>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</si>
  <si>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</si>
  <si>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</si>
  <si>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</si>
  <si>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</si>
  <si>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</si>
  <si>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</si>
  <si>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</si>
  <si>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</si>
  <si>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</si>
  <si>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</si>
  <si>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</si>
  <si>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</si>
  <si>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</si>
  <si>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</si>
  <si>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</si>
  <si>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</si>
  <si>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</si>
  <si>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</si>
  <si>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</si>
  <si>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</si>
  <si>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</si>
  <si>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</si>
  <si>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</si>
  <si>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</si>
  <si>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</si>
  <si>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</si>
  <si>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</si>
  <si>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</si>
  <si>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</si>
  <si>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</si>
  <si>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</si>
  <si>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</si>
  <si>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</si>
  <si>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</si>
  <si>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</si>
  <si>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</si>
  <si>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</si>
  <si>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</si>
  <si>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</si>
  <si>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</si>
  <si>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</si>
  <si>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</si>
  <si>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</si>
  <si>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</si>
  <si>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</si>
  <si>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</si>
  <si>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</si>
  <si>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</si>
  <si>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</si>
  <si>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</si>
  <si>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</si>
  <si>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</si>
  <si>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</si>
  <si>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</si>
  <si>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</si>
  <si>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</si>
  <si>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</si>
  <si>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</si>
  <si>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</si>
  <si>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</si>
  <si>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</si>
  <si>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</si>
  <si>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</si>
  <si>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</si>
  <si>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</si>
  <si>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</si>
  <si>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</si>
  <si>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</si>
  <si>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</si>
  <si>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</si>
  <si>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</si>
  <si>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</si>
  <si>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</si>
  <si>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</si>
  <si>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</si>
  <si>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</si>
  <si>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</si>
  <si>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</si>
  <si>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</si>
  <si>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</si>
  <si>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</si>
  <si>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</si>
  <si>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</si>
  <si>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</si>
  <si>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</si>
  <si>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</si>
  <si>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</si>
  <si>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</si>
  <si>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</si>
  <si>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</si>
  <si>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</si>
  <si>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</si>
  <si>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</si>
  <si>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</si>
  <si>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</si>
  <si>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</si>
  <si>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</si>
  <si>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</si>
  <si>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</si>
  <si>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</si>
  <si>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</si>
  <si>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</si>
  <si>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</si>
  <si>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</si>
  <si>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</si>
  <si>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</si>
  <si>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</si>
  <si>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</si>
  <si>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</si>
  <si>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</si>
  <si>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</si>
  <si>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</si>
  <si>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</si>
  <si>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</si>
  <si>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</si>
  <si>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</si>
  <si>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</si>
  <si>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</si>
  <si>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</si>
  <si>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</si>
  <si>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</si>
  <si>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</si>
  <si>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</si>
  <si>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</si>
  <si>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</si>
  <si>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</si>
  <si>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</si>
  <si>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</si>
  <si>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</si>
  <si>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</si>
  <si>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</si>
  <si>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</si>
  <si>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</si>
  <si>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</si>
  <si>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</si>
  <si>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</si>
  <si>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</si>
  <si>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</si>
  <si>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</si>
  <si>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</si>
  <si>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</si>
  <si>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</si>
  <si>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</si>
  <si>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</si>
  <si>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</si>
  <si>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</si>
  <si>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</si>
  <si>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</si>
  <si>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</si>
  <si>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</si>
  <si>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</si>
  <si>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</si>
  <si>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</si>
  <si>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</si>
  <si>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</si>
  <si>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</si>
  <si>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</si>
  <si>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</si>
  <si>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</si>
  <si>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</si>
  <si>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</si>
  <si>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</si>
  <si>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</si>
  <si>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</si>
  <si>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</si>
  <si>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</si>
  <si>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</si>
  <si>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</si>
  <si>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</si>
  <si>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</si>
  <si>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</si>
  <si>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</si>
  <si>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</si>
  <si>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</si>
  <si>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</si>
  <si>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</si>
  <si>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</si>
  <si>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</si>
  <si>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</si>
  <si>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</si>
  <si>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</si>
  <si>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</si>
  <si>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</si>
  <si>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</si>
  <si>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</si>
  <si>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</si>
  <si>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</si>
  <si>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</si>
  <si>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</si>
  <si>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</si>
  <si>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</si>
  <si>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</si>
  <si>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</si>
  <si>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</si>
  <si>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</si>
  <si>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</si>
  <si>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</si>
  <si>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</si>
  <si>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</si>
  <si>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</si>
  <si>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</si>
  <si>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</si>
  <si>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</si>
  <si>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</si>
  <si>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</si>
  <si>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</si>
  <si>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</si>
  <si>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</si>
  <si>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</si>
  <si>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</si>
  <si>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</si>
  <si>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</si>
  <si>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</si>
  <si>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</si>
  <si>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</si>
  <si>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</si>
  <si>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</si>
  <si>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</si>
  <si>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</si>
  <si>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</si>
  <si>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</si>
  <si>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</si>
  <si>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</si>
  <si>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</si>
  <si>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</si>
  <si>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</si>
  <si>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</si>
  <si>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</si>
  <si>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</si>
  <si>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</si>
  <si>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</si>
  <si>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</si>
  <si>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</si>
  <si>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</si>
  <si>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</si>
  <si>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</si>
  <si>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</si>
  <si>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</si>
  <si>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</si>
  <si>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</si>
  <si>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</si>
  <si>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</si>
  <si>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</si>
  <si>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</si>
  <si>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</si>
  <si>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</si>
  <si>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</si>
  <si>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</si>
  <si>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</si>
  <si>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</si>
  <si>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</si>
  <si>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</si>
  <si>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</si>
  <si>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</si>
  <si>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</si>
  <si>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</si>
  <si>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</si>
  <si>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</si>
  <si>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</si>
  <si>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</si>
  <si>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</si>
  <si>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</si>
  <si>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</si>
  <si>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</si>
  <si>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</si>
  <si>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</si>
  <si>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</si>
  <si>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</si>
  <si>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</si>
  <si>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</si>
  <si>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</si>
  <si>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</si>
  <si>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</si>
  <si>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</si>
  <si>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</si>
  <si>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</si>
  <si>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</si>
  <si>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</si>
  <si>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</si>
  <si>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</si>
  <si>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</si>
  <si>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</si>
  <si>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</si>
  <si>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</si>
  <si>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</si>
  <si>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</si>
  <si>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</si>
  <si>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</si>
  <si>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</si>
  <si>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</si>
  <si>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</si>
  <si>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</si>
  <si>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</si>
  <si>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</si>
  <si>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</si>
  <si>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</si>
  <si>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</si>
  <si>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</si>
  <si>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</si>
  <si>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</si>
  <si>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</si>
  <si>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</si>
  <si>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</si>
  <si>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</si>
  <si>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</si>
  <si>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</si>
  <si>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</si>
  <si>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</si>
  <si>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</si>
  <si>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</si>
  <si>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</si>
  <si>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</si>
  <si>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</si>
  <si>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</si>
  <si>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</si>
  <si>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</si>
  <si>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</si>
  <si>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</si>
  <si>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</si>
  <si>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</si>
  <si>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</si>
  <si>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</si>
  <si>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</si>
  <si>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</si>
  <si>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</si>
  <si>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</si>
  <si>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</si>
  <si>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</si>
  <si>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</si>
  <si>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</si>
  <si>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</si>
  <si>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</si>
  <si>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</si>
  <si>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</si>
  <si>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</si>
  <si>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</si>
  <si>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</si>
  <si>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</si>
  <si>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</si>
  <si>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</si>
  <si>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</si>
  <si>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</si>
  <si>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</si>
  <si>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</si>
  <si>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</si>
  <si>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</si>
  <si>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</si>
  <si>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</si>
  <si>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</si>
  <si>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</si>
  <si>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</si>
  <si>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</si>
  <si>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</si>
  <si>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</si>
  <si>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</si>
  <si>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</si>
  <si>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</si>
  <si>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</si>
  <si>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</si>
  <si>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</si>
  <si>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</si>
  <si>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</si>
  <si>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</si>
  <si>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</si>
  <si>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</si>
  <si>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</si>
  <si>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</si>
  <si>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</si>
  <si>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</si>
  <si>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</si>
  <si>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</si>
  <si>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</si>
  <si>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</si>
  <si>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</si>
  <si>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</si>
  <si>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</si>
  <si>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</si>
  <si>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</si>
  <si>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</si>
  <si>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</si>
  <si>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</si>
  <si>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</si>
  <si>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</si>
  <si>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</si>
  <si>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</si>
  <si>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</si>
  <si>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</si>
  <si>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</si>
  <si>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</si>
  <si>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</si>
  <si>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</si>
  <si>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</si>
  <si>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</si>
  <si>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</si>
  <si>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</si>
  <si>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</si>
  <si>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</si>
  <si>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</si>
  <si>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</si>
  <si>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</si>
  <si>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</si>
  <si>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</si>
  <si>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</si>
  <si>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</si>
  <si>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</si>
  <si>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</si>
  <si>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</si>
  <si>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</si>
  <si>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</si>
  <si>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</si>
  <si>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</si>
  <si>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</si>
  <si>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</si>
  <si>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</si>
  <si>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</si>
  <si>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</si>
  <si>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</si>
  <si>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</si>
  <si>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</si>
  <si>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</si>
  <si>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</si>
  <si>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</si>
  <si>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</si>
  <si>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</si>
  <si>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</si>
  <si>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</si>
  <si>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</si>
  <si>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</si>
  <si>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</si>
  <si>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</si>
  <si>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</si>
  <si>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</si>
  <si>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</si>
  <si>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</si>
  <si>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</si>
  <si>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</si>
  <si>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</si>
  <si>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</si>
  <si>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</si>
  <si>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</si>
  <si>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</si>
  <si>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</si>
  <si>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</si>
  <si>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</si>
  <si>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</si>
  <si>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</si>
  <si>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</si>
  <si>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</si>
  <si>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</si>
  <si>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</si>
  <si>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</si>
  <si>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</si>
  <si>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</si>
  <si>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</si>
  <si>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</si>
  <si>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</si>
  <si>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</si>
  <si>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</si>
  <si>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</si>
  <si>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</si>
  <si>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</si>
  <si>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</si>
  <si>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</si>
  <si>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</si>
  <si>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</si>
  <si>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</si>
  <si>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</si>
  <si>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</si>
  <si>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</si>
  <si>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</si>
  <si>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</si>
  <si>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</si>
  <si>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</si>
  <si>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</si>
  <si>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</si>
  <si>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</si>
  <si>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</si>
  <si>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</si>
  <si>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</si>
  <si>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</si>
  <si>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</si>
  <si>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</si>
  <si>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</si>
  <si>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</si>
  <si>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</si>
  <si>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</si>
  <si>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</si>
  <si>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</si>
  <si>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</si>
  <si>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</si>
  <si>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</si>
  <si>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</si>
  <si>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</si>
  <si>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</si>
  <si>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</si>
  <si>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</si>
  <si>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</si>
  <si>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</si>
  <si>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</si>
  <si>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</si>
  <si>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</si>
  <si>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</si>
  <si>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</si>
  <si>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</si>
  <si>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</si>
  <si>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</si>
  <si>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</si>
  <si>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</si>
  <si>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</si>
  <si>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</si>
  <si>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</si>
  <si>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</si>
  <si>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</si>
  <si>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</si>
  <si>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</si>
  <si>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</si>
  <si>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</si>
  <si>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</si>
  <si>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</si>
  <si>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</si>
  <si>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</si>
  <si>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</si>
  <si>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</si>
  <si>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</si>
  <si>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</si>
  <si>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</si>
  <si>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</si>
  <si>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</si>
  <si>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</si>
  <si>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</si>
  <si>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</si>
  <si>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</si>
  <si>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</si>
  <si>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</si>
  <si>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</si>
  <si>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</si>
  <si>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</si>
  <si>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</si>
  <si>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</si>
  <si>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</si>
  <si>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</si>
  <si>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</si>
  <si>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</si>
  <si>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</si>
  <si>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</si>
  <si>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</si>
  <si>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</si>
  <si>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</si>
  <si>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</si>
  <si>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</si>
  <si>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</si>
  <si>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</si>
  <si>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</si>
  <si>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</si>
  <si>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</si>
  <si>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</si>
  <si>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</si>
  <si>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</si>
  <si>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</si>
  <si>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</si>
  <si>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</si>
  <si>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</si>
  <si>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</si>
  <si>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</si>
  <si>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</si>
  <si>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</si>
  <si>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</si>
  <si>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</si>
  <si>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</si>
  <si>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</si>
  <si>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</si>
  <si>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</si>
  <si>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</si>
  <si>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</si>
  <si>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</si>
  <si>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</si>
  <si>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</si>
  <si>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</si>
  <si>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</si>
  <si>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</si>
  <si>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</si>
  <si>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</si>
  <si>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</si>
  <si>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</si>
  <si>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</si>
  <si>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</si>
  <si>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</si>
  <si>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</si>
  <si>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</si>
  <si>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</si>
  <si>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</si>
  <si>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</si>
  <si>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</si>
  <si>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</si>
  <si>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</si>
  <si>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</si>
  <si>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</si>
  <si>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</si>
  <si>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</si>
  <si>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</si>
  <si>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</si>
  <si>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</si>
  <si>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</si>
  <si>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</si>
  <si>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</si>
  <si>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</si>
  <si>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</si>
  <si>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</si>
  <si>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</si>
  <si>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</si>
  <si>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</si>
  <si>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</si>
  <si>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</si>
  <si>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</si>
  <si>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</si>
  <si>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</si>
  <si>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</si>
  <si>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</si>
  <si>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</si>
  <si>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</si>
  <si>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</si>
  <si>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</si>
  <si>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</si>
  <si>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</si>
  <si>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</si>
  <si>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</si>
  <si>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</si>
  <si>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</si>
  <si>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</si>
  <si>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</si>
  <si>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</si>
  <si>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</si>
  <si>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</si>
  <si>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</si>
  <si>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</si>
  <si>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</si>
  <si>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</si>
  <si>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</si>
  <si>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</si>
  <si>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</si>
  <si>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</si>
  <si>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</si>
  <si>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</si>
  <si>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</si>
  <si>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</si>
  <si>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</si>
  <si>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</si>
  <si>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</si>
  <si>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</si>
  <si>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</si>
  <si>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</si>
  <si>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</si>
  <si>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</si>
  <si>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</si>
  <si>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</si>
  <si>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</si>
  <si>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</si>
  <si>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</si>
  <si>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</si>
  <si>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</si>
  <si>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</si>
  <si>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</si>
  <si>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</si>
  <si>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</si>
  <si>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</si>
  <si>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</si>
  <si>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</si>
  <si>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</si>
  <si>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</si>
  <si>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</si>
  <si>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</si>
  <si>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</si>
  <si>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</si>
  <si>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</si>
  <si>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</si>
  <si>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</si>
  <si>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</si>
  <si>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</si>
  <si>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</si>
  <si>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</si>
  <si>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</si>
  <si>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</si>
  <si>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</si>
  <si>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</si>
  <si>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</si>
  <si>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</si>
  <si>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</si>
  <si>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</si>
  <si>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</si>
  <si>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</si>
  <si>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</si>
  <si>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</si>
  <si>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</si>
  <si>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</si>
  <si>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</si>
  <si>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</si>
  <si>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</si>
  <si>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</si>
  <si>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</si>
  <si>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</si>
  <si>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</si>
  <si>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</si>
  <si>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</si>
  <si>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</si>
  <si>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</si>
  <si>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</si>
  <si>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</si>
  <si>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</si>
  <si>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</si>
  <si>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</si>
  <si>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</si>
  <si>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</si>
  <si>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</si>
  <si>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</si>
  <si>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</si>
  <si>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</si>
  <si>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</si>
  <si>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</si>
  <si>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</si>
  <si>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</si>
  <si>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</si>
  <si>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</si>
  <si>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</si>
  <si>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</si>
  <si>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</si>
  <si>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</si>
  <si>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</si>
  <si>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</si>
  <si>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</si>
  <si>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</si>
  <si>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</si>
  <si>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</si>
  <si>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</si>
  <si>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</si>
  <si>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</si>
  <si>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</si>
  <si>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</si>
  <si>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</si>
  <si>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</si>
  <si>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</si>
  <si>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</si>
  <si>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</si>
  <si>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</si>
  <si>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</si>
  <si>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</si>
  <si>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</si>
  <si>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</si>
  <si>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</si>
  <si>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</si>
  <si>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</si>
  <si>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</si>
  <si>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</si>
  <si>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</si>
  <si>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</si>
  <si>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</si>
  <si>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</si>
  <si>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</si>
  <si>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</si>
  <si>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</si>
  <si>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</si>
  <si>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</si>
  <si>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</si>
  <si>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</si>
  <si>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</si>
  <si>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</si>
  <si>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</si>
  <si>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</si>
  <si>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</si>
  <si>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</si>
  <si>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</si>
  <si>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</si>
  <si>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</si>
  <si>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</si>
  <si>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</si>
  <si>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</si>
  <si>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</si>
  <si>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</si>
  <si>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</si>
  <si>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</si>
  <si>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</si>
  <si>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</si>
  <si>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</si>
  <si>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</si>
  <si>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</si>
  <si>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</si>
  <si>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</si>
  <si>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</si>
  <si>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</si>
  <si>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</si>
  <si>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</si>
  <si>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</si>
  <si>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</si>
  <si>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</si>
  <si>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</si>
  <si>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</si>
  <si>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</si>
  <si>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</si>
  <si>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</si>
  <si>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</si>
  <si>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</si>
  <si>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</si>
  <si>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</si>
  <si>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</si>
  <si>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</si>
  <si>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</si>
  <si>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</si>
  <si>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</si>
  <si>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</si>
  <si>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</si>
  <si>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</si>
  <si>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</si>
  <si>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</si>
  <si>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</si>
  <si>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</si>
  <si>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</si>
  <si>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</si>
  <si>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</si>
  <si>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</si>
  <si>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</si>
  <si>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</si>
  <si>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</si>
  <si>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</si>
  <si>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</si>
  <si>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</si>
  <si>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</si>
  <si>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</si>
  <si>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</si>
  <si>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</si>
  <si>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</si>
  <si>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</si>
  <si>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</si>
  <si>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</si>
  <si>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</si>
  <si>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</si>
  <si>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</si>
  <si>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</si>
  <si>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</si>
  <si>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</si>
  <si>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</si>
  <si>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</si>
  <si>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</si>
  <si>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</si>
  <si>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</si>
  <si>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</si>
  <si>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</si>
  <si>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</si>
  <si>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</si>
  <si>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</si>
  <si>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</si>
  <si>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</si>
  <si>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</si>
  <si>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</si>
  <si>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</si>
  <si>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</si>
  <si>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</si>
  <si>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</si>
  <si>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</si>
  <si>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</si>
  <si>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</si>
  <si>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</si>
  <si>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</si>
  <si>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</si>
  <si>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</si>
  <si>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</si>
  <si>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</si>
  <si>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</si>
  <si>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</si>
  <si>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</si>
  <si>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</si>
  <si>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</si>
  <si>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</si>
  <si>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</si>
  <si>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</si>
  <si>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</si>
  <si>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</si>
  <si>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</si>
  <si>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</si>
  <si>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</si>
  <si>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</si>
  <si>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</si>
  <si>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</si>
  <si>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</si>
  <si>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</si>
  <si>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</si>
  <si>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</si>
  <si>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</si>
  <si>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</si>
  <si>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</si>
  <si>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</si>
  <si>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</si>
  <si>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</si>
  <si>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</si>
  <si>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</si>
  <si>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</si>
  <si>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</si>
  <si>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</si>
  <si>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</si>
  <si>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</si>
  <si>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</si>
  <si>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</si>
  <si>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</si>
  <si>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</si>
  <si>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</si>
  <si>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</si>
  <si>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</si>
  <si>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</si>
  <si>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</si>
  <si>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</si>
  <si>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</si>
  <si>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</si>
  <si>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</si>
  <si>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</si>
  <si>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</si>
  <si>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</si>
  <si>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</si>
  <si>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</si>
  <si>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</si>
  <si>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</si>
  <si>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</si>
  <si>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</si>
  <si>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</si>
  <si>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</si>
  <si>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</si>
  <si>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</si>
  <si>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</si>
  <si>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</si>
  <si>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</si>
  <si>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</si>
  <si>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</si>
  <si>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</si>
  <si>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</si>
  <si>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</si>
  <si>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</si>
  <si>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</si>
  <si>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</si>
  <si>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</si>
  <si>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</si>
  <si>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</si>
  <si>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</si>
  <si>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</si>
  <si>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</si>
  <si>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</si>
  <si>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</si>
  <si>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</si>
  <si>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</si>
  <si>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</si>
  <si>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</si>
  <si>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</si>
  <si>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</si>
  <si>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</si>
  <si>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</si>
  <si>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</si>
  <si>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</si>
  <si>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</si>
  <si>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</si>
  <si>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</si>
  <si>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</si>
  <si>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</si>
  <si>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</si>
  <si>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</si>
  <si>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</si>
  <si>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</si>
  <si>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</si>
  <si>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</si>
  <si>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</si>
  <si>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</si>
  <si>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</si>
  <si>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</si>
  <si>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</si>
  <si>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</si>
  <si>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</si>
  <si>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</si>
  <si>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</si>
  <si>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</si>
  <si>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</si>
  <si>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</si>
  <si>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</si>
  <si>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</si>
  <si>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</si>
  <si>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</si>
  <si>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</si>
  <si>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</si>
  <si>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</si>
  <si>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</si>
  <si>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</si>
  <si>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</si>
  <si>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</si>
  <si>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</si>
  <si>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</si>
  <si>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</si>
  <si>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</si>
  <si>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</si>
  <si>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</si>
  <si>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</si>
  <si>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</si>
  <si>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</si>
  <si>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</si>
  <si>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</si>
  <si>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</si>
  <si>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</si>
  <si>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</si>
  <si>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</si>
  <si>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</si>
  <si>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</si>
  <si>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</si>
  <si>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</si>
  <si>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</si>
  <si>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</si>
  <si>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</si>
  <si>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</si>
  <si>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</si>
  <si>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</si>
  <si>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</si>
  <si>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</si>
  <si>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</si>
  <si>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</si>
  <si>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</si>
  <si>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</si>
  <si>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</si>
  <si>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</si>
  <si>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</si>
  <si>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</si>
  <si>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</si>
  <si>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</si>
  <si>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</si>
  <si>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</si>
  <si>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</si>
  <si>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</si>
  <si>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</si>
  <si>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</si>
  <si>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</si>
  <si>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</si>
  <si>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</si>
  <si>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</si>
  <si>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</si>
  <si>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</si>
  <si>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</si>
  <si>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</si>
  <si>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</si>
  <si>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</si>
  <si>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</si>
  <si>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</si>
  <si>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</si>
  <si>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</si>
  <si>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</si>
  <si>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</si>
  <si>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</si>
  <si>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</si>
  <si>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</si>
  <si>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</si>
  <si>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</si>
  <si>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</si>
  <si>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</si>
  <si>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</si>
  <si>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</si>
  <si>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</si>
  <si>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</si>
  <si>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</si>
  <si>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</si>
  <si>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</si>
  <si>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</si>
  <si>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</si>
  <si>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</si>
  <si>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</si>
  <si>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</si>
  <si>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</si>
  <si>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</si>
  <si>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</si>
  <si>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</si>
  <si>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</si>
  <si>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</si>
  <si>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</si>
  <si>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</si>
  <si>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</si>
  <si>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</si>
  <si>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</si>
  <si>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</si>
  <si>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</si>
  <si>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</si>
  <si>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</si>
  <si>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</si>
  <si>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</si>
  <si>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</si>
  <si>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</si>
  <si>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</si>
  <si>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</si>
  <si>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</si>
  <si>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</si>
  <si>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</si>
  <si>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</si>
  <si>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</si>
  <si>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</si>
  <si>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</si>
  <si>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</si>
  <si>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</si>
  <si>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</si>
  <si>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</si>
  <si>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</si>
  <si>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</si>
  <si>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</si>
  <si>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</si>
  <si>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</si>
  <si>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</si>
  <si>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</si>
  <si>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</si>
  <si>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</si>
  <si>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</si>
  <si>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</si>
  <si>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</si>
  <si>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</si>
  <si>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</si>
  <si>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</si>
  <si>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</si>
  <si>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</si>
  <si>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</si>
  <si>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</si>
  <si>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</si>
  <si>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</si>
  <si>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</si>
  <si>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</si>
  <si>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Copies Sold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</si>
  <si>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</si>
  <si>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</si>
  <si>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</si>
  <si>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</si>
  <si>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</si>
  <si>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</si>
  <si>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</si>
  <si>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</si>
  <si>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</si>
  <si>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</si>
  <si>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</si>
  <si>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</si>
  <si>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</si>
  <si>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Unit Sales Analysis</t>
  </si>
  <si>
    <t>Unit Sales</t>
  </si>
  <si>
    <t>Target</t>
  </si>
  <si>
    <t>7% increase</t>
  </si>
  <si>
    <t>6% increase</t>
  </si>
  <si>
    <t>Multiplier</t>
  </si>
  <si>
    <t>Price Analysis</t>
  </si>
  <si>
    <t>80% of Average</t>
  </si>
  <si>
    <t>90% of Average</t>
  </si>
  <si>
    <t>110% of Average</t>
  </si>
  <si>
    <t>120% of Average</t>
  </si>
  <si>
    <t>Avg. Copies/Year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</si>
</sst>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9" fontId="0" fillId="0" borderId="0" xfId="0" applyNumberFormat="1"/>
    <xf numFmtId="164" fontId="1" fillId="2" borderId="0" xfId="1" applyNumberFormat="1"/>
    <xf numFmtId="2" fontId="1" fillId="2" borderId="0" xfId="1" applyNumberFormat="1"/>
    <xf numFmtId="164" fontId="3" fillId="0" borderId="0" xfId="1" applyNumberFormat="1" applyFont="1" applyFill="1"/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3">
    <cellStyle name="Accent2" xfId="1" builtinId="3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B1"/>
    </sheetView>
  </sheetViews>
  <sheetFormatPr defaultRowHeight="15" x14ac:dyDescent="0.25"/>
  <cols>
    <col min="2" max="2" width="11.140625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  <col min="9" max="9" width="9.85546875" bestFit="1" customWidth="1"/>
    <col min="10" max="10" width="11.42578125" bestFit="1" customWidth="1"/>
    <col min="12" max="12" width="9.85546875" bestFit="1" customWidth="1"/>
    <col min="13" max="13" width="11.42578125" bestFit="1" customWidth="1"/>
  </cols>
  <sheetData>
    <row r="1" spans="1:13" x14ac:dyDescent="0.25">
      <c r="A1" s="11" t="s">
        <v>372</v>
      </c>
      <c r="B1" s="11"/>
      <c r="E1" s="11" t="s">
        <v>375</v>
      </c>
      <c r="F1" s="11"/>
      <c r="I1" s="11" t="s">
        <v>1790</v>
      </c>
      <c r="J1" s="11"/>
      <c r="K1" s="2"/>
      <c r="L1" s="2"/>
      <c r="M1" s="2"/>
    </row>
    <row r="2" spans="1:13" x14ac:dyDescent="0.25">
      <c r="I2" s="2"/>
      <c r="J2" s="2"/>
      <c r="K2" s="2"/>
      <c r="L2" s="2"/>
      <c r="M2" s="2"/>
    </row>
    <row r="3" spans="1:13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  <c r="I3" s="12" t="s">
        <v>22</v>
      </c>
      <c r="J3" s="12"/>
      <c r="K3" s="2"/>
      <c r="L3" s="12" t="s">
        <v>377</v>
      </c>
      <c r="M3" s="12"/>
    </row>
    <row r="4" spans="1:13" x14ac:dyDescent="0.25">
      <c r="A4" s="2" t="s">
        <v>24</v>
      </c>
      <c r="B4">
        <f>SUMIF(Market,Sales_Dashboard!A4,Total_Units_to_Date)</f>
        <v>613923937</v>
      </c>
      <c r="C4" s="1">
        <f>SUMIF(Market,A4,Total_Earnings_to_Date)</f>
        <v>4191476479.1299987</v>
      </c>
      <c r="E4" s="2" t="s">
        <v>22</v>
      </c>
      <c r="F4" s="2">
        <f t="shared" ref="F4:F9" si="0">SUMIF(Genre,E4,Total_Units_to_Date)</f>
        <v>536788036</v>
      </c>
      <c r="G4" s="1">
        <f t="shared" ref="G4:G9" si="1">SUMIF(Genre,E4,Total_Earnings_to_Date)</f>
        <v>3941779665.6399994</v>
      </c>
      <c r="I4" s="5"/>
      <c r="J4" s="2"/>
      <c r="K4" s="2"/>
      <c r="L4" s="2"/>
      <c r="M4" s="2"/>
    </row>
    <row r="5" spans="1:13" x14ac:dyDescent="0.25">
      <c r="A5" s="2" t="s">
        <v>103</v>
      </c>
      <c r="B5" s="2">
        <f>SUMIF(Market,Sales_Dashboard!A5,Total_Units_to_Date)</f>
        <v>401292441</v>
      </c>
      <c r="C5" s="1">
        <f>SUMIF(Market,A5,Total_Earnings_to_Date)</f>
        <v>2231921794.5899997</v>
      </c>
      <c r="E5" s="2" t="s">
        <v>377</v>
      </c>
      <c r="F5" s="2">
        <f t="shared" si="0"/>
        <v>132727848</v>
      </c>
      <c r="G5" s="1">
        <f t="shared" si="1"/>
        <v>998042586.51999986</v>
      </c>
      <c r="I5" s="3" t="s">
        <v>1791</v>
      </c>
      <c r="J5" s="4">
        <f>F4</f>
        <v>536788036</v>
      </c>
      <c r="K5" s="2"/>
      <c r="L5" s="3" t="s">
        <v>1791</v>
      </c>
      <c r="M5" s="4">
        <f>F5</f>
        <v>132727848</v>
      </c>
    </row>
    <row r="6" spans="1:13" x14ac:dyDescent="0.25">
      <c r="A6" s="2" t="s">
        <v>25</v>
      </c>
      <c r="B6" s="2">
        <f>SUMIF(Market,Sales_Dashboard!A6,Total_Units_to_Date)</f>
        <v>457135548</v>
      </c>
      <c r="C6" s="1">
        <f>SUMIF(Market,A6,Total_Earnings_to_Date)</f>
        <v>3496748765.519999</v>
      </c>
      <c r="E6" s="2" t="s">
        <v>73</v>
      </c>
      <c r="F6" s="2">
        <f t="shared" si="0"/>
        <v>519625571</v>
      </c>
      <c r="G6" s="1">
        <f t="shared" si="1"/>
        <v>4140268260.7900009</v>
      </c>
      <c r="I6" s="3" t="s">
        <v>1792</v>
      </c>
      <c r="J6" s="7" t="s">
        <v>1793</v>
      </c>
      <c r="K6" s="2"/>
      <c r="L6" s="3" t="s">
        <v>1792</v>
      </c>
      <c r="M6" s="2" t="s">
        <v>1794</v>
      </c>
    </row>
    <row r="7" spans="1:13" x14ac:dyDescent="0.25">
      <c r="A7" s="2" t="s">
        <v>26</v>
      </c>
      <c r="B7" s="2">
        <f>SUMIF(Market,Sales_Dashboard!A7,Total_Units_to_Date)</f>
        <v>642888319</v>
      </c>
      <c r="C7" s="1">
        <f>SUMIF(Market,A7,Total_Earnings_to_Date)</f>
        <v>6101211924.8100042</v>
      </c>
      <c r="E7" s="2" t="s">
        <v>124</v>
      </c>
      <c r="F7" s="2">
        <f t="shared" si="0"/>
        <v>372807790</v>
      </c>
      <c r="G7" s="1">
        <f t="shared" si="1"/>
        <v>2618395605.599999</v>
      </c>
      <c r="I7" s="3" t="s">
        <v>1795</v>
      </c>
      <c r="J7" s="2">
        <v>1.07</v>
      </c>
      <c r="K7" s="2"/>
      <c r="L7" s="3" t="s">
        <v>1795</v>
      </c>
      <c r="M7" s="2">
        <v>1.06</v>
      </c>
    </row>
    <row r="8" spans="1:13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13" x14ac:dyDescent="0.25">
      <c r="E9" s="2" t="s">
        <v>186</v>
      </c>
      <c r="F9" s="2">
        <f t="shared" si="0"/>
        <v>302258794</v>
      </c>
      <c r="G9" s="1">
        <f t="shared" si="1"/>
        <v>2531095748.0599999</v>
      </c>
      <c r="J9" s="4"/>
      <c r="M9" s="4"/>
    </row>
    <row r="10" spans="1:13" x14ac:dyDescent="0.25">
      <c r="I10" s="3">
        <v>1.04</v>
      </c>
      <c r="J10" s="4"/>
      <c r="L10" s="3">
        <v>1.03</v>
      </c>
      <c r="M10" s="4"/>
    </row>
    <row r="11" spans="1:13" x14ac:dyDescent="0.25">
      <c r="A11" s="11" t="s">
        <v>1774</v>
      </c>
      <c r="B11" s="11"/>
      <c r="C11" s="2"/>
      <c r="E11" s="11" t="s">
        <v>1773</v>
      </c>
      <c r="F11" s="11"/>
      <c r="G11" s="2"/>
      <c r="I11" s="3">
        <v>1.05</v>
      </c>
      <c r="J11" s="4"/>
      <c r="L11" s="3">
        <v>1.04</v>
      </c>
      <c r="M11" s="4"/>
    </row>
    <row r="12" spans="1:13" x14ac:dyDescent="0.25">
      <c r="A12" s="2"/>
      <c r="B12" s="2"/>
      <c r="C12" s="2"/>
      <c r="E12" s="2"/>
      <c r="F12" s="2"/>
      <c r="G12" s="2"/>
      <c r="I12" s="3">
        <v>1.06</v>
      </c>
      <c r="J12" s="4"/>
      <c r="L12" s="3">
        <v>1.05</v>
      </c>
      <c r="M12" s="4"/>
    </row>
    <row r="13" spans="1:13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  <c r="I13" s="3">
        <v>1.08</v>
      </c>
      <c r="J13" s="4"/>
      <c r="L13" s="3">
        <v>1.07</v>
      </c>
      <c r="M13" s="4"/>
    </row>
    <row r="14" spans="1:13" x14ac:dyDescent="0.25">
      <c r="A14" s="2" t="s">
        <v>5</v>
      </c>
      <c r="B14">
        <f>SUM(FY_2000)</f>
        <v>21883826</v>
      </c>
      <c r="C14" s="1">
        <f t="array" ref="C14">SUM(FY_2000*Sell_Price)</f>
        <v>159093554.74000001</v>
      </c>
      <c r="E14" t="s">
        <v>219</v>
      </c>
      <c r="F14">
        <f>SUMIF(Format,E14,Total_Units_to_Date)</f>
        <v>1069461361</v>
      </c>
      <c r="G14" s="1">
        <f>SUMIF(Format,E14,Total_Earnings_to_Date)</f>
        <v>2476286309.8899994</v>
      </c>
      <c r="I14" s="3">
        <v>1.0900000000000001</v>
      </c>
      <c r="J14" s="4"/>
      <c r="L14" s="3">
        <v>1.08</v>
      </c>
      <c r="M14" s="4"/>
    </row>
    <row r="15" spans="1:13" x14ac:dyDescent="0.25">
      <c r="A15" s="2" t="s">
        <v>6</v>
      </c>
      <c r="B15" s="2">
        <f>SUM(FY_2001)</f>
        <v>56929669</v>
      </c>
      <c r="C15" s="1">
        <f t="array" ref="C15">SUM(FY_2001*Sell_Price)</f>
        <v>403943622.80999994</v>
      </c>
      <c r="E15" t="s">
        <v>23</v>
      </c>
      <c r="F15" s="2">
        <f>SUMIF(Format,E15,Total_Units_to_Date)</f>
        <v>1045778884</v>
      </c>
      <c r="G15" s="1">
        <f>SUMIF(Format,E15,Total_Earnings_to_Date)</f>
        <v>13545072654.160007</v>
      </c>
      <c r="I15" s="3">
        <v>1.1000000000000001</v>
      </c>
      <c r="J15" s="4"/>
      <c r="L15" s="3">
        <v>1.0900000000000001</v>
      </c>
      <c r="M15" s="4"/>
    </row>
    <row r="16" spans="1:13" x14ac:dyDescent="0.25">
      <c r="A16" s="2" t="s">
        <v>7</v>
      </c>
      <c r="B16" s="2">
        <f>SUM(FY_2002)</f>
        <v>56424579</v>
      </c>
      <c r="C16" s="1">
        <f t="array" ref="C16">SUM(FY_2002*Sell_Price)</f>
        <v>419862964.70999968</v>
      </c>
    </row>
    <row r="17" spans="1:6" x14ac:dyDescent="0.25">
      <c r="A17" s="2" t="s">
        <v>8</v>
      </c>
      <c r="B17" s="2">
        <f>SUM(FY_2003)</f>
        <v>83067183</v>
      </c>
      <c r="C17" s="1">
        <f t="array" ref="C17">SUM(FY_2003*Sell_Price)</f>
        <v>584345615.66999984</v>
      </c>
      <c r="E17" s="11" t="s">
        <v>1779</v>
      </c>
      <c r="F17" s="11"/>
    </row>
    <row r="18" spans="1:6" x14ac:dyDescent="0.25">
      <c r="A18" s="2" t="s">
        <v>9</v>
      </c>
      <c r="B18" s="2">
        <f>SUM(FY_2004)</f>
        <v>92360234</v>
      </c>
      <c r="C18" s="1">
        <f t="array" ref="C18">SUM(FY_2004*Sell_Price)</f>
        <v>693376150.15999985</v>
      </c>
      <c r="E18" t="s">
        <v>1780</v>
      </c>
      <c r="F18" s="1">
        <f>$C$27/COUNTIF(E4:E9,"&lt;&gt;")</f>
        <v>2670226494.0083303</v>
      </c>
    </row>
    <row r="19" spans="1:6" x14ac:dyDescent="0.25">
      <c r="A19" s="2" t="s">
        <v>10</v>
      </c>
      <c r="B19" s="2">
        <f>SUM(FY_2005)</f>
        <v>97661139</v>
      </c>
      <c r="C19" s="1">
        <f t="array" ref="C19">SUM(FY_2005*Sell_Price)</f>
        <v>744491057.61000049</v>
      </c>
      <c r="E19" t="s">
        <v>1781</v>
      </c>
      <c r="F19" s="1">
        <f>$C$27/COUNTIF(A14:A26,"&lt;&gt;")</f>
        <v>1232412228.0038447</v>
      </c>
    </row>
    <row r="20" spans="1:6" x14ac:dyDescent="0.25">
      <c r="A20" s="2" t="s">
        <v>11</v>
      </c>
      <c r="B20" s="2">
        <f>SUM(FY_2006)</f>
        <v>113670824</v>
      </c>
      <c r="C20" s="1">
        <f t="array" ref="C20">SUM(FY_2006*Sell_Price)</f>
        <v>865619973.25999963</v>
      </c>
      <c r="E20" t="s">
        <v>1782</v>
      </c>
      <c r="F20" s="1">
        <f>$C$27/COUNTIF(E14:E15,"&lt;&gt;")</f>
        <v>8010679482.024991</v>
      </c>
    </row>
    <row r="21" spans="1:6" x14ac:dyDescent="0.25">
      <c r="A21" s="2" t="s">
        <v>12</v>
      </c>
      <c r="B21" s="2">
        <f>SUM(FY_2007)</f>
        <v>150840271</v>
      </c>
      <c r="C21" s="1">
        <f t="array" ref="C21">SUM(FY_2007*Sell_Price)</f>
        <v>1249985932.79</v>
      </c>
      <c r="E21" t="s">
        <v>1783</v>
      </c>
      <c r="F21" s="1">
        <f>$C$27/COUNTIF(A4:A7,"&lt;&gt;")</f>
        <v>4005339741.0124955</v>
      </c>
    </row>
    <row r="22" spans="1:6" x14ac:dyDescent="0.25">
      <c r="A22" s="2" t="s">
        <v>13</v>
      </c>
      <c r="B22" s="2">
        <f>SUM(FY_2008)</f>
        <v>161715826</v>
      </c>
      <c r="C22" s="1">
        <f t="array" ref="C22">SUM(FY_2008*Sell_Price)</f>
        <v>1239102391.2399998</v>
      </c>
    </row>
    <row r="23" spans="1:6" x14ac:dyDescent="0.25">
      <c r="A23" s="2" t="s">
        <v>14</v>
      </c>
      <c r="B23" s="2">
        <f>SUM(FY_2009)</f>
        <v>221867022</v>
      </c>
      <c r="C23" s="1">
        <f t="array" ref="C23">SUM(FY_2009*Sell_Price)</f>
        <v>1690064212.2799962</v>
      </c>
      <c r="E23" s="11" t="s">
        <v>1788</v>
      </c>
      <c r="F23" s="11"/>
    </row>
    <row r="24" spans="1:6" x14ac:dyDescent="0.25">
      <c r="A24" s="2" t="s">
        <v>15</v>
      </c>
      <c r="B24" s="2">
        <f>SUM(FY_2010)</f>
        <v>273151241</v>
      </c>
      <c r="C24" s="1">
        <f t="array" ref="C24">SUM(FY_2010*Sell_Price)</f>
        <v>2080385543.5899973</v>
      </c>
      <c r="E24" t="s">
        <v>1785</v>
      </c>
      <c r="F24">
        <v>1005</v>
      </c>
    </row>
    <row r="25" spans="1:6" x14ac:dyDescent="0.25">
      <c r="A25" s="2" t="s">
        <v>16</v>
      </c>
      <c r="B25" s="2">
        <f>SUM(FY_2011)</f>
        <v>329357879</v>
      </c>
      <c r="C25" s="1">
        <f t="array" ref="C25">SUM(FY_2011*Sell_Price)</f>
        <v>2513065488.7099972</v>
      </c>
      <c r="E25" t="s">
        <v>1789</v>
      </c>
      <c r="F25" t="str">
        <f>IF(AVERAGEIF(Author,F24,Total_Earnings_to_Date)&gt;4000000,"Yes","Negotiate")</f>
        <v>Yes</v>
      </c>
    </row>
    <row r="26" spans="1:6" x14ac:dyDescent="0.25">
      <c r="A26" s="2" t="s">
        <v>17</v>
      </c>
      <c r="B26" s="2">
        <f>SUM(FY_2012)</f>
        <v>456310552</v>
      </c>
      <c r="C26" s="1">
        <f t="array" ref="C26">SUM(FY_2012*Sell_Price)</f>
        <v>3378022456.4799919</v>
      </c>
    </row>
    <row r="27" spans="1:6" ht="15.75" thickBot="1" x14ac:dyDescent="0.3">
      <c r="C27" s="6">
        <f>SUM(C14:C26)</f>
        <v>16021358964.049982</v>
      </c>
    </row>
    <row r="28" spans="1:6" ht="15.75" thickTop="1" x14ac:dyDescent="0.25"/>
  </sheetData>
  <sortState ref="E4:E9">
    <sortCondition ref="E4"/>
  </sortState>
  <mergeCells count="9">
    <mergeCell ref="I1:J1"/>
    <mergeCell ref="I3:J3"/>
    <mergeCell ref="L3:M3"/>
    <mergeCell ref="A1:B1"/>
    <mergeCell ref="A11:B11"/>
    <mergeCell ref="E11:F11"/>
    <mergeCell ref="E17:F17"/>
    <mergeCell ref="E23:F23"/>
    <mergeCell ref="E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cols>
    <col min="1" max="1" width="16.140625" bestFit="1" customWidth="1"/>
    <col min="2" max="2" width="16.28515625" bestFit="1" customWidth="1"/>
    <col min="3" max="3" width="16.28515625" style="2" customWidth="1"/>
    <col min="4" max="4" width="9.28515625" bestFit="1" customWidth="1"/>
    <col min="5" max="5" width="14.85546875" bestFit="1" customWidth="1"/>
  </cols>
  <sheetData>
    <row r="1" spans="1:5" x14ac:dyDescent="0.25">
      <c r="A1" s="3" t="s">
        <v>1</v>
      </c>
      <c r="B1" s="3" t="s">
        <v>1776</v>
      </c>
      <c r="C1" s="3" t="s">
        <v>1778</v>
      </c>
      <c r="D1" s="3" t="s">
        <v>19</v>
      </c>
      <c r="E1" s="3" t="s">
        <v>1777</v>
      </c>
    </row>
    <row r="2" spans="1:5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</row>
    <row r="3" spans="1:5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12.99</v>
      </c>
      <c r="E3" s="1">
        <f t="shared" ref="E3:E12" si="0">B3*D3</f>
        <v>204120859.08000001</v>
      </c>
    </row>
    <row r="4" spans="1:5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</row>
    <row r="5" spans="1:5" x14ac:dyDescent="0.25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</row>
    <row r="6" spans="1:5" x14ac:dyDescent="0.25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</row>
    <row r="7" spans="1:5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</row>
    <row r="8" spans="1:5" x14ac:dyDescent="0.25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</row>
    <row r="9" spans="1:5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</row>
    <row r="10" spans="1:5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</row>
    <row r="11" spans="1:5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</row>
    <row r="12" spans="1:5" x14ac:dyDescent="0.25">
      <c r="A12" t="s">
        <v>1738</v>
      </c>
      <c r="B12" s="4">
        <f>SUM(Raw_Book_Sales!F1703:R1703)</f>
        <v>15237992</v>
      </c>
      <c r="C12" s="4">
        <f>B12/COUNTIF(Raw_Book_Sales!F1703:R1703,"&gt;0")</f>
        <v>1172153.2307692308</v>
      </c>
      <c r="D12" s="1">
        <f>VLOOKUP(A12,Raw_Book_Sales!$B$2:$U$1737,19)</f>
        <v>15.99</v>
      </c>
      <c r="E12" s="1">
        <f t="shared" si="0"/>
        <v>243655492.08000001</v>
      </c>
    </row>
    <row r="14" spans="1:5" x14ac:dyDescent="0.25">
      <c r="A14" s="11" t="s">
        <v>1796</v>
      </c>
      <c r="B14" s="11"/>
      <c r="C14" s="11"/>
      <c r="D14" s="11"/>
      <c r="E14" s="11"/>
    </row>
    <row r="15" spans="1:5" x14ac:dyDescent="0.25">
      <c r="A15" s="2"/>
      <c r="B15" s="2"/>
      <c r="D15" s="2"/>
      <c r="E15" s="2"/>
    </row>
    <row r="16" spans="1:5" x14ac:dyDescent="0.25">
      <c r="A16" s="3" t="s">
        <v>1</v>
      </c>
      <c r="B16" s="2" t="s">
        <v>599</v>
      </c>
      <c r="D16" s="2"/>
      <c r="E16" s="2"/>
    </row>
    <row r="17" spans="1:8" x14ac:dyDescent="0.25">
      <c r="A17" s="3" t="s">
        <v>19</v>
      </c>
      <c r="B17" s="1">
        <f>VLOOKUP(B16,Top_Titles,4)</f>
        <v>11.99</v>
      </c>
      <c r="D17" s="2"/>
      <c r="E17" s="2"/>
    </row>
    <row r="18" spans="1:8" x14ac:dyDescent="0.25">
      <c r="A18" s="3" t="s">
        <v>1801</v>
      </c>
      <c r="B18" s="4">
        <f>VLOOKUP(B16,Top_Titles,3)</f>
        <v>1184335.0833333333</v>
      </c>
      <c r="D18" s="2"/>
      <c r="E18" s="2"/>
    </row>
    <row r="20" spans="1:8" x14ac:dyDescent="0.25">
      <c r="B20" s="10"/>
      <c r="C20" s="8">
        <v>8.99</v>
      </c>
      <c r="D20" s="8">
        <v>9.99</v>
      </c>
      <c r="E20" s="8">
        <v>10.99</v>
      </c>
      <c r="F20" s="8">
        <v>12.99</v>
      </c>
      <c r="G20" s="8">
        <v>13.99</v>
      </c>
      <c r="H20" s="8">
        <v>14.99</v>
      </c>
    </row>
    <row r="21" spans="1:8" x14ac:dyDescent="0.25">
      <c r="A21" s="3" t="s">
        <v>1797</v>
      </c>
      <c r="B21" s="9"/>
      <c r="C21" s="1"/>
      <c r="D21" s="1"/>
      <c r="E21" s="1"/>
      <c r="F21" s="1"/>
      <c r="G21" s="1"/>
      <c r="H21" s="1"/>
    </row>
    <row r="22" spans="1:8" x14ac:dyDescent="0.25">
      <c r="A22" s="3" t="s">
        <v>1798</v>
      </c>
      <c r="B22" s="9"/>
      <c r="C22" s="1"/>
      <c r="D22" s="1"/>
      <c r="E22" s="1"/>
      <c r="F22" s="1"/>
      <c r="G22" s="1"/>
      <c r="H22" s="1"/>
    </row>
    <row r="23" spans="1:8" x14ac:dyDescent="0.25">
      <c r="A23" s="3" t="s">
        <v>1799</v>
      </c>
      <c r="B23" s="9"/>
      <c r="C23" s="1"/>
      <c r="D23" s="1"/>
      <c r="E23" s="1"/>
      <c r="F23" s="1"/>
      <c r="G23" s="1"/>
      <c r="H23" s="1"/>
    </row>
    <row r="24" spans="1:8" x14ac:dyDescent="0.25">
      <c r="A24" s="3" t="s">
        <v>1800</v>
      </c>
      <c r="B24" s="9"/>
      <c r="C24" s="1"/>
      <c r="D24" s="1"/>
      <c r="E24" s="1"/>
      <c r="F24" s="1"/>
      <c r="G24" s="1"/>
      <c r="H24" s="1"/>
    </row>
  </sheetData>
  <mergeCells count="1">
    <mergeCell ref="A14:E14"/>
  </mergeCells>
  <dataValidations count="1">
    <dataValidation type="list" allowBlank="1" showInputMessage="1" showErrorMessage="1" sqref="B16">
      <formula1>$A$2:$A$12</formula1>
    </dataValidation>
  </dataValidations>
  <pageMargins left="0.7" right="0.7" top="0.75" bottom="0.75" header="0.3" footer="0.3"/>
  <pageSetup orientation="portrait" r:id="rId1"/>
  <cellWatches>
    <cellWatch r="D3"/>
  </cellWatch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ErrorMessage="1">
          <x14:formula1>
            <xm:f>Supplemental_Info!$C$2:$C$10</xm:f>
          </x14:formula1>
          <xm:sqref>D2:D12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7"/>
  <sheetViews>
    <sheetView workbookViewId="0"/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4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1784</v>
      </c>
      <c r="X2" s="3"/>
    </row>
    <row r="3" spans="1:24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1785</v>
      </c>
      <c r="X3">
        <v>1027</v>
      </c>
    </row>
    <row r="4" spans="1:24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16461684.58</v>
      </c>
    </row>
    <row r="5" spans="1:24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4" x14ac:dyDescent="0.25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100934</v>
      </c>
      <c r="Q6">
        <v>75992</v>
      </c>
      <c r="R6">
        <v>28345</v>
      </c>
      <c r="S6">
        <f t="shared" si="0"/>
        <v>642982</v>
      </c>
      <c r="T6" s="1">
        <v>12.99</v>
      </c>
      <c r="U6" s="1">
        <f t="shared" si="1"/>
        <v>8352336.1799999997</v>
      </c>
    </row>
    <row r="7" spans="1:24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</row>
    <row r="8" spans="1:24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</row>
    <row r="9" spans="1:24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</row>
    <row r="10" spans="1:24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</row>
    <row r="11" spans="1:24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</row>
    <row r="12" spans="1:24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</row>
    <row r="13" spans="1:24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</row>
    <row r="14" spans="1:24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</row>
    <row r="15" spans="1:24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</row>
    <row r="16" spans="1:24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</row>
    <row r="17" spans="1:21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</row>
    <row r="18" spans="1:21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</row>
    <row r="19" spans="1:21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</row>
    <row r="20" spans="1:21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</row>
    <row r="21" spans="1:21" x14ac:dyDescent="0.25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</row>
    <row r="22" spans="1:21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1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1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1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1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1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1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1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1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1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1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445259</v>
      </c>
      <c r="S32">
        <f t="shared" si="0"/>
        <v>445259</v>
      </c>
      <c r="T32" s="1">
        <v>15.99</v>
      </c>
      <c r="U32" s="1">
        <f t="shared" si="1"/>
        <v>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103954</v>
      </c>
      <c r="Q115">
        <v>278512</v>
      </c>
      <c r="R115">
        <v>533990</v>
      </c>
      <c r="S115">
        <f t="shared" si="2"/>
        <v>1043101</v>
      </c>
      <c r="T115" s="1">
        <v>0.99</v>
      </c>
      <c r="U115" s="1">
        <f t="shared" si="3"/>
        <v>1032669.99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12.99</v>
      </c>
      <c r="U960" s="1">
        <f t="shared" si="29"/>
        <v>204120859.08000001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cellWatches>
    <cellWatch r="X4"/>
  </cellWatch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1786</v>
      </c>
      <c r="C1" s="3" t="s">
        <v>1787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Sales_Dashboard</vt:lpstr>
      <vt:lpstr>Titles_to_Watch</vt:lpstr>
      <vt:lpstr>Raw_Book_Sales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Top_Titles</vt:lpstr>
      <vt:lpstr>Total_Earnings_to_Date</vt:lpstr>
      <vt:lpstr>Total_Units_to_Date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2014-10-31T20:45:41Z</dcterms:modified>
</cp:coreProperties>
</file>