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855" activeTab="2"/>
  </bookViews>
  <sheets>
    <sheet name="Summary Data" sheetId="1" r:id="rId1"/>
    <sheet name="Sales" sheetId="8" r:id="rId2"/>
    <sheet name="Sales Dashboard" sheetId="3" r:id="rId3"/>
    <sheet name="Sheet1" sheetId="9" r:id="rId4"/>
  </sheets>
  <definedNames>
    <definedName name="_5__Years_and_350K__Units_Sold_or__1M__Earned?">'Summary Data'!$I$2:$I$30</definedName>
    <definedName name="_5__Years_or_High_Producer?">'Summary Data'!$H$2:$H$30</definedName>
    <definedName name="_xlnm._FilterDatabase" localSheetId="0" hidden="1">'Summary Data'!$A$1:$J$30</definedName>
    <definedName name="Author">Sales!$A$2:$A$435</definedName>
    <definedName name="AuthorID">'Summary Data'!$A$1:$A$30</definedName>
    <definedName name="Early_Producer?">'Summary Data'!$G$2:$G$30</definedName>
    <definedName name="Format">Sales!$D$2:$D$435</definedName>
    <definedName name="FY_2000">Sales!$F$2:$F$435</definedName>
    <definedName name="FY_2001">Sales!$G$2:$G$435</definedName>
    <definedName name="FY_2002">Sales!$H$2:$H$435</definedName>
    <definedName name="FY_2003">Sales!$I$2:$I$435</definedName>
    <definedName name="FY_2004">Sales!$J$2:$J$435</definedName>
    <definedName name="FY_2005">Sales!$K$2:$K$435</definedName>
    <definedName name="FY_2006">Sales!$L$2:$L$435</definedName>
    <definedName name="FY_2007">Sales!$M$2:$M$435</definedName>
    <definedName name="FY_2008">Sales!$N$2:$N$435</definedName>
    <definedName name="FY_2009">Sales!$O$2:$O$435</definedName>
    <definedName name="FY_2010">Sales!$P$2:$P$435</definedName>
    <definedName name="FY_2011">Sales!$Q$2:$Q$435</definedName>
    <definedName name="FY_2012">Sales!$R$2:$R$435</definedName>
    <definedName name="Genre">Sales!$C$2:$C$435</definedName>
    <definedName name="Income_Earned">'Summary Data'!$F$2:$F$30</definedName>
    <definedName name="Initial_Contract_Date">'Summary Data'!$B$1:$B$30</definedName>
    <definedName name="Market">Sales!$E$2:$E$435</definedName>
    <definedName name="Number_of_Books_in_Print">'Summary Data'!$D$2:$D$30</definedName>
    <definedName name="Number_of_Books_Sold">'Summary Data'!$E$2:$E$30</definedName>
    <definedName name="Royalty_Rate">'Summary Data'!$J$2:$J$30</definedName>
    <definedName name="Sell_Price">Sales!$T$2:$T$435</definedName>
    <definedName name="Title">Sales!$B$2:$B$435</definedName>
    <definedName name="Total_Earnings_to_Date">Sales!$U$2:$U$435</definedName>
    <definedName name="Total_Units_to_Date">Sales!$S$2:$S$435</definedName>
    <definedName name="Years_Under_Contract">'Summary Data'!$C$1:$C$30</definedName>
  </definedNames>
  <calcPr calcId="145621"/>
</workbook>
</file>

<file path=xl/calcChain.xml><?xml version="1.0" encoding="utf-8"?>
<calcChain xmlns="http://schemas.openxmlformats.org/spreadsheetml/2006/main">
  <c r="X3" i="8" l="1"/>
  <c r="AN3" i="3"/>
  <c r="AL14" i="3"/>
  <c r="AK14" i="3"/>
  <c r="AL13" i="3"/>
  <c r="AL12" i="3"/>
  <c r="AK12" i="3"/>
  <c r="AL11" i="3"/>
  <c r="AK11" i="3"/>
  <c r="AL10" i="3"/>
  <c r="AK10" i="3"/>
  <c r="AL9" i="3"/>
  <c r="AK9" i="3"/>
  <c r="AL8" i="3"/>
  <c r="AK8" i="3"/>
  <c r="AL7" i="3"/>
  <c r="AK7" i="3"/>
  <c r="AL6" i="3"/>
  <c r="AK6" i="3"/>
  <c r="AL5" i="3"/>
  <c r="AK5" i="3"/>
  <c r="AL4" i="3"/>
  <c r="AK4" i="3"/>
  <c r="AL3" i="3"/>
  <c r="AK3" i="3"/>
  <c r="AM14" i="3"/>
  <c r="AM12" i="3"/>
  <c r="AM11" i="3"/>
  <c r="AM10" i="3"/>
  <c r="AM9" i="3"/>
  <c r="AM8" i="3"/>
  <c r="AM7" i="3"/>
  <c r="AM6" i="3"/>
  <c r="AM5" i="3"/>
  <c r="AM4" i="3"/>
  <c r="AM3" i="3"/>
  <c r="AN5" i="3" l="1"/>
  <c r="AN6" i="3"/>
  <c r="AN12" i="3"/>
  <c r="AN11" i="3"/>
  <c r="AN10" i="3"/>
  <c r="AN9" i="3"/>
  <c r="AN8" i="3"/>
  <c r="AN7" i="3"/>
  <c r="AN4" i="3"/>
  <c r="F436" i="8"/>
  <c r="I436" i="8"/>
  <c r="J436" i="8"/>
  <c r="K436" i="8"/>
  <c r="L436" i="8"/>
  <c r="M436" i="8"/>
  <c r="N436" i="8"/>
  <c r="O436" i="8"/>
  <c r="G436" i="8"/>
  <c r="H436" i="8"/>
  <c r="S286" i="8" l="1"/>
  <c r="U286" i="8" s="1"/>
  <c r="D18" i="1"/>
  <c r="D10" i="1"/>
  <c r="D17" i="1"/>
  <c r="D19" i="1"/>
  <c r="D26" i="1"/>
  <c r="D28" i="1"/>
  <c r="D6" i="1"/>
  <c r="D8" i="1"/>
  <c r="D21" i="1"/>
  <c r="D12" i="1"/>
  <c r="D7" i="1"/>
  <c r="D30" i="1"/>
  <c r="D16" i="1"/>
  <c r="D23" i="1"/>
  <c r="D25" i="1"/>
  <c r="D3" i="1"/>
  <c r="D5" i="1"/>
  <c r="D15" i="1"/>
  <c r="D14" i="1"/>
  <c r="D4" i="1"/>
  <c r="D24" i="1"/>
  <c r="D13" i="1"/>
  <c r="D20" i="1"/>
  <c r="D22" i="1"/>
  <c r="D29" i="1"/>
  <c r="D2" i="1"/>
  <c r="D9" i="1"/>
  <c r="D11" i="1"/>
  <c r="D27" i="1"/>
  <c r="AN14" i="3" l="1"/>
  <c r="Q436" i="8"/>
  <c r="S406" i="8"/>
  <c r="U406" i="8" s="1"/>
  <c r="S362" i="8"/>
  <c r="U362" i="8" l="1"/>
  <c r="G2" i="1" l="1"/>
  <c r="H2" i="1"/>
  <c r="G6" i="1"/>
  <c r="H6" i="1"/>
  <c r="G24" i="1"/>
  <c r="H24" i="1"/>
  <c r="G30" i="1"/>
  <c r="H30" i="1"/>
  <c r="G5" i="1"/>
  <c r="H5" i="1"/>
  <c r="G7" i="1"/>
  <c r="H7" i="1"/>
  <c r="G8" i="1"/>
  <c r="H8" i="1"/>
  <c r="G10" i="1"/>
  <c r="H10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5" i="1"/>
  <c r="H25" i="1"/>
  <c r="G26" i="1"/>
  <c r="H26" i="1"/>
  <c r="G28" i="1"/>
  <c r="H28" i="1"/>
  <c r="G29" i="1"/>
  <c r="H29" i="1"/>
  <c r="G9" i="1" l="1"/>
  <c r="H9" i="1"/>
  <c r="G4" i="1" l="1"/>
  <c r="H4" i="1"/>
  <c r="G11" i="1"/>
  <c r="H11" i="1"/>
  <c r="G3" i="1"/>
  <c r="H3" i="1"/>
  <c r="G27" i="1"/>
  <c r="H27" i="1"/>
  <c r="G23" i="1"/>
  <c r="H23" i="1"/>
  <c r="S181" i="8"/>
  <c r="U181" i="8" s="1"/>
  <c r="S193" i="8"/>
  <c r="U193" i="8" s="1"/>
  <c r="S399" i="8"/>
  <c r="U399" i="8" s="1"/>
  <c r="S352" i="8"/>
  <c r="U352" i="8" s="1"/>
  <c r="S172" i="8"/>
  <c r="U172" i="8" s="1"/>
  <c r="S396" i="8"/>
  <c r="U396" i="8" s="1"/>
  <c r="S167" i="8"/>
  <c r="U167" i="8" s="1"/>
  <c r="S50" i="8"/>
  <c r="U50" i="8" s="1"/>
  <c r="S433" i="8"/>
  <c r="U433" i="8" s="1"/>
  <c r="S190" i="8"/>
  <c r="U190" i="8" s="1"/>
  <c r="S226" i="8"/>
  <c r="U226" i="8" s="1"/>
  <c r="S92" i="8"/>
  <c r="U92" i="8" s="1"/>
  <c r="S346" i="8"/>
  <c r="U346" i="8" s="1"/>
  <c r="S103" i="8"/>
  <c r="U103" i="8" s="1"/>
  <c r="S96" i="8"/>
  <c r="U96" i="8" s="1"/>
  <c r="S228" i="8"/>
  <c r="U228" i="8" s="1"/>
  <c r="S231" i="8"/>
  <c r="U231" i="8" s="1"/>
  <c r="S188" i="8"/>
  <c r="U188" i="8" s="1"/>
  <c r="S229" i="8"/>
  <c r="U229" i="8" s="1"/>
  <c r="S95" i="8"/>
  <c r="U95" i="8" s="1"/>
  <c r="S284" i="8"/>
  <c r="U284" i="8" s="1"/>
  <c r="S186" i="8"/>
  <c r="U186" i="8" s="1"/>
  <c r="S183" i="8"/>
  <c r="U183" i="8" s="1"/>
  <c r="S298" i="8"/>
  <c r="U298" i="8" s="1"/>
  <c r="S402" i="8"/>
  <c r="U402" i="8" s="1"/>
  <c r="S400" i="8"/>
  <c r="U400" i="8" s="1"/>
  <c r="S192" i="8"/>
  <c r="U192" i="8" s="1"/>
  <c r="S398" i="8"/>
  <c r="U398" i="8" s="1"/>
  <c r="S397" i="8"/>
  <c r="U397" i="8" s="1"/>
  <c r="S395" i="8"/>
  <c r="U395" i="8" s="1"/>
  <c r="S165" i="8"/>
  <c r="U165" i="8" s="1"/>
  <c r="S49" i="8"/>
  <c r="U49" i="8" s="1"/>
  <c r="S164" i="8"/>
  <c r="U164" i="8" s="1"/>
  <c r="S349" i="8"/>
  <c r="U349" i="8" s="1"/>
  <c r="S283" i="8"/>
  <c r="U283" i="8" s="1"/>
  <c r="S133" i="8"/>
  <c r="U133" i="8" s="1"/>
  <c r="S232" i="8"/>
  <c r="U232" i="8" s="1"/>
  <c r="S351" i="8"/>
  <c r="U351" i="8" s="1"/>
  <c r="S51" i="8"/>
  <c r="U51" i="8" s="1"/>
  <c r="S184" i="8"/>
  <c r="U184" i="8" s="1"/>
  <c r="S345" i="8"/>
  <c r="U345" i="8" s="1"/>
  <c r="S223" i="8"/>
  <c r="U223" i="8" s="1"/>
  <c r="S87" i="8"/>
  <c r="U87" i="8" s="1"/>
  <c r="S277" i="8"/>
  <c r="U277" i="8" s="1"/>
  <c r="S221" i="8"/>
  <c r="U221" i="8" s="1"/>
  <c r="S42" i="8"/>
  <c r="U42" i="8" s="1"/>
  <c r="S391" i="8"/>
  <c r="U391" i="8" s="1"/>
  <c r="S85" i="8"/>
  <c r="U85" i="8" s="1"/>
  <c r="S273" i="8"/>
  <c r="U273" i="8" s="1"/>
  <c r="S338" i="8"/>
  <c r="U338" i="8" s="1"/>
  <c r="S336" i="8"/>
  <c r="U336" i="8" s="1"/>
  <c r="S153" i="8"/>
  <c r="U153" i="8" s="1"/>
  <c r="S389" i="8"/>
  <c r="U389" i="8" s="1"/>
  <c r="S343" i="8"/>
  <c r="U343" i="8" s="1"/>
  <c r="S428" i="8"/>
  <c r="U428" i="8" s="1"/>
  <c r="S39" i="8"/>
  <c r="U39" i="8" s="1"/>
  <c r="S97" i="8"/>
  <c r="U97" i="8" s="1"/>
  <c r="S429" i="8"/>
  <c r="U429" i="8" s="1"/>
  <c r="S393" i="8"/>
  <c r="U393" i="8" s="1"/>
  <c r="S282" i="8"/>
  <c r="U282" i="8" s="1"/>
  <c r="S280" i="8"/>
  <c r="U280" i="8" s="1"/>
  <c r="S40" i="8"/>
  <c r="U40" i="8" s="1"/>
  <c r="S36" i="8"/>
  <c r="U36" i="8" s="1"/>
  <c r="S196" i="8"/>
  <c r="U196" i="8" s="1"/>
  <c r="S52" i="8"/>
  <c r="U52" i="8" s="1"/>
  <c r="S46" i="8"/>
  <c r="U46" i="8" s="1"/>
  <c r="S295" i="8"/>
  <c r="U295" i="8" s="1"/>
  <c r="S123" i="8"/>
  <c r="U123" i="8" s="1"/>
  <c r="S43" i="8"/>
  <c r="U43" i="8" s="1"/>
  <c r="S427" i="8"/>
  <c r="U427" i="8" s="1"/>
  <c r="S157" i="8"/>
  <c r="U157" i="8" s="1"/>
  <c r="S424" i="8"/>
  <c r="U424" i="8" s="1"/>
  <c r="S84" i="8"/>
  <c r="U84" i="8" s="1"/>
  <c r="S37" i="8"/>
  <c r="U37" i="8" s="1"/>
  <c r="S82" i="8"/>
  <c r="U82" i="8" s="1"/>
  <c r="S81" i="8"/>
  <c r="U81" i="8" s="1"/>
  <c r="S151" i="8"/>
  <c r="U151" i="8" s="1"/>
  <c r="S189" i="8"/>
  <c r="U189" i="8" s="1"/>
  <c r="S281" i="8"/>
  <c r="U281" i="8" s="1"/>
  <c r="S219" i="8"/>
  <c r="U219" i="8" s="1"/>
  <c r="S213" i="8"/>
  <c r="U213" i="8" s="1"/>
  <c r="S435" i="8"/>
  <c r="U435" i="8" s="1"/>
  <c r="S163" i="8"/>
  <c r="U163" i="8" s="1"/>
  <c r="S348" i="8"/>
  <c r="U348" i="8" s="1"/>
  <c r="S91" i="8"/>
  <c r="U91" i="8" s="1"/>
  <c r="S344" i="8"/>
  <c r="U344" i="8" s="1"/>
  <c r="S225" i="8"/>
  <c r="U225" i="8" s="1"/>
  <c r="S333" i="8"/>
  <c r="U333" i="8" s="1"/>
  <c r="S128" i="8"/>
  <c r="U128" i="8" s="1"/>
  <c r="S220" i="8"/>
  <c r="U220" i="8" s="1"/>
  <c r="S41" i="8"/>
  <c r="U41" i="8" s="1"/>
  <c r="S185" i="8"/>
  <c r="U185" i="8" s="1"/>
  <c r="S274" i="8"/>
  <c r="U274" i="8" s="1"/>
  <c r="S337" i="8"/>
  <c r="U337" i="8" s="1"/>
  <c r="S294" i="8"/>
  <c r="U294" i="8" s="1"/>
  <c r="S332" i="8"/>
  <c r="U332" i="8" s="1"/>
  <c r="S329" i="8"/>
  <c r="U329" i="8" s="1"/>
  <c r="S74" i="8"/>
  <c r="U74" i="8" s="1"/>
  <c r="S72" i="8"/>
  <c r="U72" i="8" s="1"/>
  <c r="S264" i="8"/>
  <c r="U264" i="8" s="1"/>
  <c r="S136" i="8"/>
  <c r="U136" i="8" s="1"/>
  <c r="S263" i="8"/>
  <c r="U263" i="8" s="1"/>
  <c r="S260" i="8"/>
  <c r="U260" i="8" s="1"/>
  <c r="S318" i="8"/>
  <c r="U318" i="8" s="1"/>
  <c r="S94" i="8"/>
  <c r="U94" i="8" s="1"/>
  <c r="S182" i="8"/>
  <c r="U182" i="8" s="1"/>
  <c r="S178" i="8"/>
  <c r="U178" i="8" s="1"/>
  <c r="S173" i="8"/>
  <c r="U173" i="8" s="1"/>
  <c r="S168" i="8"/>
  <c r="U168" i="8" s="1"/>
  <c r="S271" i="8"/>
  <c r="U271" i="8" s="1"/>
  <c r="S269" i="8"/>
  <c r="U269" i="8" s="1"/>
  <c r="S146" i="8"/>
  <c r="U146" i="8" s="1"/>
  <c r="S383" i="8"/>
  <c r="U383" i="8" s="1"/>
  <c r="S382" i="8"/>
  <c r="U382" i="8" s="1"/>
  <c r="S267" i="8"/>
  <c r="U267" i="8" s="1"/>
  <c r="S380" i="8"/>
  <c r="U380" i="8" s="1"/>
  <c r="S379" i="8"/>
  <c r="U379" i="8" s="1"/>
  <c r="S69" i="8"/>
  <c r="U69" i="8" s="1"/>
  <c r="S140" i="8"/>
  <c r="U140" i="8" s="1"/>
  <c r="S139" i="8"/>
  <c r="U139" i="8" s="1"/>
  <c r="S376" i="8"/>
  <c r="U376" i="8" s="1"/>
  <c r="S160" i="8"/>
  <c r="U160" i="8" s="1"/>
  <c r="S159" i="8"/>
  <c r="U159" i="8" s="1"/>
  <c r="S340" i="8"/>
  <c r="U340" i="8" s="1"/>
  <c r="S44" i="8"/>
  <c r="U44" i="8" s="1"/>
  <c r="S276" i="8"/>
  <c r="U276" i="8" s="1"/>
  <c r="S272" i="8"/>
  <c r="U272" i="8" s="1"/>
  <c r="S335" i="8"/>
  <c r="U335" i="8" s="1"/>
  <c r="S77" i="8"/>
  <c r="U77" i="8" s="1"/>
  <c r="S109" i="8"/>
  <c r="U109" i="8" s="1"/>
  <c r="S324" i="8"/>
  <c r="U324" i="8" s="1"/>
  <c r="S421" i="8"/>
  <c r="U421" i="8" s="1"/>
  <c r="S262" i="8"/>
  <c r="U262" i="8" s="1"/>
  <c r="S258" i="8"/>
  <c r="U258" i="8" s="1"/>
  <c r="S67" i="8"/>
  <c r="U67" i="8" s="1"/>
  <c r="S207" i="8"/>
  <c r="U207" i="8" s="1"/>
  <c r="S316" i="8"/>
  <c r="U316" i="8" s="1"/>
  <c r="S187" i="8"/>
  <c r="U187" i="8" s="1"/>
  <c r="S404" i="8"/>
  <c r="U404" i="8" s="1"/>
  <c r="S194" i="8"/>
  <c r="U194" i="8" s="1"/>
  <c r="S175" i="8"/>
  <c r="U175" i="8" s="1"/>
  <c r="S170" i="8"/>
  <c r="U170" i="8" s="1"/>
  <c r="S214" i="8"/>
  <c r="U214" i="8" s="1"/>
  <c r="S386" i="8"/>
  <c r="U386" i="8" s="1"/>
  <c r="S179" i="8"/>
  <c r="U179" i="8" s="1"/>
  <c r="S384" i="8"/>
  <c r="U384" i="8" s="1"/>
  <c r="S143" i="8"/>
  <c r="U143" i="8" s="1"/>
  <c r="S34" i="8"/>
  <c r="U34" i="8" s="1"/>
  <c r="S323" i="8"/>
  <c r="U323" i="8" s="1"/>
  <c r="S322" i="8"/>
  <c r="U322" i="8" s="1"/>
  <c r="S292" i="8"/>
  <c r="U292" i="8" s="1"/>
  <c r="S33" i="8"/>
  <c r="U33" i="8" s="1"/>
  <c r="S320" i="8"/>
  <c r="U320" i="8" s="1"/>
  <c r="S138" i="8"/>
  <c r="U138" i="8" s="1"/>
  <c r="S319" i="8"/>
  <c r="U319" i="8" s="1"/>
  <c r="S434" i="8"/>
  <c r="U434" i="8" s="1"/>
  <c r="S102" i="8"/>
  <c r="U102" i="8" s="1"/>
  <c r="S130" i="8"/>
  <c r="U130" i="8" s="1"/>
  <c r="S278" i="8"/>
  <c r="U278" i="8" s="1"/>
  <c r="S426" i="8"/>
  <c r="U426" i="8" s="1"/>
  <c r="S155" i="8"/>
  <c r="U155" i="8" s="1"/>
  <c r="S154" i="8"/>
  <c r="U154" i="8" s="1"/>
  <c r="S334" i="8"/>
  <c r="U334" i="8" s="1"/>
  <c r="S293" i="8"/>
  <c r="U293" i="8" s="1"/>
  <c r="S327" i="8"/>
  <c r="U327" i="8" s="1"/>
  <c r="S31" i="8"/>
  <c r="U31" i="8" s="1"/>
  <c r="S134" i="8"/>
  <c r="U134" i="8" s="1"/>
  <c r="S30" i="8"/>
  <c r="U30" i="8" s="1"/>
  <c r="S257" i="8"/>
  <c r="U257" i="8" s="1"/>
  <c r="S315" i="8"/>
  <c r="U315" i="8" s="1"/>
  <c r="S401" i="8"/>
  <c r="U401" i="8" s="1"/>
  <c r="S174" i="8"/>
  <c r="U174" i="8" s="1"/>
  <c r="S191" i="8"/>
  <c r="U191" i="8" s="1"/>
  <c r="S93" i="8"/>
  <c r="U93" i="8" s="1"/>
  <c r="S161" i="8"/>
  <c r="U161" i="8" s="1"/>
  <c r="S431" i="8"/>
  <c r="U431" i="8" s="1"/>
  <c r="S347" i="8"/>
  <c r="U347" i="8" s="1"/>
  <c r="S45" i="8"/>
  <c r="U45" i="8" s="1"/>
  <c r="S342" i="8"/>
  <c r="U342" i="8" s="1"/>
  <c r="S279" i="8"/>
  <c r="U279" i="8" s="1"/>
  <c r="S392" i="8"/>
  <c r="U392" i="8" s="1"/>
  <c r="S361" i="8"/>
  <c r="U361" i="8" s="1"/>
  <c r="S38" i="8"/>
  <c r="U38" i="8" s="1"/>
  <c r="S423" i="8"/>
  <c r="U423" i="8" s="1"/>
  <c r="S331" i="8"/>
  <c r="U331" i="8" s="1"/>
  <c r="S29" i="8"/>
  <c r="U29" i="8" s="1"/>
  <c r="S60" i="8"/>
  <c r="U60" i="8" s="1"/>
  <c r="S106" i="8"/>
  <c r="U106" i="8" s="1"/>
  <c r="S304" i="8"/>
  <c r="U304" i="8" s="1"/>
  <c r="S241" i="8"/>
  <c r="U241" i="8" s="1"/>
  <c r="S15" i="8"/>
  <c r="U15" i="8" s="1"/>
  <c r="S124" i="8"/>
  <c r="U124" i="8" s="1"/>
  <c r="S412" i="8"/>
  <c r="U412" i="8" s="1"/>
  <c r="S410" i="8"/>
  <c r="U410" i="8" s="1"/>
  <c r="S58" i="8"/>
  <c r="U58" i="8" s="1"/>
  <c r="S26" i="8"/>
  <c r="U26" i="8" s="1"/>
  <c r="S23" i="8"/>
  <c r="U23" i="8" s="1"/>
  <c r="S246" i="8"/>
  <c r="U246" i="8" s="1"/>
  <c r="S206" i="8"/>
  <c r="U206" i="8" s="1"/>
  <c r="S416" i="8"/>
  <c r="U416" i="8" s="1"/>
  <c r="S409" i="8"/>
  <c r="U409" i="8" s="1"/>
  <c r="S367" i="8"/>
  <c r="U367" i="8" s="1"/>
  <c r="S354" i="8"/>
  <c r="U354" i="8" s="1"/>
  <c r="S216" i="8"/>
  <c r="U216" i="8" s="1"/>
  <c r="S314" i="8"/>
  <c r="U314" i="8" s="1"/>
  <c r="S68" i="8"/>
  <c r="U68" i="8" s="1"/>
  <c r="S290" i="8"/>
  <c r="U290" i="8" s="1"/>
  <c r="S312" i="8"/>
  <c r="U312" i="8" s="1"/>
  <c r="S64" i="8"/>
  <c r="U64" i="8" s="1"/>
  <c r="S63" i="8"/>
  <c r="U63" i="8" s="1"/>
  <c r="S156" i="8"/>
  <c r="U156" i="8" s="1"/>
  <c r="S310" i="8"/>
  <c r="U310" i="8" s="1"/>
  <c r="S313" i="8"/>
  <c r="U313" i="8" s="1"/>
  <c r="S253" i="8"/>
  <c r="U253" i="8" s="1"/>
  <c r="S252" i="8"/>
  <c r="U252" i="8" s="1"/>
  <c r="S21" i="8"/>
  <c r="U21" i="8" s="1"/>
  <c r="S248" i="8"/>
  <c r="U248" i="8" s="1"/>
  <c r="S245" i="8"/>
  <c r="U245" i="8" s="1"/>
  <c r="S61" i="8"/>
  <c r="U61" i="8" s="1"/>
  <c r="S373" i="8"/>
  <c r="U373" i="8" s="1"/>
  <c r="S205" i="8"/>
  <c r="U205" i="8" s="1"/>
  <c r="S356" i="8"/>
  <c r="U356" i="8" s="1"/>
  <c r="S408" i="8"/>
  <c r="U408" i="8" s="1"/>
  <c r="S238" i="8"/>
  <c r="U238" i="8" s="1"/>
  <c r="S120" i="8"/>
  <c r="U120" i="8" s="1"/>
  <c r="S285" i="8"/>
  <c r="U285" i="8" s="1"/>
  <c r="S204" i="8"/>
  <c r="U204" i="8" s="1"/>
  <c r="S371" i="8"/>
  <c r="U371" i="8" s="1"/>
  <c r="S370" i="8"/>
  <c r="U370" i="8" s="1"/>
  <c r="S59" i="8"/>
  <c r="U59" i="8" s="1"/>
  <c r="S413" i="8"/>
  <c r="U413" i="8" s="1"/>
  <c r="S125" i="8"/>
  <c r="U125" i="8" s="1"/>
  <c r="S368" i="8"/>
  <c r="U368" i="8" s="1"/>
  <c r="S302" i="8"/>
  <c r="U302" i="8" s="1"/>
  <c r="S57" i="8"/>
  <c r="U57" i="8" s="1"/>
  <c r="S152" i="8"/>
  <c r="U152" i="8" s="1"/>
  <c r="S90" i="8"/>
  <c r="U90" i="8" s="1"/>
  <c r="S249" i="8"/>
  <c r="U249" i="8" s="1"/>
  <c r="S19" i="8"/>
  <c r="U19" i="8" s="1"/>
  <c r="S308" i="8"/>
  <c r="U308" i="8" s="1"/>
  <c r="S287" i="8"/>
  <c r="U287" i="8" s="1"/>
  <c r="S118" i="8"/>
  <c r="U118" i="8" s="1"/>
  <c r="S230" i="8"/>
  <c r="U230" i="8" s="1"/>
  <c r="S218" i="8"/>
  <c r="U218" i="8" s="1"/>
  <c r="S388" i="8"/>
  <c r="U388" i="8" s="1"/>
  <c r="S375" i="8"/>
  <c r="U375" i="8" s="1"/>
  <c r="S107" i="8"/>
  <c r="U107" i="8" s="1"/>
  <c r="S242" i="8"/>
  <c r="U242" i="8" s="1"/>
  <c r="S417" i="8"/>
  <c r="U417" i="8" s="1"/>
  <c r="S18" i="8"/>
  <c r="U18" i="8" s="1"/>
  <c r="S372" i="8"/>
  <c r="U372" i="8" s="1"/>
  <c r="S203" i="8"/>
  <c r="U203" i="8" s="1"/>
  <c r="AL15" i="3"/>
  <c r="AN15" i="3"/>
  <c r="AK15" i="3"/>
  <c r="R436" i="8"/>
  <c r="AM15" i="3"/>
  <c r="S307" i="8"/>
  <c r="U307" i="8" s="1"/>
  <c r="S363" i="8"/>
  <c r="U363" i="8" s="1"/>
  <c r="S35" i="8"/>
  <c r="U35" i="8" s="1"/>
  <c r="S250" i="8"/>
  <c r="U250" i="8" s="1"/>
  <c r="S70" i="8"/>
  <c r="U70" i="8" s="1"/>
  <c r="S255" i="8"/>
  <c r="U255" i="8" s="1"/>
  <c r="S25" i="8"/>
  <c r="U25" i="8" s="1"/>
  <c r="S20" i="8"/>
  <c r="U20" i="8" s="1"/>
  <c r="S86" i="8"/>
  <c r="U86" i="8" s="1"/>
  <c r="S236" i="8"/>
  <c r="U236" i="8" s="1"/>
  <c r="S110" i="8"/>
  <c r="U110" i="8" s="1"/>
  <c r="S425" i="8"/>
  <c r="U425" i="8" s="1"/>
  <c r="S339" i="8"/>
  <c r="U339" i="8" s="1"/>
  <c r="S88" i="8"/>
  <c r="U88" i="8" s="1"/>
  <c r="S430" i="8"/>
  <c r="U430" i="8" s="1"/>
  <c r="S432" i="8"/>
  <c r="U432" i="8" s="1"/>
  <c r="S171" i="8"/>
  <c r="U171" i="8" s="1"/>
  <c r="S403" i="8"/>
  <c r="U403" i="8" s="1"/>
  <c r="S326" i="8"/>
  <c r="U326" i="8" s="1"/>
  <c r="S211" i="8"/>
  <c r="U211" i="8" s="1"/>
  <c r="S169" i="8"/>
  <c r="U169" i="8" s="1"/>
  <c r="S374" i="8"/>
  <c r="U374" i="8" s="1"/>
  <c r="S419" i="8"/>
  <c r="U419" i="8" s="1"/>
  <c r="S270" i="8"/>
  <c r="U270" i="8" s="1"/>
  <c r="S148" i="8"/>
  <c r="U148" i="8" s="1"/>
  <c r="S144" i="8"/>
  <c r="U144" i="8" s="1"/>
  <c r="S78" i="8"/>
  <c r="U78" i="8" s="1"/>
  <c r="S330" i="8"/>
  <c r="U330" i="8" s="1"/>
  <c r="S98" i="8"/>
  <c r="U98" i="8" s="1"/>
  <c r="S108" i="8"/>
  <c r="U108" i="8" s="1"/>
  <c r="S420" i="8"/>
  <c r="U420" i="8" s="1"/>
  <c r="S32" i="8"/>
  <c r="U32" i="8" s="1"/>
  <c r="S358" i="8"/>
  <c r="U358" i="8" s="1"/>
  <c r="S162" i="8"/>
  <c r="U162" i="8" s="1"/>
  <c r="S158" i="8"/>
  <c r="U158" i="8" s="1"/>
  <c r="S208" i="8"/>
  <c r="U208" i="8" s="1"/>
  <c r="S259" i="8"/>
  <c r="U259" i="8" s="1"/>
  <c r="S317" i="8"/>
  <c r="U317" i="8" s="1"/>
  <c r="S256" i="8"/>
  <c r="U256" i="8" s="1"/>
  <c r="S66" i="8"/>
  <c r="U66" i="8" s="1"/>
  <c r="S65" i="8"/>
  <c r="U65" i="8" s="1"/>
  <c r="S28" i="8"/>
  <c r="U28" i="8" s="1"/>
  <c r="S311" i="8"/>
  <c r="U311" i="8" s="1"/>
  <c r="S129" i="8"/>
  <c r="U129" i="8" s="1"/>
  <c r="S309" i="8"/>
  <c r="U309" i="8" s="1"/>
  <c r="S414" i="8"/>
  <c r="U414" i="8" s="1"/>
  <c r="S16" i="8"/>
  <c r="U16" i="8" s="1"/>
  <c r="S355" i="8"/>
  <c r="U355" i="8" s="1"/>
  <c r="S303" i="8"/>
  <c r="U303" i="8" s="1"/>
  <c r="S126" i="8"/>
  <c r="U126" i="8" s="1"/>
  <c r="S54" i="8"/>
  <c r="U54" i="8" s="1"/>
  <c r="S119" i="8"/>
  <c r="U119" i="8" s="1"/>
  <c r="S55" i="8"/>
  <c r="U55" i="8" s="1"/>
  <c r="S137" i="8"/>
  <c r="U137" i="8" s="1"/>
  <c r="S149" i="8"/>
  <c r="U149" i="8" s="1"/>
  <c r="S79" i="8"/>
  <c r="U79" i="8" s="1"/>
  <c r="S113" i="8"/>
  <c r="U113" i="8" s="1"/>
  <c r="S73" i="8"/>
  <c r="U73" i="8" s="1"/>
  <c r="S212" i="8"/>
  <c r="U212" i="8" s="1"/>
  <c r="S141" i="8"/>
  <c r="U141" i="8" s="1"/>
  <c r="S201" i="8"/>
  <c r="U201" i="8" s="1"/>
  <c r="S288" i="8"/>
  <c r="U288" i="8" s="1"/>
  <c r="S121" i="8"/>
  <c r="U121" i="8" s="1"/>
  <c r="S297" i="8"/>
  <c r="U297" i="8" s="1"/>
  <c r="S180" i="8"/>
  <c r="U180" i="8" s="1"/>
  <c r="S24" i="8"/>
  <c r="U24" i="8" s="1"/>
  <c r="S62" i="8"/>
  <c r="U62" i="8" s="1"/>
  <c r="S306" i="8"/>
  <c r="U306" i="8" s="1"/>
  <c r="S369" i="8"/>
  <c r="U369" i="8" s="1"/>
  <c r="S199" i="8"/>
  <c r="U199" i="8" s="1"/>
  <c r="S407" i="8"/>
  <c r="U407" i="8" s="1"/>
  <c r="S239" i="8"/>
  <c r="U239" i="8" s="1"/>
  <c r="S56" i="8"/>
  <c r="U56" i="8" s="1"/>
  <c r="S142" i="8"/>
  <c r="U142" i="8" s="1"/>
  <c r="S111" i="8"/>
  <c r="U111" i="8" s="1"/>
  <c r="S360" i="8"/>
  <c r="U360" i="8" s="1"/>
  <c r="S222" i="8"/>
  <c r="U222" i="8" s="1"/>
  <c r="S224" i="8"/>
  <c r="U224" i="8" s="1"/>
  <c r="S47" i="8"/>
  <c r="U47" i="8" s="1"/>
  <c r="S48" i="8"/>
  <c r="U48" i="8" s="1"/>
  <c r="S166" i="8"/>
  <c r="U166" i="8" s="1"/>
  <c r="S177" i="8"/>
  <c r="U177" i="8" s="1"/>
  <c r="S195" i="8"/>
  <c r="U195" i="8" s="1"/>
  <c r="S99" i="8"/>
  <c r="U99" i="8" s="1"/>
  <c r="S266" i="8"/>
  <c r="U266" i="8" s="1"/>
  <c r="S265" i="8"/>
  <c r="U265" i="8" s="1"/>
  <c r="S132" i="8"/>
  <c r="U132" i="8" s="1"/>
  <c r="S291" i="8"/>
  <c r="U291" i="8" s="1"/>
  <c r="S80" i="8"/>
  <c r="U80" i="8" s="1"/>
  <c r="S145" i="8"/>
  <c r="U145" i="8" s="1"/>
  <c r="S381" i="8"/>
  <c r="U381" i="8" s="1"/>
  <c r="S76" i="8"/>
  <c r="U76" i="8" s="1"/>
  <c r="S328" i="8"/>
  <c r="U328" i="8" s="1"/>
  <c r="S210" i="8"/>
  <c r="U210" i="8" s="1"/>
  <c r="S261" i="8"/>
  <c r="U261" i="8" s="1"/>
  <c r="S235" i="8"/>
  <c r="U235" i="8" s="1"/>
  <c r="S104" i="8"/>
  <c r="U104" i="8" s="1"/>
  <c r="S364" i="8"/>
  <c r="U364" i="8" s="1"/>
  <c r="S114" i="8"/>
  <c r="U114" i="8" s="1"/>
  <c r="S100" i="8"/>
  <c r="U100" i="8" s="1"/>
  <c r="S75" i="8"/>
  <c r="U75" i="8" s="1"/>
  <c r="S359" i="8"/>
  <c r="U359" i="8" s="1"/>
  <c r="S251" i="8"/>
  <c r="U251" i="8" s="1"/>
  <c r="S202" i="8"/>
  <c r="U202" i="8" s="1"/>
  <c r="S105" i="8"/>
  <c r="U105" i="8" s="1"/>
  <c r="S387" i="8"/>
  <c r="U387" i="8" s="1"/>
  <c r="S53" i="8"/>
  <c r="U53" i="8" s="1"/>
  <c r="S89" i="8"/>
  <c r="U89" i="8" s="1"/>
  <c r="S305" i="8"/>
  <c r="U305" i="8" s="1"/>
  <c r="S122" i="8"/>
  <c r="U122" i="8" s="1"/>
  <c r="S22" i="8"/>
  <c r="U22" i="8" s="1"/>
  <c r="S300" i="8"/>
  <c r="U300" i="8" s="1"/>
  <c r="S234" i="8"/>
  <c r="U234" i="8" s="1"/>
  <c r="S296" i="8"/>
  <c r="U296" i="8" s="1"/>
  <c r="S176" i="8"/>
  <c r="U176" i="8" s="1"/>
  <c r="S101" i="8"/>
  <c r="U101" i="8" s="1"/>
  <c r="S390" i="8"/>
  <c r="U390" i="8" s="1"/>
  <c r="S325" i="8"/>
  <c r="U325" i="8" s="1"/>
  <c r="S247" i="8"/>
  <c r="U247" i="8" s="1"/>
  <c r="S198" i="8"/>
  <c r="U198" i="8" s="1"/>
  <c r="S27" i="8"/>
  <c r="U27" i="8" s="1"/>
  <c r="S150" i="8"/>
  <c r="U150" i="8" s="1"/>
  <c r="S243" i="8"/>
  <c r="U243" i="8" s="1"/>
  <c r="S350" i="8"/>
  <c r="S217" i="8"/>
  <c r="E22" i="1" s="1"/>
  <c r="S321" i="8"/>
  <c r="S301" i="8"/>
  <c r="U301" i="8" s="1"/>
  <c r="S415" i="8"/>
  <c r="S411" i="8"/>
  <c r="U411" i="8" s="1"/>
  <c r="S209" i="8"/>
  <c r="S299" i="8"/>
  <c r="S215" i="8"/>
  <c r="U215" i="8" s="1"/>
  <c r="S227" i="8"/>
  <c r="S377" i="8"/>
  <c r="U377" i="8" s="1"/>
  <c r="S135" i="8"/>
  <c r="U135" i="8" s="1"/>
  <c r="S405" i="8"/>
  <c r="E30" i="1" s="1"/>
  <c r="S116" i="8"/>
  <c r="U116" i="8" s="1"/>
  <c r="S378" i="8"/>
  <c r="U378" i="8" s="1"/>
  <c r="S200" i="8"/>
  <c r="U200" i="8" s="1"/>
  <c r="S83" i="8"/>
  <c r="U83" i="8" s="1"/>
  <c r="S289" i="8"/>
  <c r="U289" i="8" s="1"/>
  <c r="S366" i="8"/>
  <c r="U366" i="8" s="1"/>
  <c r="S127" i="8"/>
  <c r="U127" i="8" s="1"/>
  <c r="S71" i="8"/>
  <c r="U71" i="8" s="1"/>
  <c r="S418" i="8"/>
  <c r="S422" i="8"/>
  <c r="E16" i="1" s="1"/>
  <c r="S357" i="8"/>
  <c r="U357" i="8" s="1"/>
  <c r="S254" i="8"/>
  <c r="E12" i="1" s="1"/>
  <c r="S275" i="8"/>
  <c r="S131" i="8"/>
  <c r="E14" i="1" s="1"/>
  <c r="S353" i="8"/>
  <c r="U353" i="8"/>
  <c r="S112" i="8"/>
  <c r="U112" i="8"/>
  <c r="S268" i="8"/>
  <c r="U268" i="8"/>
  <c r="S17" i="8"/>
  <c r="S117" i="8"/>
  <c r="E24" i="1" s="1"/>
  <c r="S237" i="8"/>
  <c r="U237" i="8" s="1"/>
  <c r="S115" i="8"/>
  <c r="U115" i="8" s="1"/>
  <c r="S233" i="8"/>
  <c r="U233" i="8" s="1"/>
  <c r="S197" i="8"/>
  <c r="U197" i="8" s="1"/>
  <c r="S394" i="8"/>
  <c r="E27" i="1" s="1"/>
  <c r="S244" i="8"/>
  <c r="U244" i="8"/>
  <c r="S365" i="8"/>
  <c r="S385" i="8"/>
  <c r="E20" i="1" s="1"/>
  <c r="S341" i="8"/>
  <c r="S240" i="8"/>
  <c r="E7" i="1" s="1"/>
  <c r="S147" i="8"/>
  <c r="E19" i="1" l="1"/>
  <c r="E8" i="1"/>
  <c r="E26" i="1"/>
  <c r="E18" i="1"/>
  <c r="U217" i="8"/>
  <c r="E25" i="1"/>
  <c r="E10" i="1"/>
  <c r="E17" i="1"/>
  <c r="E23" i="1"/>
  <c r="E13" i="1"/>
  <c r="E15" i="1"/>
  <c r="E6" i="1"/>
  <c r="E28" i="1"/>
  <c r="F11" i="1"/>
  <c r="J11" i="1" s="1"/>
  <c r="U418" i="8"/>
  <c r="U240" i="8"/>
  <c r="F7" i="1" s="1"/>
  <c r="I7" i="1" s="1"/>
  <c r="F13" i="1"/>
  <c r="F29" i="1"/>
  <c r="I29" i="1" s="1"/>
  <c r="F22" i="1"/>
  <c r="E3" i="1"/>
  <c r="F10" i="1"/>
  <c r="U385" i="8"/>
  <c r="F20" i="1" s="1"/>
  <c r="I20" i="1" s="1"/>
  <c r="U117" i="8"/>
  <c r="F24" i="1" s="1"/>
  <c r="I24" i="1" s="1"/>
  <c r="U275" i="8"/>
  <c r="F23" i="1" s="1"/>
  <c r="E21" i="1"/>
  <c r="F17" i="1"/>
  <c r="I17" i="1" s="1"/>
  <c r="F6" i="1"/>
  <c r="E9" i="1"/>
  <c r="E29" i="1"/>
  <c r="I10" i="1"/>
  <c r="J10" i="1"/>
  <c r="J17" i="1"/>
  <c r="I11" i="1"/>
  <c r="F21" i="1"/>
  <c r="I6" i="1"/>
  <c r="J6" i="1"/>
  <c r="J22" i="1"/>
  <c r="I22" i="1"/>
  <c r="J7" i="1"/>
  <c r="J24" i="1"/>
  <c r="I23" i="1"/>
  <c r="J23" i="1"/>
  <c r="J13" i="1"/>
  <c r="I13" i="1"/>
  <c r="U147" i="8"/>
  <c r="F19" i="1" s="1"/>
  <c r="U341" i="8"/>
  <c r="F25" i="1" s="1"/>
  <c r="U365" i="8"/>
  <c r="U394" i="8"/>
  <c r="F27" i="1" s="1"/>
  <c r="U17" i="8"/>
  <c r="F8" i="1" s="1"/>
  <c r="U131" i="8"/>
  <c r="F14" i="1" s="1"/>
  <c r="U254" i="8"/>
  <c r="F12" i="1" s="1"/>
  <c r="E11" i="1"/>
  <c r="U422" i="8"/>
  <c r="F16" i="1" s="1"/>
  <c r="U405" i="8"/>
  <c r="F30" i="1" s="1"/>
  <c r="U227" i="8"/>
  <c r="F26" i="1" s="1"/>
  <c r="U299" i="8"/>
  <c r="U209" i="8"/>
  <c r="F15" i="1" s="1"/>
  <c r="U415" i="8"/>
  <c r="F9" i="1" s="1"/>
  <c r="U321" i="8"/>
  <c r="F18" i="1" s="1"/>
  <c r="U350" i="8"/>
  <c r="F28" i="1" s="1"/>
  <c r="F3" i="1"/>
  <c r="AE4" i="3"/>
  <c r="J29" i="1" l="1"/>
  <c r="J20" i="1"/>
  <c r="J3" i="1"/>
  <c r="I3" i="1"/>
  <c r="J28" i="1"/>
  <c r="I28" i="1"/>
  <c r="J9" i="1"/>
  <c r="I9" i="1"/>
  <c r="J30" i="1"/>
  <c r="I30" i="1"/>
  <c r="J14" i="1"/>
  <c r="I14" i="1"/>
  <c r="J27" i="1"/>
  <c r="I27" i="1"/>
  <c r="I25" i="1"/>
  <c r="J25" i="1"/>
  <c r="AE5" i="3"/>
  <c r="J21" i="1"/>
  <c r="I21" i="1"/>
  <c r="AB6" i="3"/>
  <c r="I18" i="1"/>
  <c r="J18" i="1"/>
  <c r="I15" i="1"/>
  <c r="J15" i="1"/>
  <c r="J26" i="1"/>
  <c r="I26" i="1"/>
  <c r="I16" i="1"/>
  <c r="J16" i="1"/>
  <c r="J12" i="1"/>
  <c r="I12" i="1"/>
  <c r="J8" i="1"/>
  <c r="I8" i="1"/>
  <c r="J19" i="1"/>
  <c r="I19" i="1"/>
  <c r="AE3" i="3"/>
  <c r="AH4" i="3"/>
  <c r="S9" i="8"/>
  <c r="U9" i="8" s="1"/>
  <c r="S5" i="8"/>
  <c r="U5" i="8" s="1"/>
  <c r="S13" i="8"/>
  <c r="U13" i="8" s="1"/>
  <c r="F4" i="1" s="1"/>
  <c r="S10" i="8"/>
  <c r="U10" i="8"/>
  <c r="S6" i="8"/>
  <c r="U6" i="8" s="1"/>
  <c r="S3" i="8"/>
  <c r="U3" i="8" s="1"/>
  <c r="AB4" i="3" s="1"/>
  <c r="S12" i="8"/>
  <c r="U12" i="8" s="1"/>
  <c r="S11" i="8"/>
  <c r="U11" i="8" s="1"/>
  <c r="S4" i="8"/>
  <c r="U4" i="8" s="1"/>
  <c r="S7" i="8"/>
  <c r="U7" i="8" s="1"/>
  <c r="S8" i="8"/>
  <c r="U8" i="8" s="1"/>
  <c r="J4" i="1" l="1"/>
  <c r="I4" i="1"/>
  <c r="E4" i="1"/>
  <c r="S2" i="8" l="1"/>
  <c r="E2" i="1" s="1"/>
  <c r="U2" i="8" l="1"/>
  <c r="AB5" i="3" s="1"/>
  <c r="F2" i="1"/>
  <c r="J2" i="1" l="1"/>
  <c r="I2" i="1"/>
  <c r="P436" i="8"/>
  <c r="AM13" i="3"/>
  <c r="AK13" i="3"/>
  <c r="AN13" i="3"/>
  <c r="S14" i="8"/>
  <c r="S436" i="8" s="1"/>
  <c r="U14" i="8" l="1"/>
  <c r="AH3" i="3" s="1"/>
  <c r="E5" i="1"/>
  <c r="U436" i="8"/>
  <c r="AB3" i="3"/>
  <c r="F5" i="1"/>
  <c r="AE6" i="3"/>
  <c r="I5" i="1" l="1"/>
  <c r="J5" i="1"/>
</calcChain>
</file>

<file path=xl/sharedStrings.xml><?xml version="1.0" encoding="utf-8"?>
<sst xmlns="http://schemas.openxmlformats.org/spreadsheetml/2006/main" count="1789" uniqueCount="389">
  <si>
    <t>AuthorID</t>
  </si>
  <si>
    <t>Years
Under Contract</t>
  </si>
  <si>
    <t>Number of
Books in Print</t>
  </si>
  <si>
    <t>Initial
Contract Date</t>
  </si>
  <si>
    <t>Number of
Books Sold</t>
  </si>
  <si>
    <t>Income
Earned</t>
  </si>
  <si>
    <t>Royalty
Rate</t>
  </si>
  <si>
    <t>Early
Producer?</t>
  </si>
  <si>
    <t>5+ Years
or High
Producer?</t>
  </si>
  <si>
    <t>5+ Years
and 350K+ Units
Sold or $1M+ Earned?</t>
  </si>
  <si>
    <t>Author</t>
  </si>
  <si>
    <t>Sell Price</t>
  </si>
  <si>
    <t>Genre</t>
  </si>
  <si>
    <t>Romance</t>
  </si>
  <si>
    <t>SF</t>
  </si>
  <si>
    <t>Thriller</t>
  </si>
  <si>
    <t>APAC</t>
  </si>
  <si>
    <t>LA</t>
  </si>
  <si>
    <t>EMEA</t>
  </si>
  <si>
    <t>NA</t>
  </si>
  <si>
    <t>Title</t>
  </si>
  <si>
    <t>Market</t>
  </si>
  <si>
    <t>BookTitle0001</t>
  </si>
  <si>
    <t>BookTitle0002</t>
  </si>
  <si>
    <t>BookTitle0003</t>
  </si>
  <si>
    <t>Format</t>
  </si>
  <si>
    <t>Fantasy</t>
  </si>
  <si>
    <t>Print</t>
  </si>
  <si>
    <t>Electronic</t>
  </si>
  <si>
    <t>BookTitle0004</t>
  </si>
  <si>
    <t>BookTitle0005</t>
  </si>
  <si>
    <t>BookTitle0006</t>
  </si>
  <si>
    <t>BookTitle0007</t>
  </si>
  <si>
    <t>BookTitle0008</t>
  </si>
  <si>
    <t>BookTitle0009</t>
  </si>
  <si>
    <t>BookTitle0010</t>
  </si>
  <si>
    <t>BookTitle0011</t>
  </si>
  <si>
    <t>BookTitle0012</t>
  </si>
  <si>
    <t>BookTitle0013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</si>
  <si>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</si>
  <si>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</si>
  <si>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</si>
  <si>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</si>
  <si>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</si>
  <si>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</si>
  <si>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</si>
  <si>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</si>
  <si>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</si>
  <si>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</si>
  <si>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</si>
  <si>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</si>
  <si>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</si>
  <si>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BookTitle0014</t>
  </si>
  <si>
    <t>BookTitle0015</t>
  </si>
  <si>
    <t>BookTitle0016</t>
  </si>
  <si>
    <t>BookTitle0017</t>
  </si>
  <si>
    <t>BookTitle0018</t>
  </si>
  <si>
    <t>BookTitle0019</t>
  </si>
  <si>
    <t>BookTitle0020</t>
  </si>
  <si>
    <t>BookTitle0021</t>
  </si>
  <si>
    <t>BookTitle0022</t>
  </si>
  <si>
    <t>BookTitle0023</t>
  </si>
  <si>
    <t>BookTitle0024</t>
  </si>
  <si>
    <t>BookTitle0025</t>
  </si>
  <si>
    <t>BookTitle0026</t>
  </si>
  <si>
    <t>BookTitle0029</t>
  </si>
  <si>
    <t>BookTitle0030</t>
  </si>
  <si>
    <t>BookTitle0031</t>
  </si>
  <si>
    <t>BookTitle0035</t>
  </si>
  <si>
    <t>BookTitle0036</t>
  </si>
  <si>
    <t>BookTitle0037</t>
  </si>
  <si>
    <t>BookTitle0038</t>
  </si>
  <si>
    <t>BookTitle0039</t>
  </si>
  <si>
    <t>BookTitle0040</t>
  </si>
  <si>
    <t>BookTitle0041</t>
  </si>
  <si>
    <t>BookTitle0042</t>
  </si>
  <si>
    <t>BookTitle0043</t>
  </si>
  <si>
    <t>BookTitle0050</t>
  </si>
  <si>
    <t>BookTitle0051</t>
  </si>
  <si>
    <t>BookTitle0052</t>
  </si>
  <si>
    <t>BookTitle0053</t>
  </si>
  <si>
    <t>BookTitle0055</t>
  </si>
  <si>
    <t>BookTitle0056</t>
  </si>
  <si>
    <t>BookTitle0057</t>
  </si>
  <si>
    <t>BookTitle0058</t>
  </si>
  <si>
    <t>BookTitle0059</t>
  </si>
  <si>
    <t>BookTitle0062</t>
  </si>
  <si>
    <t>BookTitle0063</t>
  </si>
  <si>
    <t>BookTitle0067</t>
  </si>
  <si>
    <t>BookTitle0068</t>
  </si>
  <si>
    <t>BookTitle0069</t>
  </si>
  <si>
    <t>BookTitle0070</t>
  </si>
  <si>
    <t>BookTitle0071</t>
  </si>
  <si>
    <t>BookTitle0072</t>
  </si>
  <si>
    <t>BookTitle0073</t>
  </si>
  <si>
    <t>BookTitle0074</t>
  </si>
  <si>
    <t>BookTitle0075</t>
  </si>
  <si>
    <t>BookTitle0076</t>
  </si>
  <si>
    <t>BookTitle0077</t>
  </si>
  <si>
    <t>BookTitle0078</t>
  </si>
  <si>
    <t>BookTitle0079</t>
  </si>
  <si>
    <t>BookTitle0080</t>
  </si>
  <si>
    <t>BookTitle0081</t>
  </si>
  <si>
    <t>BookTitle0082</t>
  </si>
  <si>
    <t>BookTitle0083</t>
  </si>
  <si>
    <t>BookTitle0084</t>
  </si>
  <si>
    <t>BookTitle0085</t>
  </si>
  <si>
    <t>BookTitle0086</t>
  </si>
  <si>
    <t>BookTitle0087</t>
  </si>
  <si>
    <t>BookTitle0088</t>
  </si>
  <si>
    <t>BookTitle0089</t>
  </si>
  <si>
    <t>BookTitle0090</t>
  </si>
  <si>
    <t>BookTitle0091</t>
  </si>
  <si>
    <t>BookTitle0092</t>
  </si>
  <si>
    <t>BookTitle0093</t>
  </si>
  <si>
    <t>BookTitle0094</t>
  </si>
  <si>
    <t>BookTitle0095</t>
  </si>
  <si>
    <t>BookTitle0096</t>
  </si>
  <si>
    <t>BookTitle0097</t>
  </si>
  <si>
    <t>BookTitle0102</t>
  </si>
  <si>
    <t>BookTitle0104</t>
  </si>
  <si>
    <t>BookTitle0105</t>
  </si>
  <si>
    <t>BookTitle0106</t>
  </si>
  <si>
    <t>BookTitle0109</t>
  </si>
  <si>
    <t>BookTitle0110</t>
  </si>
  <si>
    <t>BookTitle0113</t>
  </si>
  <si>
    <t>BookTitle0114</t>
  </si>
  <si>
    <t>BookTitle0115</t>
  </si>
  <si>
    <t>BookTitle0116</t>
  </si>
  <si>
    <t>BookTitle0117</t>
  </si>
  <si>
    <t>BookTitle0118</t>
  </si>
  <si>
    <t>BookTitle0119</t>
  </si>
  <si>
    <t>BookTitle0120</t>
  </si>
  <si>
    <t>BookTitle0121</t>
  </si>
  <si>
    <t>BookTitle0122</t>
  </si>
  <si>
    <t>BookTitle0123</t>
  </si>
  <si>
    <t>BookTitle0124</t>
  </si>
  <si>
    <t>BookTitle0125</t>
  </si>
  <si>
    <t>BookTitle0126</t>
  </si>
  <si>
    <t>BookTitle0127</t>
  </si>
  <si>
    <t>BookTitle0128</t>
  </si>
  <si>
    <t>BookTitle0129</t>
  </si>
  <si>
    <t>BookTitle0130</t>
  </si>
  <si>
    <t>BookTitle0131</t>
  </si>
  <si>
    <t>BookTitle0132</t>
  </si>
  <si>
    <t>BookTitle0133</t>
  </si>
  <si>
    <t>BookTitle0134</t>
  </si>
  <si>
    <t>BookTitle0135</t>
  </si>
  <si>
    <t>BookTitle0140</t>
  </si>
  <si>
    <t>BookTitle0141</t>
  </si>
  <si>
    <t>BookTitle0142</t>
  </si>
  <si>
    <t>BookTitle0145</t>
  </si>
  <si>
    <t>BookTitle0146</t>
  </si>
  <si>
    <t>BookTitle0147</t>
  </si>
  <si>
    <t>BookTitle0148</t>
  </si>
  <si>
    <t>BookTitle0149</t>
  </si>
  <si>
    <t>BookTitle0150</t>
  </si>
  <si>
    <t>BookTitle0151</t>
  </si>
  <si>
    <t>BookTitle0152</t>
  </si>
  <si>
    <t>BookTitle0153</t>
  </si>
  <si>
    <t>BookTitle0154</t>
  </si>
  <si>
    <t>BookTitle0155</t>
  </si>
  <si>
    <t>BookTitle0156</t>
  </si>
  <si>
    <t>BookTitle0157</t>
  </si>
  <si>
    <t>BookTitle0158</t>
  </si>
  <si>
    <t>BookTitle0159</t>
  </si>
  <si>
    <t>BookTitle0160</t>
  </si>
  <si>
    <t>BookTitle0161</t>
  </si>
  <si>
    <t>BookTitle0162</t>
  </si>
  <si>
    <t>BookTitle0163</t>
  </si>
  <si>
    <t>BookTitle0164</t>
  </si>
  <si>
    <t>BookTitle0165</t>
  </si>
  <si>
    <t>BookTitle0166</t>
  </si>
  <si>
    <t>BookTitle0167</t>
  </si>
  <si>
    <t>BookTitle0168</t>
  </si>
  <si>
    <t>BookTitle0169</t>
  </si>
  <si>
    <t>BookTitle0170</t>
  </si>
  <si>
    <t>BookTitle0171</t>
  </si>
  <si>
    <t>BookTitle0172</t>
  </si>
  <si>
    <t>BookTitle0173</t>
  </si>
  <si>
    <t>BookTitle0177</t>
  </si>
  <si>
    <t>BookTitle0178</t>
  </si>
  <si>
    <t>BookTitle0179</t>
  </si>
  <si>
    <t>BookTitle0185</t>
  </si>
  <si>
    <t>BookTitle0186</t>
  </si>
  <si>
    <t>BookTitle0187</t>
  </si>
  <si>
    <t>BookTitle0188</t>
  </si>
  <si>
    <t>BookTitle0193</t>
  </si>
  <si>
    <t>BookTitle0194</t>
  </si>
  <si>
    <t>BookTitle0195</t>
  </si>
  <si>
    <t>BookTitle0196</t>
  </si>
  <si>
    <t>BookTitle0203</t>
  </si>
  <si>
    <t>BookTitle0204</t>
  </si>
  <si>
    <t>BookTitle0205</t>
  </si>
  <si>
    <t>BookTitle0207</t>
  </si>
  <si>
    <t>BookTitle0208</t>
  </si>
  <si>
    <t>BookTitle0209</t>
  </si>
  <si>
    <t>BookTitle0210</t>
  </si>
  <si>
    <t>BookTitle0211</t>
  </si>
  <si>
    <t>BookTitle0212</t>
  </si>
  <si>
    <t>BookTitle0213</t>
  </si>
  <si>
    <t>BookTitle0214</t>
  </si>
  <si>
    <t>BookTitle0215</t>
  </si>
  <si>
    <t>BookTitle0216</t>
  </si>
  <si>
    <t>BookTitle0217</t>
  </si>
  <si>
    <t>BookTitle0218</t>
  </si>
  <si>
    <t>BookTitle0219</t>
  </si>
  <si>
    <t>BookTitle0220</t>
  </si>
  <si>
    <t>BookTitle0221</t>
  </si>
  <si>
    <t>BookTitle0222</t>
  </si>
  <si>
    <t>BookTitle0225</t>
  </si>
  <si>
    <t>BookTitle0226</t>
  </si>
  <si>
    <t>BookTitle0227</t>
  </si>
  <si>
    <t>BookTitle0228</t>
  </si>
  <si>
    <t>BookTitle0229</t>
  </si>
  <si>
    <t>BookTitle0230</t>
  </si>
  <si>
    <t>BookTitle0231</t>
  </si>
  <si>
    <t>BookTitle0232</t>
  </si>
  <si>
    <t>BookTitle0233</t>
  </si>
  <si>
    <t>BookTitle0234</t>
  </si>
  <si>
    <t>BookTitle0235</t>
  </si>
  <si>
    <t>BookTitle0236</t>
  </si>
  <si>
    <t>BookTitle0237</t>
  </si>
  <si>
    <t>BookTitle0238</t>
  </si>
  <si>
    <t>BookTitle0239</t>
  </si>
  <si>
    <t>BookTitle0240</t>
  </si>
  <si>
    <t>BookTitle0241</t>
  </si>
  <si>
    <t>BookTitle0242</t>
  </si>
  <si>
    <t>BookTitle0243</t>
  </si>
  <si>
    <t>BookTitle0244</t>
  </si>
  <si>
    <t>BookTitle0245</t>
  </si>
  <si>
    <t>BookTitle0246</t>
  </si>
  <si>
    <t>BookTitle0247</t>
  </si>
  <si>
    <t>BookTitle0248</t>
  </si>
  <si>
    <t>BookTitle0249</t>
  </si>
  <si>
    <t>BookTitle0250</t>
  </si>
  <si>
    <t>BookTitle0258</t>
  </si>
  <si>
    <t>BookTitle0259</t>
  </si>
  <si>
    <t>BookTitle0264</t>
  </si>
  <si>
    <t>BookTitle0265</t>
  </si>
  <si>
    <t>BookTitle0266</t>
  </si>
  <si>
    <t>BookTitle0267</t>
  </si>
  <si>
    <t>BookTitle0268</t>
  </si>
  <si>
    <t>BookTitle0269</t>
  </si>
  <si>
    <t>BookTitle0270</t>
  </si>
  <si>
    <t>BookTitle0271</t>
  </si>
  <si>
    <t>BookTitle0272</t>
  </si>
  <si>
    <t>BookTitle0273</t>
  </si>
  <si>
    <t>BookTitle0274</t>
  </si>
  <si>
    <t>BookTitle0275</t>
  </si>
  <si>
    <t>BookTitle0276</t>
  </si>
  <si>
    <t>BookTitle0277</t>
  </si>
  <si>
    <t>BookTitle0278</t>
  </si>
  <si>
    <t>BookTitle0279</t>
  </si>
  <si>
    <t>BookTitle0280</t>
  </si>
  <si>
    <t>BookTitle0281</t>
  </si>
  <si>
    <t>BookTitle0282</t>
  </si>
  <si>
    <t>BookTitle0283</t>
  </si>
  <si>
    <t>BookTitle0296</t>
  </si>
  <si>
    <t>BookTitle0297</t>
  </si>
  <si>
    <t>BookTitle0298</t>
  </si>
  <si>
    <t>BookTitle0304</t>
  </si>
  <si>
    <t>BookTitle0305</t>
  </si>
  <si>
    <t>BookTitle0307</t>
  </si>
  <si>
    <t>BookTitle0308</t>
  </si>
  <si>
    <t>BookTitle0309</t>
  </si>
  <si>
    <t>BookTitle0310</t>
  </si>
  <si>
    <t>BookTitle0311</t>
  </si>
  <si>
    <t>BookTitle0312</t>
  </si>
  <si>
    <t>BookTitle0313</t>
  </si>
  <si>
    <t>BookTitle0314</t>
  </si>
  <si>
    <t>BookTitle0315</t>
  </si>
  <si>
    <t>BookTitle0316</t>
  </si>
  <si>
    <t>BookTitle0319</t>
  </si>
  <si>
    <t>BookTitle0320</t>
  </si>
  <si>
    <t>BookTitle0327</t>
  </si>
  <si>
    <t>BookTitle0328</t>
  </si>
  <si>
    <t>BookTitle0329</t>
  </si>
  <si>
    <t>BookTitle0330</t>
  </si>
  <si>
    <t>BookTitle0331</t>
  </si>
  <si>
    <t>BookTitle0332</t>
  </si>
  <si>
    <t>BookTitle0339</t>
  </si>
  <si>
    <t>BookTitle0340</t>
  </si>
  <si>
    <t>BookTitle0341</t>
  </si>
  <si>
    <t>BookTitle0342</t>
  </si>
  <si>
    <t>BookTitle0343</t>
  </si>
  <si>
    <t>BookTitle0344</t>
  </si>
  <si>
    <t>BookTitle0345</t>
  </si>
  <si>
    <t>BookTitle0346</t>
  </si>
  <si>
    <t>BookTitle0347</t>
  </si>
  <si>
    <t>BookTitle0348</t>
  </si>
  <si>
    <t>BookTitle0349</t>
  </si>
  <si>
    <t>BookTitle0350</t>
  </si>
  <si>
    <t>BookTitle0351</t>
  </si>
  <si>
    <t>BookTitle0352</t>
  </si>
  <si>
    <t>BookTitle0353</t>
  </si>
  <si>
    <t>BookTitle0354</t>
  </si>
  <si>
    <t>BookTitle0355</t>
  </si>
  <si>
    <t>BookTitle0356</t>
  </si>
  <si>
    <t>BookTitle0357</t>
  </si>
  <si>
    <t>BookTitle0358</t>
  </si>
  <si>
    <t>BookTitle0359</t>
  </si>
  <si>
    <t>BookTitle0360</t>
  </si>
  <si>
    <t>BookTitle0361</t>
  </si>
  <si>
    <t>BookTitle0362</t>
  </si>
  <si>
    <t>BookTitle0363</t>
  </si>
  <si>
    <t>BookTitle0364</t>
  </si>
  <si>
    <t>BookTitle0365</t>
  </si>
  <si>
    <t>BookTitle0366</t>
  </si>
  <si>
    <t>BookTitle0367</t>
  </si>
  <si>
    <t>BookTitle0368</t>
  </si>
  <si>
    <t>BookTitle0369</t>
  </si>
  <si>
    <t>BookTitle0374</t>
  </si>
  <si>
    <t>BookTitle0375</t>
  </si>
  <si>
    <t>BookTitle0376</t>
  </si>
  <si>
    <t>BookTitle0382</t>
  </si>
  <si>
    <t>BookTitle0383</t>
  </si>
  <si>
    <t>BookTitle0385</t>
  </si>
  <si>
    <t>BookTitle0386</t>
  </si>
  <si>
    <t>BookTitle0387</t>
  </si>
  <si>
    <t>BookTitle0388</t>
  </si>
  <si>
    <t>BookTitle0389</t>
  </si>
  <si>
    <t>BookTitle0390</t>
  </si>
  <si>
    <t>BookTitle0391</t>
  </si>
  <si>
    <t>BookTitle0392</t>
  </si>
  <si>
    <t>BookTitle0393</t>
  </si>
  <si>
    <t>BookTitle0401</t>
  </si>
  <si>
    <t>BookTitle0402</t>
  </si>
  <si>
    <t>BookTitle0403</t>
  </si>
  <si>
    <t>BookTitle0404</t>
  </si>
  <si>
    <t>BookTitle0405</t>
  </si>
  <si>
    <t>BookTitle0406</t>
  </si>
  <si>
    <t>BookTitle0407</t>
  </si>
  <si>
    <t>BookTitle0408</t>
  </si>
  <si>
    <t>BookTitle0409</t>
  </si>
  <si>
    <t>BookTitle0410</t>
  </si>
  <si>
    <t>BookTitle0411</t>
  </si>
  <si>
    <t>BookTitle0412</t>
  </si>
  <si>
    <t>BookTitle0413</t>
  </si>
  <si>
    <t>BookTitle0414</t>
  </si>
  <si>
    <t>BookTitle0415</t>
  </si>
  <si>
    <t>BookTitle0416</t>
  </si>
  <si>
    <t>BookTitle0417</t>
  </si>
  <si>
    <t>BookTitle0419</t>
  </si>
  <si>
    <t>BookTitle0420</t>
  </si>
  <si>
    <t>BookTitle0422</t>
  </si>
  <si>
    <t>BookTitle0423</t>
  </si>
  <si>
    <t>BookTitle0425</t>
  </si>
  <si>
    <t>BookTitle0426</t>
  </si>
  <si>
    <t>BookTitle0428</t>
  </si>
  <si>
    <t>BookTitle0429</t>
  </si>
  <si>
    <t>BookTitle0431</t>
  </si>
  <si>
    <t>BookTitle0432</t>
  </si>
  <si>
    <t>BookTitle0435</t>
  </si>
  <si>
    <t>BookTitle0436</t>
  </si>
  <si>
    <t>BookTitle0438</t>
  </si>
  <si>
    <t>BookTitle0439</t>
  </si>
  <si>
    <t>BookTitle0445</t>
  </si>
  <si>
    <t>BookTitle0446</t>
  </si>
  <si>
    <t>BookTitle0447</t>
  </si>
  <si>
    <t>BookTitle0448</t>
  </si>
  <si>
    <t>BookTitle0449</t>
  </si>
  <si>
    <t>BookTitle0450</t>
  </si>
  <si>
    <t>BookTitle0451</t>
  </si>
  <si>
    <t>BookTitle0452</t>
  </si>
  <si>
    <t>BookTitle0453</t>
  </si>
  <si>
    <t>BookTitle0454</t>
  </si>
  <si>
    <t>BookTitle0455</t>
  </si>
  <si>
    <t>BookTitle0456</t>
  </si>
  <si>
    <t>BookTitle0457</t>
  </si>
  <si>
    <t>BookTitle0458</t>
  </si>
  <si>
    <t>BookTitle0459</t>
  </si>
  <si>
    <t>BookTitle0460</t>
  </si>
  <si>
    <t>BookTitle0461</t>
  </si>
  <si>
    <t>BookTitle0462</t>
  </si>
  <si>
    <t>BookTitle0463</t>
  </si>
  <si>
    <t>BookTitle0464</t>
  </si>
  <si>
    <t>BookTitle0465</t>
  </si>
  <si>
    <t>BookTitle0467</t>
  </si>
  <si>
    <t>BookTitle0468</t>
  </si>
  <si>
    <t>Total Units 
to Date</t>
  </si>
  <si>
    <t>Total Earnings 
to Date</t>
  </si>
  <si>
    <t>Total</t>
  </si>
  <si>
    <t>Fiscal Year</t>
  </si>
  <si>
    <t>Sales 
(in millions)</t>
  </si>
  <si>
    <t>Total Sales 
(in millions)</t>
  </si>
  <si>
    <t>Units
(Electronic)</t>
  </si>
  <si>
    <t>Units
(Combined)</t>
  </si>
  <si>
    <t>Units
(Print)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</si>
</sst>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  <numFmt numFmtId="167" formatCode="&quot;$&quot;#,##0"/>
    <numFmt numFmtId="168" formatCode="&quot;$&quot;#,##0.0,,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9" fontId="0" fillId="0" borderId="0" xfId="3" applyFont="1" applyAlignment="1">
      <alignment horizont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/>
    <xf numFmtId="0" fontId="0" fillId="0" borderId="1" xfId="0" applyBorder="1"/>
    <xf numFmtId="0" fontId="2" fillId="2" borderId="2" xfId="4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2" xfId="4" applyFont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168" fontId="0" fillId="0" borderId="2" xfId="2" applyNumberFormat="1" applyFont="1" applyBorder="1" applyAlignment="1">
      <alignment horizontal="center"/>
    </xf>
    <xf numFmtId="0" fontId="0" fillId="0" borderId="0" xfId="0" applyBorder="1"/>
  </cellXfs>
  <cellStyles count="5">
    <cellStyle name="Accent3" xfId="4" builtinId="37"/>
    <cellStyle name="Comma" xfId="1" builtinId="3"/>
    <cellStyle name="Currency" xfId="2" builtinId="4"/>
    <cellStyle name="Normal" xfId="0" builtinId="0"/>
    <cellStyle name="Percent" xfId="3" builtinId="5"/>
  </cellStyles>
  <dxfs count="63">
    <dxf>
      <numFmt numFmtId="34" formatCode="_(&quot;$&quot;* #,##0.00_);_(&quot;$&quot;* \(#,##0.00\);_(&quot;$&quot;* &quot;-&quot;??_);_(@_)"/>
    </dxf>
    <dxf>
      <alignment horizontal="center" vertical="bottom" textRotation="0" indent="0" justifyLastLine="0" shrinkToFit="0" readingOrder="0"/>
    </dxf>
    <dxf>
      <numFmt numFmtId="12" formatCode="&quot;$&quot;#,##0.00_);[Red]\(&quot;$&quot;#,##0.00\)"/>
    </dxf>
    <dxf>
      <numFmt numFmtId="169" formatCode="&quot;$&quot;#,##0.0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6" tint="0.59999389629810485"/>
        </patternFill>
      </fill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Percent of Total Sales (by Market)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Dashboard'!$AB$2</c:f>
              <c:strCache>
                <c:ptCount val="1"/>
                <c:pt idx="0">
                  <c:v>Total Sales 
(in millions)</c:v>
                </c:pt>
              </c:strCache>
            </c:strRef>
          </c:tx>
          <c:explosion val="4"/>
          <c:dLbls>
            <c:dLbl>
              <c:idx val="0"/>
              <c:layout>
                <c:manualLayout>
                  <c:x val="5.6111329833770776E-2"/>
                  <c:y val="-6.070647419072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0311450131233597"/>
                  <c:y val="-9.53240740740740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6823490813648293E-2"/>
                  <c:y val="0.167393554972295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5422615923009625"/>
                  <c:y val="6.9486001749781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cene3d>
                <a:camera prst="orthographicFront"/>
                <a:lightRig rig="threePt" dir="t"/>
              </a:scene3d>
              <a:sp3d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'Sales Dashboard'!$AA$3:$AA$6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Dashboard'!$AB$3:$AB$6</c:f>
              <c:numCache>
                <c:formatCode>"$"#,##0.0,,</c:formatCode>
                <c:ptCount val="4"/>
                <c:pt idx="0">
                  <c:v>757850410.05000019</c:v>
                </c:pt>
                <c:pt idx="1">
                  <c:v>498731088.01000011</c:v>
                </c:pt>
                <c:pt idx="2">
                  <c:v>483989204.92999995</c:v>
                </c:pt>
                <c:pt idx="3">
                  <c:v>285280708.31999993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Genre (in millions)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Dashboard'!$AE$2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Dashboard'!$AD$3:$AD$6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Dashboard'!$AE$3:$AE$6</c:f>
              <c:numCache>
                <c:formatCode>"$"#,##0.0,,</c:formatCode>
                <c:ptCount val="4"/>
                <c:pt idx="0">
                  <c:v>749934328.6099999</c:v>
                </c:pt>
                <c:pt idx="1">
                  <c:v>451409499.53999978</c:v>
                </c:pt>
                <c:pt idx="2">
                  <c:v>513703279.69000024</c:v>
                </c:pt>
                <c:pt idx="3">
                  <c:v>310804303.47000009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6482688"/>
        <c:axId val="106488576"/>
      </c:barChart>
      <c:catAx>
        <c:axId val="106482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488576"/>
        <c:crosses val="autoZero"/>
        <c:auto val="1"/>
        <c:lblAlgn val="ctr"/>
        <c:lblOffset val="100"/>
        <c:noMultiLvlLbl val="0"/>
      </c:catAx>
      <c:valAx>
        <c:axId val="106488576"/>
        <c:scaling>
          <c:orientation val="minMax"/>
        </c:scaling>
        <c:delete val="1"/>
        <c:axPos val="l"/>
        <c:numFmt formatCode="&quot;$&quot;#,##0.0,," sourceLinked="1"/>
        <c:majorTickMark val="out"/>
        <c:minorTickMark val="none"/>
        <c:tickLblPos val="nextTo"/>
        <c:crossAx val="106482688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Format (in millions)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'Sales Dashboard'!$AH$2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 i="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Dashboard'!$AG$3:$AG$4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Dashboard'!$AH$3:$AH$4</c:f>
              <c:numCache>
                <c:formatCode>"$"#,##0.0,,</c:formatCode>
                <c:ptCount val="2"/>
                <c:pt idx="0">
                  <c:v>1645956700.3699999</c:v>
                </c:pt>
                <c:pt idx="1">
                  <c:v>379894710.94000018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7098880"/>
        <c:axId val="107100416"/>
      </c:barChart>
      <c:catAx>
        <c:axId val="107098880"/>
        <c:scaling>
          <c:orientation val="minMax"/>
        </c:scaling>
        <c:delete val="0"/>
        <c:axPos val="l"/>
        <c:majorTickMark val="none"/>
        <c:minorTickMark val="none"/>
        <c:tickLblPos val="nextTo"/>
        <c:crossAx val="107100416"/>
        <c:crosses val="autoZero"/>
        <c:auto val="1"/>
        <c:lblAlgn val="ctr"/>
        <c:lblOffset val="100"/>
        <c:noMultiLvlLbl val="0"/>
      </c:catAx>
      <c:valAx>
        <c:axId val="107100416"/>
        <c:scaling>
          <c:orientation val="minMax"/>
        </c:scaling>
        <c:delete val="1"/>
        <c:axPos val="b"/>
        <c:numFmt formatCode="&quot;$&quot;#,##0.0,," sourceLinked="1"/>
        <c:majorTickMark val="out"/>
        <c:minorTickMark val="none"/>
        <c:tickLblPos val="nextTo"/>
        <c:crossAx val="107098880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4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Unit Sales by FY (in millions)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Dashboard'!$AJ$2</c:f>
              <c:strCache>
                <c:ptCount val="1"/>
                <c:pt idx="0">
                  <c:v>Fiscal Year</c:v>
                </c:pt>
              </c:strCache>
            </c:strRef>
          </c:tx>
          <c:marker>
            <c:symbol val="none"/>
          </c:marker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val>
          <c:smooth val="0"/>
        </c:ser>
        <c:ser>
          <c:idx val="1"/>
          <c:order val="1"/>
          <c:tx>
            <c:v>Print</c:v>
          </c:tx>
          <c:spPr>
            <a:ln w="158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4188034188034191E-2"/>
                  <c:y val="6.666666666666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layout>
                <c:manualLayout>
                  <c:x val="0"/>
                  <c:y val="4.4444444444444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Dashboard'!$AK$3:$AK$15</c:f>
              <c:numCache>
                <c:formatCode>General</c:formatCode>
                <c:ptCount val="13"/>
                <c:pt idx="0">
                  <c:v>264310</c:v>
                </c:pt>
                <c:pt idx="1">
                  <c:v>512078</c:v>
                </c:pt>
                <c:pt idx="2">
                  <c:v>2702800</c:v>
                </c:pt>
                <c:pt idx="3">
                  <c:v>3438234</c:v>
                </c:pt>
                <c:pt idx="4">
                  <c:v>4046876</c:v>
                </c:pt>
                <c:pt idx="5">
                  <c:v>4977337</c:v>
                </c:pt>
                <c:pt idx="6">
                  <c:v>6851202</c:v>
                </c:pt>
                <c:pt idx="7">
                  <c:v>10172505</c:v>
                </c:pt>
                <c:pt idx="8">
                  <c:v>11394732</c:v>
                </c:pt>
                <c:pt idx="9">
                  <c:v>16835099</c:v>
                </c:pt>
                <c:pt idx="10">
                  <c:v>21265234</c:v>
                </c:pt>
                <c:pt idx="11">
                  <c:v>21960041</c:v>
                </c:pt>
                <c:pt idx="12">
                  <c:v>23279315</c:v>
                </c:pt>
              </c:numCache>
            </c:numRef>
          </c:val>
          <c:smooth val="0"/>
        </c:ser>
        <c:ser>
          <c:idx val="2"/>
          <c:order val="2"/>
          <c:tx>
            <c:v>Electronic</c:v>
          </c:tx>
          <c:spPr>
            <a:ln w="158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3760683760683759E-2"/>
                  <c:y val="-9.8148293963254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</c:dLbl>
            <c:dLbl>
              <c:idx val="11"/>
              <c:delete val="1"/>
            </c:dLbl>
            <c:dLbl>
              <c:idx val="12"/>
              <c:layout>
                <c:manualLayout>
                  <c:x val="0"/>
                  <c:y val="-4.9999999999999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</c:dLbls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Dashboard'!$AL$3:$AL$15</c:f>
              <c:numCache>
                <c:formatCode>General</c:formatCode>
                <c:ptCount val="13"/>
                <c:pt idx="0">
                  <c:v>264492</c:v>
                </c:pt>
                <c:pt idx="1">
                  <c:v>615825</c:v>
                </c:pt>
                <c:pt idx="2">
                  <c:v>1384214</c:v>
                </c:pt>
                <c:pt idx="3">
                  <c:v>1640041</c:v>
                </c:pt>
                <c:pt idx="4">
                  <c:v>2412339</c:v>
                </c:pt>
                <c:pt idx="5">
                  <c:v>3238305</c:v>
                </c:pt>
                <c:pt idx="6">
                  <c:v>5215878</c:v>
                </c:pt>
                <c:pt idx="7">
                  <c:v>6880773</c:v>
                </c:pt>
                <c:pt idx="8">
                  <c:v>10397368</c:v>
                </c:pt>
                <c:pt idx="9">
                  <c:v>14384523</c:v>
                </c:pt>
                <c:pt idx="10">
                  <c:v>23681345</c:v>
                </c:pt>
                <c:pt idx="11">
                  <c:v>32806980</c:v>
                </c:pt>
                <c:pt idx="12">
                  <c:v>55724773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5088"/>
        <c:axId val="107226624"/>
      </c:lineChart>
      <c:catAx>
        <c:axId val="10722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26624"/>
        <c:crosses val="autoZero"/>
        <c:auto val="1"/>
        <c:lblAlgn val="ctr"/>
        <c:lblOffset val="100"/>
        <c:noMultiLvlLbl val="0"/>
      </c:catAx>
      <c:valAx>
        <c:axId val="107226624"/>
        <c:scaling>
          <c:orientation val="minMax"/>
        </c:scaling>
        <c:delete val="0"/>
        <c:axPos val="l"/>
        <c:numFmt formatCode="#,##0,," sourceLinked="0"/>
        <c:majorTickMark val="out"/>
        <c:minorTickMark val="none"/>
        <c:tickLblPos val="nextTo"/>
        <c:crossAx val="107225088"/>
        <c:crosses val="autoZero"/>
        <c:crossBetween val="midCat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5535197523386503"/>
          <c:y val="0.12222222222222222"/>
          <c:w val="0.37439372812773403"/>
          <c:h val="0.10046062992125984"/>
        </c:manualLayout>
      </c:layout>
      <c:overlay val="0"/>
    </c:legend>
    <c:plotVisOnly val="1"/>
    <c:dispBlanksAs val="gap"/>
    <c:showDLblsOverMax val="0"/>
  </c:chart>
  <c:spPr>
    <a:ln w="25400">
      <a:solidFill>
        <a:schemeClr val="accent3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FORECAST: Unit Sales by FY (in millions)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Sales</c:v>
          </c:tx>
          <c:spPr>
            <a:solidFill>
              <a:schemeClr val="accent1">
                <a:alpha val="30000"/>
              </a:schemeClr>
            </a:solidFill>
            <a:ln>
              <a:noFill/>
            </a:ln>
          </c:spPr>
          <c:invertIfNegative val="0"/>
          <c:trendline>
            <c:name>Forecast</c:name>
            <c:spPr>
              <a:ln w="25400" cmpd="sng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  <c:trendlineType val="power"/>
            <c:forward val="2"/>
            <c:dispRSqr val="0"/>
            <c:dispEq val="0"/>
          </c:trendline>
          <c:val>
            <c:numRef>
              <c:f>'Sales Dashboard'!$AN$3:$AN$15</c:f>
              <c:numCache>
                <c:formatCode>"$"#,##0.0,,</c:formatCode>
                <c:ptCount val="13"/>
                <c:pt idx="0">
                  <c:v>3832258.48</c:v>
                </c:pt>
                <c:pt idx="1">
                  <c:v>8701500.9700000007</c:v>
                </c:pt>
                <c:pt idx="2">
                  <c:v>40865053.359999992</c:v>
                </c:pt>
                <c:pt idx="3">
                  <c:v>51055026.750000015</c:v>
                </c:pt>
                <c:pt idx="4">
                  <c:v>60618765.850000016</c:v>
                </c:pt>
                <c:pt idx="5">
                  <c:v>74423324.580000028</c:v>
                </c:pt>
                <c:pt idx="6">
                  <c:v>101689193.69999996</c:v>
                </c:pt>
                <c:pt idx="7">
                  <c:v>148088612.71999988</c:v>
                </c:pt>
                <c:pt idx="8">
                  <c:v>171792498.50000024</c:v>
                </c:pt>
                <c:pt idx="9">
                  <c:v>251645368.28000036</c:v>
                </c:pt>
                <c:pt idx="10">
                  <c:v>330389929.20999998</c:v>
                </c:pt>
                <c:pt idx="11">
                  <c:v>357862725.79000002</c:v>
                </c:pt>
                <c:pt idx="12">
                  <c:v>424887153.11999971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82656"/>
        <c:axId val="107384192"/>
      </c:barChart>
      <c:lineChart>
        <c:grouping val="standard"/>
        <c:varyColors val="0"/>
        <c:ser>
          <c:idx val="0"/>
          <c:order val="0"/>
          <c:tx>
            <c:strRef>
              <c:f>'Sales Dashboard'!$AJ$2</c:f>
              <c:strCache>
                <c:ptCount val="1"/>
                <c:pt idx="0">
                  <c:v>Fiscal Year</c:v>
                </c:pt>
              </c:strCache>
            </c:strRef>
          </c:tx>
          <c:marker>
            <c:symbol val="none"/>
          </c:marker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82656"/>
        <c:axId val="107384192"/>
      </c:lineChart>
      <c:lineChart>
        <c:grouping val="standard"/>
        <c:varyColors val="0"/>
        <c:ser>
          <c:idx val="1"/>
          <c:order val="1"/>
          <c:tx>
            <c:v>Print</c:v>
          </c:tx>
          <c:spPr>
            <a:ln w="285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4188034188034191E-2"/>
                  <c:y val="6.666666666666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layout>
                <c:manualLayout>
                  <c:x val="-3.5943522174066919E-2"/>
                  <c:y val="8.6856707523885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name>Forecast</c:name>
            <c:spPr>
              <a:ln>
                <a:solidFill>
                  <a:srgbClr val="C00000"/>
                </a:solidFill>
                <a:prstDash val="dash"/>
              </a:ln>
            </c:spPr>
            <c:trendlineType val="power"/>
            <c:forward val="2"/>
            <c:dispRSqr val="0"/>
            <c:dispEq val="0"/>
          </c:trendline>
          <c:val>
            <c:numRef>
              <c:f>'Sales Dashboard'!$AK$3:$AK$15</c:f>
              <c:numCache>
                <c:formatCode>General</c:formatCode>
                <c:ptCount val="13"/>
                <c:pt idx="0">
                  <c:v>264310</c:v>
                </c:pt>
                <c:pt idx="1">
                  <c:v>512078</c:v>
                </c:pt>
                <c:pt idx="2">
                  <c:v>2702800</c:v>
                </c:pt>
                <c:pt idx="3">
                  <c:v>3438234</c:v>
                </c:pt>
                <c:pt idx="4">
                  <c:v>4046876</c:v>
                </c:pt>
                <c:pt idx="5">
                  <c:v>4977337</c:v>
                </c:pt>
                <c:pt idx="6">
                  <c:v>6851202</c:v>
                </c:pt>
                <c:pt idx="7">
                  <c:v>10172505</c:v>
                </c:pt>
                <c:pt idx="8">
                  <c:v>11394732</c:v>
                </c:pt>
                <c:pt idx="9">
                  <c:v>16835099</c:v>
                </c:pt>
                <c:pt idx="10">
                  <c:v>21265234</c:v>
                </c:pt>
                <c:pt idx="11">
                  <c:v>21960041</c:v>
                </c:pt>
                <c:pt idx="12">
                  <c:v>23279315</c:v>
                </c:pt>
              </c:numCache>
            </c:numRef>
          </c:val>
          <c:smooth val="0"/>
        </c:ser>
        <c:ser>
          <c:idx val="2"/>
          <c:order val="2"/>
          <c:tx>
            <c:v>Electronic</c:v>
          </c:tx>
          <c:spPr>
            <a:ln w="285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3760683760683759E-2"/>
                  <c:y val="-9.8148293963254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</c:dLbl>
            <c:dLbl>
              <c:idx val="11"/>
              <c:delete val="1"/>
            </c:dLbl>
            <c:dLbl>
              <c:idx val="12"/>
              <c:layout>
                <c:manualLayout>
                  <c:x val="-3.4231925880063734E-2"/>
                  <c:y val="-5.0000052180356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</c:dLbls>
          <c:trendline>
            <c:name>Forecast</c:name>
            <c:spPr>
              <a:ln>
                <a:solidFill>
                  <a:schemeClr val="accent3"/>
                </a:solidFill>
                <a:prstDash val="dash"/>
              </a:ln>
            </c:spPr>
            <c:trendlineType val="exp"/>
            <c:forward val="2"/>
            <c:dispRSqr val="0"/>
            <c:dispEq val="0"/>
          </c:trendline>
          <c:val>
            <c:numRef>
              <c:f>'Sales Dashboard'!$AL$3:$AL$15</c:f>
              <c:numCache>
                <c:formatCode>General</c:formatCode>
                <c:ptCount val="13"/>
                <c:pt idx="0">
                  <c:v>264492</c:v>
                </c:pt>
                <c:pt idx="1">
                  <c:v>615825</c:v>
                </c:pt>
                <c:pt idx="2">
                  <c:v>1384214</c:v>
                </c:pt>
                <c:pt idx="3">
                  <c:v>1640041</c:v>
                </c:pt>
                <c:pt idx="4">
                  <c:v>2412339</c:v>
                </c:pt>
                <c:pt idx="5">
                  <c:v>3238305</c:v>
                </c:pt>
                <c:pt idx="6">
                  <c:v>5215878</c:v>
                </c:pt>
                <c:pt idx="7">
                  <c:v>6880773</c:v>
                </c:pt>
                <c:pt idx="8">
                  <c:v>10397368</c:v>
                </c:pt>
                <c:pt idx="9">
                  <c:v>14384523</c:v>
                </c:pt>
                <c:pt idx="10">
                  <c:v>23681345</c:v>
                </c:pt>
                <c:pt idx="11">
                  <c:v>32806980</c:v>
                </c:pt>
                <c:pt idx="12">
                  <c:v>55724773</c:v>
                </c:pt>
              </c:numCache>
            </c:numRef>
          </c:val>
          <c:smooth val="0"/>
        </c:ser>
        <c:ser>
          <c:idx val="3"/>
          <c:order val="3"/>
          <c:tx>
            <c:v>Combined</c:v>
          </c:tx>
          <c:marker>
            <c:symbol val="none"/>
          </c:marker>
          <c:val>
            <c:numRef>
              <c:f>'Sales Dashboard'!$AM$3:$AM$15</c:f>
              <c:numCache>
                <c:formatCode>General</c:formatCode>
                <c:ptCount val="13"/>
                <c:pt idx="0">
                  <c:v>528802</c:v>
                </c:pt>
                <c:pt idx="1">
                  <c:v>1127903</c:v>
                </c:pt>
                <c:pt idx="2">
                  <c:v>4087014</c:v>
                </c:pt>
                <c:pt idx="3">
                  <c:v>5078275</c:v>
                </c:pt>
                <c:pt idx="4">
                  <c:v>6459215</c:v>
                </c:pt>
                <c:pt idx="5">
                  <c:v>8215642</c:v>
                </c:pt>
                <c:pt idx="6">
                  <c:v>12067080</c:v>
                </c:pt>
                <c:pt idx="7">
                  <c:v>17053278</c:v>
                </c:pt>
                <c:pt idx="8">
                  <c:v>21792100</c:v>
                </c:pt>
                <c:pt idx="9">
                  <c:v>31219622</c:v>
                </c:pt>
                <c:pt idx="10">
                  <c:v>44946579</c:v>
                </c:pt>
                <c:pt idx="11">
                  <c:v>54767021</c:v>
                </c:pt>
                <c:pt idx="12">
                  <c:v>79004088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97408"/>
        <c:axId val="107295872"/>
      </c:lineChart>
      <c:catAx>
        <c:axId val="1073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84192"/>
        <c:crosses val="autoZero"/>
        <c:auto val="1"/>
        <c:lblAlgn val="ctr"/>
        <c:lblOffset val="100"/>
        <c:noMultiLvlLbl val="0"/>
      </c:catAx>
      <c:valAx>
        <c:axId val="107384192"/>
        <c:scaling>
          <c:orientation val="minMax"/>
        </c:scaling>
        <c:delete val="0"/>
        <c:axPos val="l"/>
        <c:numFmt formatCode="&quot;$&quot;#,##0,," sourceLinked="0"/>
        <c:majorTickMark val="out"/>
        <c:minorTickMark val="none"/>
        <c:tickLblPos val="nextTo"/>
        <c:crossAx val="107382656"/>
        <c:crosses val="autoZero"/>
        <c:crossBetween val="between"/>
      </c:valAx>
      <c:valAx>
        <c:axId val="107295872"/>
        <c:scaling>
          <c:orientation val="minMax"/>
        </c:scaling>
        <c:delete val="0"/>
        <c:axPos val="r"/>
        <c:numFmt formatCode="#,##0,," sourceLinked="0"/>
        <c:majorTickMark val="out"/>
        <c:minorTickMark val="none"/>
        <c:tickLblPos val="nextTo"/>
        <c:crossAx val="107297408"/>
        <c:crosses val="max"/>
        <c:crossBetween val="between"/>
      </c:valAx>
      <c:catAx>
        <c:axId val="10729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07295872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5.1711636725411708E-2"/>
          <c:y val="7.9522862823061632E-2"/>
          <c:w val="0.89999991913718291"/>
          <c:h val="7.996243014354816E-2"/>
        </c:manualLayout>
      </c:layout>
      <c:overlay val="0"/>
    </c:legend>
    <c:plotVisOnly val="1"/>
    <c:dispBlanksAs val="gap"/>
    <c:showDLblsOverMax val="0"/>
  </c:chart>
  <c:spPr>
    <a:ln w="25400">
      <a:solidFill>
        <a:schemeClr val="accent3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0</xdr:row>
      <xdr:rowOff>76200</xdr:rowOff>
    </xdr:from>
    <xdr:to>
      <xdr:col>4</xdr:col>
      <xdr:colOff>549592</xdr:colOff>
      <xdr:row>10</xdr:row>
      <xdr:rowOff>57150</xdr:rowOff>
    </xdr:to>
    <xdr:graphicFrame macro="">
      <xdr:nvGraphicFramePr>
        <xdr:cNvPr id="3" name="Percent of Total 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10</xdr:row>
      <xdr:rowOff>104775</xdr:rowOff>
    </xdr:from>
    <xdr:to>
      <xdr:col>4</xdr:col>
      <xdr:colOff>549592</xdr:colOff>
      <xdr:row>22</xdr:row>
      <xdr:rowOff>0</xdr:rowOff>
    </xdr:to>
    <xdr:graphicFrame macro="">
      <xdr:nvGraphicFramePr>
        <xdr:cNvPr id="4" name="Total Sales by Gen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0</xdr:row>
      <xdr:rowOff>76200</xdr:rowOff>
    </xdr:from>
    <xdr:to>
      <xdr:col>12</xdr:col>
      <xdr:colOff>136207</xdr:colOff>
      <xdr:row>10</xdr:row>
      <xdr:rowOff>57150</xdr:rowOff>
    </xdr:to>
    <xdr:graphicFrame macro="">
      <xdr:nvGraphicFramePr>
        <xdr:cNvPr id="7" name="Total Sales by Form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14287</xdr:colOff>
      <xdr:row>10</xdr:row>
      <xdr:rowOff>104775</xdr:rowOff>
    </xdr:from>
    <xdr:to>
      <xdr:col>12</xdr:col>
      <xdr:colOff>136207</xdr:colOff>
      <xdr:row>22</xdr:row>
      <xdr:rowOff>0</xdr:rowOff>
    </xdr:to>
    <xdr:graphicFrame macro="">
      <xdr:nvGraphicFramePr>
        <xdr:cNvPr id="11" name="Unit Sales by 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57151</xdr:colOff>
      <xdr:row>22</xdr:row>
      <xdr:rowOff>114300</xdr:rowOff>
    </xdr:from>
    <xdr:to>
      <xdr:col>12</xdr:col>
      <xdr:colOff>161925</xdr:colOff>
      <xdr:row>47</xdr:row>
      <xdr:rowOff>142875</xdr:rowOff>
    </xdr:to>
    <xdr:graphicFrame macro="">
      <xdr:nvGraphicFramePr>
        <xdr:cNvPr id="10" name="Unit Sales by F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J30" totalsRowShown="0" headerRowDxfId="56" dataDxfId="55">
  <autoFilter ref="A1:J30"/>
  <sortState ref="A2:J30">
    <sortCondition ref="A1:A30"/>
  </sortState>
  <tableColumns count="10">
    <tableColumn id="1" name="AuthorID" dataDxfId="54"/>
    <tableColumn id="2" name="Initial_x000a_Contract Date" dataDxfId="53"/>
    <tableColumn id="3" name="Years_x000a_Under Contract" dataDxfId="52"/>
    <tableColumn id="4" name="Number of_x000a_Books in Print" dataDxfId="51">
      <calculatedColumnFormula>SUM(IF(FREQUENCY(MATCH(INDIRECT(CONCATENATE("Sales!","B",MATCH('Summary Data'!$A2,Author,0)+1,":","B",MATCH('Summary Data'!$A2,Author,1)+1,)),Title,0),MATCH(Title,Title,0))&gt;0,1))</calculatedColumnFormula>
    </tableColumn>
    <tableColumn id="5" name="Number of_x000a_Books Sold" dataDxfId="50" dataCellStyle="Comma">
      <calculatedColumnFormula>SUMIF(Author,'Summary Data'!$A2,Total_Units_to_Date)</calculatedColumnFormula>
    </tableColumn>
    <tableColumn id="6" name="Income_x000a_Earned" dataDxfId="49" dataCellStyle="Currency">
      <calculatedColumnFormula>SUMIF(Author,'Summary Data'!$A2,Total_Earnings_to_Date)</calculatedColumnFormula>
    </tableColumn>
    <tableColumn id="7" name="Early_x000a_Producer?" dataDxfId="48">
      <calculatedColumnFormula>IF(AND(Years_Under_Contract&lt;2,Number_of_Books_in_Print&gt;4)=TRUE,"Yes","No")</calculatedColumnFormula>
    </tableColumn>
    <tableColumn id="8" name="5+ Years_x000a_or High_x000a_Producer?" dataDxfId="47">
      <calculatedColumnFormula>IF(OR(Years_Under_Contract&gt;5,Number_of_Books_in_Print&gt;=10)=TRUE,"Yes","No")</calculatedColumnFormula>
    </tableColumn>
    <tableColumn id="9" name="5+ Years_x000a_and 350K+ Units_x000a_Sold or $1M+ Earned?" dataDxfId="46">
      <calculatedColumnFormula>IF(AND(Years_Under_Contract&gt;5,OR(Number_of_Books_in_Print&gt;350000,Income_Earned&gt;=1000000))=TRUE,"Yes","No")</calculatedColumnFormula>
    </tableColumn>
    <tableColumn id="10" name="Royalty_x000a_Rate" dataDxfId="45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blSalesData" displayName="tblSalesData" ref="A1:U436" totalsRowCount="1" headerRowDxfId="39" dataDxfId="38" totalsRowDxfId="37">
  <autoFilter ref="A1:U435"/>
  <sortState ref="A2:U435">
    <sortCondition descending="1" ref="D1:D435"/>
  </sortState>
  <tableColumns count="21">
    <tableColumn id="1" name="Author" totalsRowLabel="Total" dataDxfId="36"/>
    <tableColumn id="2" name="Title" dataDxfId="35"/>
    <tableColumn id="3" name="Genre" dataDxfId="34"/>
    <tableColumn id="4" name="Format" dataDxfId="33"/>
    <tableColumn id="5" name="Market" dataDxfId="32"/>
    <tableColumn id="8" name="FY 2000" totalsRowFunction="sum" dataDxfId="31" totalsRowDxfId="30"/>
    <tableColumn id="9" name="FY 2001" totalsRowFunction="sum" dataDxfId="29" totalsRowDxfId="28"/>
    <tableColumn id="10" name="FY 2002" totalsRowFunction="sum" dataDxfId="27" totalsRowDxfId="26"/>
    <tableColumn id="11" name="FY 2003" totalsRowFunction="sum" dataDxfId="25" totalsRowDxfId="24"/>
    <tableColumn id="12" name="FY 2004" totalsRowFunction="sum" dataDxfId="23" totalsRowDxfId="22"/>
    <tableColumn id="13" name="FY 2005" totalsRowFunction="sum" dataDxfId="21" totalsRowDxfId="20"/>
    <tableColumn id="14" name="FY 2006" totalsRowFunction="sum" dataDxfId="19" totalsRowDxfId="18"/>
    <tableColumn id="15" name="FY 2007" totalsRowFunction="sum" dataDxfId="17" totalsRowDxfId="16"/>
    <tableColumn id="16" name="FY 2008" totalsRowFunction="sum" dataDxfId="15" totalsRowDxfId="14"/>
    <tableColumn id="17" name="FY 2009" totalsRowFunction="sum" dataDxfId="13" totalsRowDxfId="12"/>
    <tableColumn id="18" name="FY 2010" totalsRowFunction="sum" dataDxfId="11" totalsRowDxfId="10"/>
    <tableColumn id="19" name="FY 2011" totalsRowFunction="sum" dataDxfId="9" totalsRowDxfId="8"/>
    <tableColumn id="20" name="FY 2012" totalsRowFunction="sum" dataDxfId="7" totalsRowDxfId="6"/>
    <tableColumn id="6" name="Total Units _x000a_to Date" totalsRowFunction="sum" dataDxfId="5" totalsRowDxfId="4">
      <calculatedColumnFormula>SUM(tblSalesData[[#This Row],[FY 2000]:[FY 2012]])</calculatedColumnFormula>
    </tableColumn>
    <tableColumn id="7" name="Sell Price" dataDxfId="3" totalsRowDxfId="2"/>
    <tableColumn id="21" name="Total Earnings _x000a_to Date" totalsRowFunction="sum" dataDxfId="1" totalsRowDxfId="0" dataCellStyle="Currency">
      <calculatedColumnFormula>tblSalesData[[#This Row],[Total Units 
to Date]]*tblSalesData[[#This Row],[Sell Price]]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2" zoomScaleNormal="100" workbookViewId="0">
      <selection activeCell="D3" sqref="D3"/>
    </sheetView>
  </sheetViews>
  <sheetFormatPr defaultRowHeight="15" x14ac:dyDescent="0.25"/>
  <cols>
    <col min="1" max="1" width="13.85546875" customWidth="1"/>
    <col min="2" max="2" width="16.7109375" customWidth="1"/>
    <col min="3" max="3" width="19.28515625" customWidth="1"/>
    <col min="4" max="4" width="18" customWidth="1"/>
    <col min="5" max="5" width="16" customWidth="1"/>
    <col min="6" max="6" width="14.7109375" customWidth="1"/>
    <col min="7" max="7" width="14" customWidth="1"/>
    <col min="8" max="8" width="14.5703125" customWidth="1"/>
    <col min="9" max="9" width="14.140625" customWidth="1"/>
    <col min="10" max="10" width="10.42578125" customWidth="1"/>
  </cols>
  <sheetData>
    <row r="1" spans="1:10" ht="81" customHeight="1" x14ac:dyDescent="0.25">
      <c r="A1" s="4" t="s">
        <v>0</v>
      </c>
      <c r="B1" s="7" t="s">
        <v>3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7</v>
      </c>
      <c r="H1" s="7" t="s">
        <v>8</v>
      </c>
      <c r="I1" s="7" t="s">
        <v>9</v>
      </c>
      <c r="J1" s="7" t="s">
        <v>6</v>
      </c>
    </row>
    <row r="2" spans="1:10" ht="15.75" customHeight="1" x14ac:dyDescent="0.25">
      <c r="A2" s="4">
        <v>1005</v>
      </c>
      <c r="B2" s="16">
        <v>40564</v>
      </c>
      <c r="C2" s="17">
        <v>1.3963039014373717</v>
      </c>
      <c r="D2" s="4">
        <f ca="1">SUM(IF(FREQUENCY(MATCH(INDIRECT(CONCATENATE("Sales!","B",MATCH('Summary Data'!$A2,Author,0)+1,":","B",MATCH('Summary Data'!$A2,Author,1)+1,)),Title,0),MATCH(Title,Title,0))&gt;0,1))</f>
        <v>9</v>
      </c>
      <c r="E2" s="13">
        <f>SUMIF(Author,'Summary Data'!$A2,Total_Units_to_Date)</f>
        <v>176533</v>
      </c>
      <c r="F2" s="14">
        <f>SUMIF(Author,'Summary Data'!$A2,Total_Earnings_to_Date)</f>
        <v>1698867.1700000002</v>
      </c>
      <c r="G2" s="4" t="str">
        <f t="shared" ref="G2:G30" ca="1" si="0">IF(AND(Years_Under_Contract&lt;2,Number_of_Books_in_Print&gt;4)=TRUE,"Yes","No")</f>
        <v>Yes</v>
      </c>
      <c r="H2" s="4" t="str">
        <f t="shared" ref="H2:H30" ca="1" si="1">IF(OR(Years_Under_Contract&gt;5,Number_of_Books_in_Print&gt;=10)=TRUE,"Yes","No")</f>
        <v>No</v>
      </c>
      <c r="I2" s="4" t="str">
        <f t="shared" ref="I2:I30" ca="1" si="2">IF(AND(Years_Under_Contract&gt;5,OR(Number_of_Books_in_Print&gt;350000,Income_Earned&gt;=1000000))=TRUE,"Yes","No")</f>
        <v>No</v>
      </c>
      <c r="J2" s="15">
        <f t="shared" ref="J2:J30" ca="1" si="3">IF(AND(Years_Under_Contract&gt;5,OR(Number_of_Books_in_Print&gt;10,Income_Earned&gt;1000000)),0.2,IF(Number_of_Books_in_Print&gt;10,0.15,0.09))</f>
        <v>0.09</v>
      </c>
    </row>
    <row r="3" spans="1:10" ht="15" customHeight="1" x14ac:dyDescent="0.25">
      <c r="A3" s="4">
        <v>1006</v>
      </c>
      <c r="B3" s="16">
        <v>36814</v>
      </c>
      <c r="C3" s="17">
        <v>11.663244353182751</v>
      </c>
      <c r="D3" s="4">
        <f ca="1">SUM(IF(FREQUENCY(MATCH(INDIRECT(CONCATENATE("Sales!","B",MATCH('Summary Data'!$A3,Author,0)+1,":","B",MATCH('Summary Data'!$A3,Author,1)+1,)),Title,0),MATCH(Title,Title,0))&gt;0,1))</f>
        <v>2</v>
      </c>
      <c r="E3" s="13">
        <f>SUMIF(Author,'Summary Data'!$A3,Total_Units_to_Date)</f>
        <v>214443</v>
      </c>
      <c r="F3" s="14">
        <f>SUMIF(Author,'Summary Data'!$A3,Total_Earnings_to_Date)</f>
        <v>2228010.5699999998</v>
      </c>
      <c r="G3" s="4" t="str">
        <f t="shared" ca="1" si="0"/>
        <v>No</v>
      </c>
      <c r="H3" s="4" t="str">
        <f t="shared" ca="1" si="1"/>
        <v>Yes</v>
      </c>
      <c r="I3" s="4" t="str">
        <f t="shared" ca="1" si="2"/>
        <v>Yes</v>
      </c>
      <c r="J3" s="15">
        <f t="shared" ca="1" si="3"/>
        <v>0.2</v>
      </c>
    </row>
    <row r="4" spans="1:10" ht="15" customHeight="1" x14ac:dyDescent="0.25">
      <c r="A4" s="4">
        <v>1008</v>
      </c>
      <c r="B4" s="16">
        <v>40280</v>
      </c>
      <c r="C4" s="17">
        <v>2.1738535249828885</v>
      </c>
      <c r="D4" s="4">
        <f ca="1">SUM(IF(FREQUENCY(MATCH(INDIRECT(CONCATENATE("Sales!","B",MATCH('Summary Data'!$A4,Author,0)+1,":","B",MATCH('Summary Data'!$A4,Author,1)+1,)),Title,0),MATCH(Title,Title,0))&gt;0,1))</f>
        <v>39</v>
      </c>
      <c r="E4" s="13">
        <f>SUMIF(Author,'Summary Data'!$A4,Total_Units_to_Date)</f>
        <v>2912651</v>
      </c>
      <c r="F4" s="14">
        <f>SUMIF(Author,'Summary Data'!$A4,Total_Earnings_to_Date)</f>
        <v>10652930.490000002</v>
      </c>
      <c r="G4" s="4" t="str">
        <f t="shared" ca="1" si="0"/>
        <v>No</v>
      </c>
      <c r="H4" s="4" t="str">
        <f t="shared" ca="1" si="1"/>
        <v>Yes</v>
      </c>
      <c r="I4" s="4" t="str">
        <f t="shared" ca="1" si="2"/>
        <v>No</v>
      </c>
      <c r="J4" s="15">
        <f t="shared" ca="1" si="3"/>
        <v>0.15</v>
      </c>
    </row>
    <row r="5" spans="1:10" ht="15" customHeight="1" x14ac:dyDescent="0.25">
      <c r="A5" s="4">
        <v>1011</v>
      </c>
      <c r="B5" s="16">
        <v>37158</v>
      </c>
      <c r="C5" s="17">
        <v>10.721423682409309</v>
      </c>
      <c r="D5" s="4">
        <f ca="1">SUM(IF(FREQUENCY(MATCH(INDIRECT(CONCATENATE("Sales!","B",MATCH('Summary Data'!$A5,Author,0)+1,":","B",MATCH('Summary Data'!$A5,Author,1)+1,)),Title,0),MATCH(Title,Title,0))&gt;0,1))</f>
        <v>40</v>
      </c>
      <c r="E5" s="13">
        <f>SUMIF(Author,'Summary Data'!$A5,Total_Units_to_Date)</f>
        <v>179176</v>
      </c>
      <c r="F5" s="14">
        <f>SUMIF(Author,'Summary Data'!$A5,Total_Earnings_to_Date)</f>
        <v>1434234.2399999998</v>
      </c>
      <c r="G5" s="4" t="str">
        <f t="shared" ca="1" si="0"/>
        <v>No</v>
      </c>
      <c r="H5" s="4" t="str">
        <f t="shared" ca="1" si="1"/>
        <v>Yes</v>
      </c>
      <c r="I5" s="4" t="str">
        <f t="shared" ca="1" si="2"/>
        <v>Yes</v>
      </c>
      <c r="J5" s="15">
        <f t="shared" ca="1" si="3"/>
        <v>0.2</v>
      </c>
    </row>
    <row r="6" spans="1:10" ht="15" customHeight="1" x14ac:dyDescent="0.25">
      <c r="A6" s="4">
        <v>1012</v>
      </c>
      <c r="B6" s="16">
        <v>39950</v>
      </c>
      <c r="C6" s="17">
        <v>3.077344284736482</v>
      </c>
      <c r="D6" s="4">
        <f ca="1">SUM(IF(FREQUENCY(MATCH(INDIRECT(CONCATENATE("Sales!","B",MATCH('Summary Data'!$A6,Author,0)+1,":","B",MATCH('Summary Data'!$A6,Author,1)+1,)),Title,0),MATCH(Title,Title,0))&gt;0,1))</f>
        <v>39</v>
      </c>
      <c r="E6" s="13">
        <f>SUMIF(Author,'Summary Data'!$A6,Total_Units_to_Date)</f>
        <v>15677527</v>
      </c>
      <c r="F6" s="14">
        <f>SUMIF(Author,'Summary Data'!$A6,Total_Earnings_to_Date)</f>
        <v>110232293.72999999</v>
      </c>
      <c r="G6" s="4" t="str">
        <f t="shared" ca="1" si="0"/>
        <v>No</v>
      </c>
      <c r="H6" s="4" t="str">
        <f t="shared" ca="1" si="1"/>
        <v>Yes</v>
      </c>
      <c r="I6" s="4" t="str">
        <f t="shared" ca="1" si="2"/>
        <v>No</v>
      </c>
      <c r="J6" s="15">
        <f t="shared" ca="1" si="3"/>
        <v>0.15</v>
      </c>
    </row>
    <row r="7" spans="1:10" ht="15" customHeight="1" x14ac:dyDescent="0.25">
      <c r="A7" s="4">
        <v>1013</v>
      </c>
      <c r="B7" s="16">
        <v>37824</v>
      </c>
      <c r="C7" s="17">
        <v>8.8980150581793289</v>
      </c>
      <c r="D7" s="4">
        <f ca="1">SUM(IF(FREQUENCY(MATCH(INDIRECT(CONCATENATE("Sales!","B",MATCH('Summary Data'!$A7,Author,0)+1,":","B",MATCH('Summary Data'!$A7,Author,1)+1,)),Title,0),MATCH(Title,Title,0))&gt;0,1))</f>
        <v>40</v>
      </c>
      <c r="E7" s="13">
        <f>SUMIF(Author,'Summary Data'!$A7,Total_Units_to_Date)</f>
        <v>2130380</v>
      </c>
      <c r="F7" s="14">
        <f>SUMIF(Author,'Summary Data'!$A7,Total_Earnings_to_Date)</f>
        <v>12304187.200000001</v>
      </c>
      <c r="G7" s="4" t="str">
        <f t="shared" ca="1" si="0"/>
        <v>No</v>
      </c>
      <c r="H7" s="4" t="str">
        <f t="shared" ca="1" si="1"/>
        <v>Yes</v>
      </c>
      <c r="I7" s="4" t="str">
        <f t="shared" ca="1" si="2"/>
        <v>Yes</v>
      </c>
      <c r="J7" s="15">
        <f t="shared" ca="1" si="3"/>
        <v>0.2</v>
      </c>
    </row>
    <row r="8" spans="1:10" ht="15" customHeight="1" x14ac:dyDescent="0.25">
      <c r="A8" s="4">
        <v>1014</v>
      </c>
      <c r="B8" s="16">
        <v>38783</v>
      </c>
      <c r="C8" s="17">
        <v>6.2724161533196439</v>
      </c>
      <c r="D8" s="4">
        <f ca="1">SUM(IF(FREQUENCY(MATCH(INDIRECT(CONCATENATE("Sales!","B",MATCH('Summary Data'!$A8,Author,0)+1,":","B",MATCH('Summary Data'!$A8,Author,1)+1,)),Title,0),MATCH(Title,Title,0))&gt;0,1))</f>
        <v>39</v>
      </c>
      <c r="E8" s="13">
        <f>SUMIF(Author,'Summary Data'!$A8,Total_Units_to_Date)</f>
        <v>9433584</v>
      </c>
      <c r="F8" s="14">
        <f>SUMIF(Author,'Summary Data'!$A8,Total_Earnings_to_Date)</f>
        <v>51875269.159999996</v>
      </c>
      <c r="G8" s="4" t="str">
        <f t="shared" ca="1" si="0"/>
        <v>No</v>
      </c>
      <c r="H8" s="4" t="str">
        <f t="shared" ca="1" si="1"/>
        <v>Yes</v>
      </c>
      <c r="I8" s="4" t="str">
        <f t="shared" ca="1" si="2"/>
        <v>Yes</v>
      </c>
      <c r="J8" s="15">
        <f t="shared" ca="1" si="3"/>
        <v>0.2</v>
      </c>
    </row>
    <row r="9" spans="1:10" ht="15" customHeight="1" x14ac:dyDescent="0.25">
      <c r="A9" s="4">
        <v>1015</v>
      </c>
      <c r="B9" s="16">
        <v>39936</v>
      </c>
      <c r="C9" s="17">
        <v>3.1156741957563314</v>
      </c>
      <c r="D9" s="4">
        <f ca="1">SUM(IF(FREQUENCY(MATCH(INDIRECT(CONCATENATE("Sales!","B",MATCH('Summary Data'!$A9,Author,0)+1,":","B",MATCH('Summary Data'!$A9,Author,1)+1,)),Title,0),MATCH(Title,Title,0))&gt;0,1))</f>
        <v>38</v>
      </c>
      <c r="E9" s="13">
        <f>SUMIF(Author,'Summary Data'!$A9,Total_Units_to_Date)</f>
        <v>2511717</v>
      </c>
      <c r="F9" s="14">
        <f>SUMIF(Author,'Summary Data'!$A9,Total_Earnings_to_Date)</f>
        <v>12180404.33</v>
      </c>
      <c r="G9" s="4" t="str">
        <f t="shared" ca="1" si="0"/>
        <v>No</v>
      </c>
      <c r="H9" s="4" t="str">
        <f t="shared" ca="1" si="1"/>
        <v>Yes</v>
      </c>
      <c r="I9" s="4" t="str">
        <f t="shared" ca="1" si="2"/>
        <v>No</v>
      </c>
      <c r="J9" s="15">
        <f t="shared" ca="1" si="3"/>
        <v>0.15</v>
      </c>
    </row>
    <row r="10" spans="1:10" ht="15" customHeight="1" x14ac:dyDescent="0.25">
      <c r="A10" s="4">
        <v>1016</v>
      </c>
      <c r="B10" s="16">
        <v>36618</v>
      </c>
      <c r="C10" s="17">
        <v>12.199863107460644</v>
      </c>
      <c r="D10" s="4">
        <f ca="1">SUM(IF(FREQUENCY(MATCH(INDIRECT(CONCATENATE("Sales!","B",MATCH('Summary Data'!$A10,Author,0)+1,":","B",MATCH('Summary Data'!$A10,Author,1)+1,)),Title,0),MATCH(Title,Title,0))&gt;0,1))</f>
        <v>37</v>
      </c>
      <c r="E10" s="13">
        <f>SUMIF(Author,'Summary Data'!$A10,Total_Units_to_Date)</f>
        <v>12279858</v>
      </c>
      <c r="F10" s="14">
        <f>SUMIF(Author,'Summary Data'!$A10,Total_Earnings_to_Date)</f>
        <v>64236331.420000017</v>
      </c>
      <c r="G10" s="4" t="str">
        <f t="shared" ca="1" si="0"/>
        <v>No</v>
      </c>
      <c r="H10" s="4" t="str">
        <f t="shared" ca="1" si="1"/>
        <v>Yes</v>
      </c>
      <c r="I10" s="4" t="str">
        <f t="shared" ca="1" si="2"/>
        <v>Yes</v>
      </c>
      <c r="J10" s="15">
        <f t="shared" ca="1" si="3"/>
        <v>0.2</v>
      </c>
    </row>
    <row r="11" spans="1:10" ht="15" customHeight="1" x14ac:dyDescent="0.25">
      <c r="A11" s="4">
        <v>1017</v>
      </c>
      <c r="B11" s="16">
        <v>40624</v>
      </c>
      <c r="C11" s="17">
        <v>1.2320328542094456</v>
      </c>
      <c r="D11" s="4">
        <f ca="1">SUM(IF(FREQUENCY(MATCH(INDIRECT(CONCATENATE("Sales!","B",MATCH('Summary Data'!$A11,Author,0)+1,":","B",MATCH('Summary Data'!$A11,Author,1)+1,)),Title,0),MATCH(Title,Title,0))&gt;0,1))</f>
        <v>32</v>
      </c>
      <c r="E11" s="13">
        <f>SUMIF(Author,'Summary Data'!$A11,Total_Units_to_Date)</f>
        <v>970218</v>
      </c>
      <c r="F11" s="14">
        <f>SUMIF(Author,'Summary Data'!$A11,Total_Earnings_to_Date)</f>
        <v>4758853.3199999994</v>
      </c>
      <c r="G11" s="4" t="str">
        <f t="shared" ca="1" si="0"/>
        <v>Yes</v>
      </c>
      <c r="H11" s="4" t="str">
        <f t="shared" ca="1" si="1"/>
        <v>Yes</v>
      </c>
      <c r="I11" s="4" t="str">
        <f t="shared" ca="1" si="2"/>
        <v>No</v>
      </c>
      <c r="J11" s="15">
        <f t="shared" ca="1" si="3"/>
        <v>0.15</v>
      </c>
    </row>
    <row r="12" spans="1:10" ht="15" customHeight="1" x14ac:dyDescent="0.25">
      <c r="A12" s="4">
        <v>1029</v>
      </c>
      <c r="B12" s="16">
        <v>37615</v>
      </c>
      <c r="C12" s="17">
        <v>9.4702258726899391</v>
      </c>
      <c r="D12" s="4">
        <f ca="1">SUM(IF(FREQUENCY(MATCH(INDIRECT(CONCATENATE("Sales!","B",MATCH('Summary Data'!$A12,Author,0)+1,":","B",MATCH('Summary Data'!$A12,Author,1)+1,)),Title,0),MATCH(Title,Title,0))&gt;0,1))</f>
        <v>32</v>
      </c>
      <c r="E12" s="13">
        <f>SUMIF(Author,'Summary Data'!$A12,Total_Units_to_Date)</f>
        <v>3967350</v>
      </c>
      <c r="F12" s="14">
        <f>SUMIF(Author,'Summary Data'!$A12,Total_Earnings_to_Date)</f>
        <v>28238155.499999996</v>
      </c>
      <c r="G12" s="4" t="str">
        <f t="shared" ca="1" si="0"/>
        <v>No</v>
      </c>
      <c r="H12" s="4" t="str">
        <f t="shared" ca="1" si="1"/>
        <v>Yes</v>
      </c>
      <c r="I12" s="4" t="str">
        <f t="shared" ca="1" si="2"/>
        <v>Yes</v>
      </c>
      <c r="J12" s="15">
        <f t="shared" ca="1" si="3"/>
        <v>0.2</v>
      </c>
    </row>
    <row r="13" spans="1:10" ht="15" customHeight="1" x14ac:dyDescent="0.25">
      <c r="A13" s="4">
        <v>1032</v>
      </c>
      <c r="B13" s="16">
        <v>38723</v>
      </c>
      <c r="C13" s="17">
        <v>6.4366872005475706</v>
      </c>
      <c r="D13" s="4">
        <f ca="1">SUM(IF(FREQUENCY(MATCH(INDIRECT(CONCATENATE("Sales!","B",MATCH('Summary Data'!$A13,Author,0)+1,":","B",MATCH('Summary Data'!$A13,Author,1)+1,)),Title,0),MATCH(Title,Title,0))&gt;0,1))</f>
        <v>2</v>
      </c>
      <c r="E13" s="13">
        <f>SUMIF(Author,'Summary Data'!$A13,Total_Units_to_Date)</f>
        <v>2930812</v>
      </c>
      <c r="F13" s="14">
        <f>SUMIF(Author,'Summary Data'!$A13,Total_Earnings_to_Date)</f>
        <v>11452595.880000001</v>
      </c>
      <c r="G13" s="4" t="str">
        <f t="shared" ca="1" si="0"/>
        <v>No</v>
      </c>
      <c r="H13" s="4" t="str">
        <f t="shared" ca="1" si="1"/>
        <v>Yes</v>
      </c>
      <c r="I13" s="4" t="str">
        <f t="shared" ca="1" si="2"/>
        <v>Yes</v>
      </c>
      <c r="J13" s="15">
        <f t="shared" ca="1" si="3"/>
        <v>0.2</v>
      </c>
    </row>
    <row r="14" spans="1:10" ht="15" customHeight="1" x14ac:dyDescent="0.25">
      <c r="A14" s="4">
        <v>1033</v>
      </c>
      <c r="B14" s="16">
        <v>36859</v>
      </c>
      <c r="C14" s="17">
        <v>11.540041067761807</v>
      </c>
      <c r="D14" s="4">
        <f ca="1">SUM(IF(FREQUENCY(MATCH(INDIRECT(CONCATENATE("Sales!","B",MATCH('Summary Data'!$A14,Author,0)+1,":","B",MATCH('Summary Data'!$A14,Author,1)+1,)),Title,0),MATCH(Title,Title,0))&gt;0,1))</f>
        <v>33</v>
      </c>
      <c r="E14" s="13">
        <f>SUMIF(Author,'Summary Data'!$A14,Total_Units_to_Date)</f>
        <v>5705880</v>
      </c>
      <c r="F14" s="14">
        <f>SUMIF(Author,'Summary Data'!$A14,Total_Earnings_to_Date)</f>
        <v>34453579.70000001</v>
      </c>
      <c r="G14" s="4" t="str">
        <f t="shared" ca="1" si="0"/>
        <v>No</v>
      </c>
      <c r="H14" s="4" t="str">
        <f t="shared" ca="1" si="1"/>
        <v>Yes</v>
      </c>
      <c r="I14" s="4" t="str">
        <f t="shared" ca="1" si="2"/>
        <v>Yes</v>
      </c>
      <c r="J14" s="15">
        <f t="shared" ca="1" si="3"/>
        <v>0.2</v>
      </c>
    </row>
    <row r="15" spans="1:10" ht="15" customHeight="1" x14ac:dyDescent="0.25">
      <c r="A15" s="4">
        <v>1034</v>
      </c>
      <c r="B15" s="16">
        <v>37273</v>
      </c>
      <c r="C15" s="17">
        <v>10.406570841889117</v>
      </c>
      <c r="D15" s="4">
        <f ca="1">SUM(IF(FREQUENCY(MATCH(INDIRECT(CONCATENATE("Sales!","B",MATCH('Summary Data'!$A15,Author,0)+1,":","B",MATCH('Summary Data'!$A15,Author,1)+1,)),Title,0),MATCH(Title,Title,0))&gt;0,1))</f>
        <v>31</v>
      </c>
      <c r="E15" s="13">
        <f>SUMIF(Author,'Summary Data'!$A15,Total_Units_to_Date)</f>
        <v>17850256</v>
      </c>
      <c r="F15" s="14">
        <f>SUMIF(Author,'Summary Data'!$A15,Total_Earnings_to_Date)</f>
        <v>249106394.93999997</v>
      </c>
      <c r="G15" s="4" t="str">
        <f t="shared" ca="1" si="0"/>
        <v>No</v>
      </c>
      <c r="H15" s="4" t="str">
        <f t="shared" ca="1" si="1"/>
        <v>Yes</v>
      </c>
      <c r="I15" s="4" t="str">
        <f t="shared" ca="1" si="2"/>
        <v>Yes</v>
      </c>
      <c r="J15" s="15">
        <f t="shared" ca="1" si="3"/>
        <v>0.2</v>
      </c>
    </row>
    <row r="16" spans="1:10" ht="15" customHeight="1" x14ac:dyDescent="0.25">
      <c r="A16" s="4">
        <v>1037</v>
      </c>
      <c r="B16" s="16">
        <v>36708</v>
      </c>
      <c r="C16" s="17">
        <v>11.953456536618754</v>
      </c>
      <c r="D16" s="4">
        <f ca="1">SUM(IF(FREQUENCY(MATCH(INDIRECT(CONCATENATE("Sales!","B",MATCH('Summary Data'!$A16,Author,0)+1,":","B",MATCH('Summary Data'!$A16,Author,1)+1,)),Title,0),MATCH(Title,Title,0))&gt;0,1))</f>
        <v>32</v>
      </c>
      <c r="E16" s="13">
        <f>SUMIF(Author,'Summary Data'!$A16,Total_Units_to_Date)</f>
        <v>10649028</v>
      </c>
      <c r="F16" s="14">
        <f>SUMIF(Author,'Summary Data'!$A16,Total_Earnings_to_Date)</f>
        <v>66846607.719999991</v>
      </c>
      <c r="G16" s="4" t="str">
        <f t="shared" ca="1" si="0"/>
        <v>No</v>
      </c>
      <c r="H16" s="4" t="str">
        <f t="shared" ca="1" si="1"/>
        <v>Yes</v>
      </c>
      <c r="I16" s="4" t="str">
        <f t="shared" ca="1" si="2"/>
        <v>Yes</v>
      </c>
      <c r="J16" s="15">
        <f t="shared" ca="1" si="3"/>
        <v>0.2</v>
      </c>
    </row>
    <row r="17" spans="1:10" ht="15" customHeight="1" x14ac:dyDescent="0.25">
      <c r="A17" s="4">
        <v>1038</v>
      </c>
      <c r="B17" s="16">
        <v>37324</v>
      </c>
      <c r="C17" s="17">
        <v>10.266940451745381</v>
      </c>
      <c r="D17" s="4">
        <f ca="1">SUM(IF(FREQUENCY(MATCH(INDIRECT(CONCATENATE("Sales!","B",MATCH('Summary Data'!$A17,Author,0)+1,":","B",MATCH('Summary Data'!$A17,Author,1)+1,)),Title,0),MATCH(Title,Title,0))&gt;0,1))</f>
        <v>37</v>
      </c>
      <c r="E17" s="13">
        <f>SUMIF(Author,'Summary Data'!$A17,Total_Units_to_Date)</f>
        <v>92359768</v>
      </c>
      <c r="F17" s="14">
        <f>SUMIF(Author,'Summary Data'!$A17,Total_Earnings_to_Date)</f>
        <v>611137335.82000005</v>
      </c>
      <c r="G17" s="4" t="str">
        <f t="shared" ca="1" si="0"/>
        <v>No</v>
      </c>
      <c r="H17" s="4" t="str">
        <f t="shared" ca="1" si="1"/>
        <v>Yes</v>
      </c>
      <c r="I17" s="4" t="str">
        <f t="shared" ca="1" si="2"/>
        <v>Yes</v>
      </c>
      <c r="J17" s="15">
        <f t="shared" ca="1" si="3"/>
        <v>0.2</v>
      </c>
    </row>
    <row r="18" spans="1:10" ht="15" customHeight="1" x14ac:dyDescent="0.25">
      <c r="A18" s="4">
        <v>1039</v>
      </c>
      <c r="B18" s="16">
        <v>38462</v>
      </c>
      <c r="C18" s="17">
        <v>7.1512662559890483</v>
      </c>
      <c r="D18" s="4">
        <f ca="1">SUM(IF(FREQUENCY(MATCH(INDIRECT(CONCATENATE("Sales!","B",MATCH('Summary Data'!$A18,Author,0)+1,":","B",MATCH('Summary Data'!$A18,Author,1)+1,)),Title,0),MATCH(Title,Title,0))&gt;0,1))</f>
        <v>2</v>
      </c>
      <c r="E18" s="13">
        <f>SUMIF(Author,'Summary Data'!$A18,Total_Units_to_Date)</f>
        <v>22116025</v>
      </c>
      <c r="F18" s="14">
        <f>SUMIF(Author,'Summary Data'!$A18,Total_Earnings_to_Date)</f>
        <v>145479983.25000003</v>
      </c>
      <c r="G18" s="4" t="str">
        <f t="shared" ca="1" si="0"/>
        <v>No</v>
      </c>
      <c r="H18" s="4" t="str">
        <f t="shared" ca="1" si="1"/>
        <v>Yes</v>
      </c>
      <c r="I18" s="4" t="str">
        <f t="shared" ca="1" si="2"/>
        <v>Yes</v>
      </c>
      <c r="J18" s="15">
        <f t="shared" ca="1" si="3"/>
        <v>0.2</v>
      </c>
    </row>
    <row r="19" spans="1:10" ht="15" customHeight="1" x14ac:dyDescent="0.25">
      <c r="A19" s="4">
        <v>1040</v>
      </c>
      <c r="B19" s="16">
        <v>38531</v>
      </c>
      <c r="C19" s="17">
        <v>6.9623545516769338</v>
      </c>
      <c r="D19" s="4">
        <f ca="1">SUM(IF(FREQUENCY(MATCH(INDIRECT(CONCATENATE("Sales!","B",MATCH('Summary Data'!$A19,Author,0)+1,":","B",MATCH('Summary Data'!$A19,Author,1)+1,)),Title,0),MATCH(Title,Title,0))&gt;0,1))</f>
        <v>2</v>
      </c>
      <c r="E19" s="13">
        <f>SUMIF(Author,'Summary Data'!$A19,Total_Units_to_Date)</f>
        <v>2681187</v>
      </c>
      <c r="F19" s="14">
        <f>SUMIF(Author,'Summary Data'!$A19,Total_Earnings_to_Date)</f>
        <v>27121004.129999999</v>
      </c>
      <c r="G19" s="4" t="str">
        <f t="shared" ca="1" si="0"/>
        <v>No</v>
      </c>
      <c r="H19" s="4" t="str">
        <f t="shared" ca="1" si="1"/>
        <v>Yes</v>
      </c>
      <c r="I19" s="4" t="str">
        <f t="shared" ca="1" si="2"/>
        <v>Yes</v>
      </c>
      <c r="J19" s="15">
        <f t="shared" ca="1" si="3"/>
        <v>0.2</v>
      </c>
    </row>
    <row r="20" spans="1:10" ht="15" customHeight="1" x14ac:dyDescent="0.25">
      <c r="A20" s="4">
        <v>1042</v>
      </c>
      <c r="B20" s="16">
        <v>39161</v>
      </c>
      <c r="C20" s="17">
        <v>5.2375085557837098</v>
      </c>
      <c r="D20" s="4">
        <f ca="1">SUM(IF(FREQUENCY(MATCH(INDIRECT(CONCATENATE("Sales!","B",MATCH('Summary Data'!$A20,Author,0)+1,":","B",MATCH('Summary Data'!$A20,Author,1)+1,)),Title,0),MATCH(Title,Title,0))&gt;0,1))</f>
        <v>96</v>
      </c>
      <c r="E20" s="13">
        <f>SUMIF(Author,'Summary Data'!$A20,Total_Units_to_Date)</f>
        <v>517420</v>
      </c>
      <c r="F20" s="14">
        <f>SUMIF(Author,'Summary Data'!$A20,Total_Earnings_to_Date)</f>
        <v>2952950.8000000003</v>
      </c>
      <c r="G20" s="4" t="str">
        <f t="shared" ca="1" si="0"/>
        <v>No</v>
      </c>
      <c r="H20" s="4" t="str">
        <f t="shared" ca="1" si="1"/>
        <v>Yes</v>
      </c>
      <c r="I20" s="4" t="str">
        <f t="shared" ca="1" si="2"/>
        <v>Yes</v>
      </c>
      <c r="J20" s="15">
        <f t="shared" ca="1" si="3"/>
        <v>0.2</v>
      </c>
    </row>
    <row r="21" spans="1:10" ht="15" customHeight="1" x14ac:dyDescent="0.25">
      <c r="A21" s="4">
        <v>1048</v>
      </c>
      <c r="B21" s="16">
        <v>37238</v>
      </c>
      <c r="C21" s="17">
        <v>10.50239561943874</v>
      </c>
      <c r="D21" s="4">
        <f ca="1">SUM(IF(FREQUENCY(MATCH(INDIRECT(CONCATENATE("Sales!","B",MATCH('Summary Data'!$A21,Author,0)+1,":","B",MATCH('Summary Data'!$A21,Author,1)+1,)),Title,0),MATCH(Title,Title,0))&gt;0,1))</f>
        <v>98</v>
      </c>
      <c r="E21" s="13">
        <f>SUMIF(Author,'Summary Data'!$A21,Total_Units_to_Date)</f>
        <v>8610569</v>
      </c>
      <c r="F21" s="14">
        <f>SUMIF(Author,'Summary Data'!$A21,Total_Earnings_to_Date)</f>
        <v>72879842.810000002</v>
      </c>
      <c r="G21" s="4" t="str">
        <f t="shared" ca="1" si="0"/>
        <v>No</v>
      </c>
      <c r="H21" s="4" t="str">
        <f t="shared" ca="1" si="1"/>
        <v>Yes</v>
      </c>
      <c r="I21" s="4" t="str">
        <f t="shared" ca="1" si="2"/>
        <v>Yes</v>
      </c>
      <c r="J21" s="15">
        <f t="shared" ca="1" si="3"/>
        <v>0.2</v>
      </c>
    </row>
    <row r="22" spans="1:10" ht="15" customHeight="1" x14ac:dyDescent="0.25">
      <c r="A22" s="4">
        <v>1049</v>
      </c>
      <c r="B22" s="16">
        <v>37350</v>
      </c>
      <c r="C22" s="17">
        <v>10.195756331279945</v>
      </c>
      <c r="D22" s="4">
        <f ca="1">SUM(IF(FREQUENCY(MATCH(INDIRECT(CONCATENATE("Sales!","B",MATCH('Summary Data'!$A22,Author,0)+1,":","B",MATCH('Summary Data'!$A22,Author,1)+1,)),Title,0),MATCH(Title,Title,0))&gt;0,1))</f>
        <v>109</v>
      </c>
      <c r="E22" s="13">
        <f>SUMIF(Author,'Summary Data'!$A22,Total_Units_to_Date)</f>
        <v>19070978</v>
      </c>
      <c r="F22" s="14">
        <f>SUMIF(Author,'Summary Data'!$A22,Total_Earnings_to_Date)</f>
        <v>122499469.72</v>
      </c>
      <c r="G22" s="4" t="str">
        <f t="shared" ca="1" si="0"/>
        <v>No</v>
      </c>
      <c r="H22" s="4" t="str">
        <f t="shared" ca="1" si="1"/>
        <v>Yes</v>
      </c>
      <c r="I22" s="4" t="str">
        <f t="shared" ca="1" si="2"/>
        <v>Yes</v>
      </c>
      <c r="J22" s="15">
        <f t="shared" ca="1" si="3"/>
        <v>0.2</v>
      </c>
    </row>
    <row r="23" spans="1:10" ht="15" customHeight="1" x14ac:dyDescent="0.25">
      <c r="A23" s="4">
        <v>1055</v>
      </c>
      <c r="B23" s="16">
        <v>39204</v>
      </c>
      <c r="C23" s="17">
        <v>5.1197809719370291</v>
      </c>
      <c r="D23" s="4">
        <f ca="1">SUM(IF(FREQUENCY(MATCH(INDIRECT(CONCATENATE("Sales!","B",MATCH('Summary Data'!$A23,Author,0)+1,":","B",MATCH('Summary Data'!$A23,Author,1)+1,)),Title,0),MATCH(Title,Title,0))&gt;0,1))</f>
        <v>303</v>
      </c>
      <c r="E23" s="13">
        <f>SUMIF(Author,'Summary Data'!$A23,Total_Units_to_Date)</f>
        <v>2269033</v>
      </c>
      <c r="F23" s="14">
        <f>SUMIF(Author,'Summary Data'!$A23,Total_Earnings_to_Date)</f>
        <v>19902197.669999998</v>
      </c>
      <c r="G23" s="4" t="str">
        <f t="shared" ca="1" si="0"/>
        <v>No</v>
      </c>
      <c r="H23" s="4" t="str">
        <f t="shared" ca="1" si="1"/>
        <v>Yes</v>
      </c>
      <c r="I23" s="4" t="str">
        <f t="shared" ca="1" si="2"/>
        <v>Yes</v>
      </c>
      <c r="J23" s="15">
        <f t="shared" ca="1" si="3"/>
        <v>0.2</v>
      </c>
    </row>
    <row r="24" spans="1:10" ht="15" customHeight="1" x14ac:dyDescent="0.25">
      <c r="A24" s="4">
        <v>1056</v>
      </c>
      <c r="B24" s="16">
        <v>40318</v>
      </c>
      <c r="C24" s="17">
        <v>2.0698151950718686</v>
      </c>
      <c r="D24" s="4">
        <f ca="1">SUM(IF(FREQUENCY(MATCH(INDIRECT(CONCATENATE("Sales!","B",MATCH('Summary Data'!$A24,Author,0)+1,":","B",MATCH('Summary Data'!$A24,Author,1)+1,)),Title,0),MATCH(Title,Title,0))&gt;0,1))</f>
        <v>304</v>
      </c>
      <c r="E24" s="13">
        <f>SUMIF(Author,'Summary Data'!$A24,Total_Units_to_Date)</f>
        <v>2483513</v>
      </c>
      <c r="F24" s="14">
        <f>SUMIF(Author,'Summary Data'!$A24,Total_Earnings_to_Date)</f>
        <v>16922549.370000001</v>
      </c>
      <c r="G24" s="4" t="str">
        <f t="shared" ca="1" si="0"/>
        <v>No</v>
      </c>
      <c r="H24" s="4" t="str">
        <f t="shared" ca="1" si="1"/>
        <v>Yes</v>
      </c>
      <c r="I24" s="4" t="str">
        <f t="shared" ca="1" si="2"/>
        <v>No</v>
      </c>
      <c r="J24" s="15">
        <f t="shared" ca="1" si="3"/>
        <v>0.15</v>
      </c>
    </row>
    <row r="25" spans="1:10" ht="15" customHeight="1" x14ac:dyDescent="0.25">
      <c r="A25" s="4">
        <v>1057</v>
      </c>
      <c r="B25" s="16">
        <v>36847</v>
      </c>
      <c r="C25" s="17">
        <v>11.572895277207392</v>
      </c>
      <c r="D25" s="4">
        <f ca="1">SUM(IF(FREQUENCY(MATCH(INDIRECT(CONCATENATE("Sales!","B",MATCH('Summary Data'!$A25,Author,0)+1,":","B",MATCH('Summary Data'!$A25,Author,1)+1,)),Title,0),MATCH(Title,Title,0))&gt;0,1))</f>
        <v>305</v>
      </c>
      <c r="E25" s="13">
        <f>SUMIF(Author,'Summary Data'!$A25,Total_Units_to_Date)</f>
        <v>11345043</v>
      </c>
      <c r="F25" s="14">
        <f>SUMIF(Author,'Summary Data'!$A25,Total_Earnings_to_Date)</f>
        <v>68628124.570000008</v>
      </c>
      <c r="G25" s="4" t="str">
        <f t="shared" ca="1" si="0"/>
        <v>No</v>
      </c>
      <c r="H25" s="4" t="str">
        <f t="shared" ca="1" si="1"/>
        <v>Yes</v>
      </c>
      <c r="I25" s="4" t="str">
        <f t="shared" ca="1" si="2"/>
        <v>Yes</v>
      </c>
      <c r="J25" s="15">
        <f t="shared" ca="1" si="3"/>
        <v>0.2</v>
      </c>
    </row>
    <row r="26" spans="1:10" ht="15" customHeight="1" x14ac:dyDescent="0.25">
      <c r="A26" s="4">
        <v>1062</v>
      </c>
      <c r="B26" s="16">
        <v>37999</v>
      </c>
      <c r="C26" s="17">
        <v>8.4188911704312108</v>
      </c>
      <c r="D26" s="4">
        <f ca="1">SUM(IF(FREQUENCY(MATCH(INDIRECT(CONCATENATE("Sales!","B",MATCH('Summary Data'!$A26,Author,0)+1,":","B",MATCH('Summary Data'!$A26,Author,1)+1,)),Title,0),MATCH(Title,Title,0))&gt;0,1))</f>
        <v>303</v>
      </c>
      <c r="E26" s="13">
        <f>SUMIF(Author,'Summary Data'!$A26,Total_Units_to_Date)</f>
        <v>1766294</v>
      </c>
      <c r="F26" s="14">
        <f>SUMIF(Author,'Summary Data'!$A26,Total_Earnings_to_Date)</f>
        <v>12278295.060000001</v>
      </c>
      <c r="G26" s="4" t="str">
        <f t="shared" ca="1" si="0"/>
        <v>No</v>
      </c>
      <c r="H26" s="4" t="str">
        <f t="shared" ca="1" si="1"/>
        <v>Yes</v>
      </c>
      <c r="I26" s="4" t="str">
        <f t="shared" ca="1" si="2"/>
        <v>Yes</v>
      </c>
      <c r="J26" s="15">
        <f t="shared" ca="1" si="3"/>
        <v>0.2</v>
      </c>
    </row>
    <row r="27" spans="1:10" ht="15" customHeight="1" x14ac:dyDescent="0.25">
      <c r="A27" s="4">
        <v>1063</v>
      </c>
      <c r="B27" s="16">
        <v>39524</v>
      </c>
      <c r="C27" s="17">
        <v>4.2436687200547567</v>
      </c>
      <c r="D27" s="4">
        <f ca="1">SUM(IF(FREQUENCY(MATCH(INDIRECT(CONCATENATE("Sales!","B",MATCH('Summary Data'!$A27,Author,0)+1,":","B",MATCH('Summary Data'!$A27,Author,1)+1,)),Title,0),MATCH(Title,Title,0))&gt;0,1))</f>
        <v>305</v>
      </c>
      <c r="E27" s="13">
        <f>SUMIF(Author,'Summary Data'!$A27,Total_Units_to_Date)</f>
        <v>2971365</v>
      </c>
      <c r="F27" s="14">
        <f>SUMIF(Author,'Summary Data'!$A27,Total_Earnings_to_Date)</f>
        <v>22962396.850000001</v>
      </c>
      <c r="G27" s="4" t="str">
        <f t="shared" ca="1" si="0"/>
        <v>No</v>
      </c>
      <c r="H27" s="4" t="str">
        <f t="shared" ca="1" si="1"/>
        <v>Yes</v>
      </c>
      <c r="I27" s="4" t="str">
        <f t="shared" ca="1" si="2"/>
        <v>No</v>
      </c>
      <c r="J27" s="15">
        <f t="shared" ca="1" si="3"/>
        <v>0.15</v>
      </c>
    </row>
    <row r="28" spans="1:10" ht="15" customHeight="1" x14ac:dyDescent="0.25">
      <c r="A28" s="4">
        <v>1065</v>
      </c>
      <c r="B28" s="16">
        <v>37152</v>
      </c>
      <c r="C28" s="17">
        <v>10.737850787132102</v>
      </c>
      <c r="D28" s="4">
        <f ca="1">SUM(IF(FREQUENCY(MATCH(INDIRECT(CONCATENATE("Sales!","B",MATCH('Summary Data'!$A28,Author,0)+1,":","B",MATCH('Summary Data'!$A28,Author,1)+1,)),Title,0),MATCH(Title,Title,0))&gt;0,1))</f>
        <v>228</v>
      </c>
      <c r="E28" s="13">
        <f>SUMIF(Author,'Summary Data'!$A28,Total_Units_to_Date)</f>
        <v>9245451</v>
      </c>
      <c r="F28" s="14">
        <f>SUMIF(Author,'Summary Data'!$A28,Total_Earnings_to_Date)</f>
        <v>76987947.489999995</v>
      </c>
      <c r="G28" s="4" t="str">
        <f t="shared" ca="1" si="0"/>
        <v>No</v>
      </c>
      <c r="H28" s="4" t="str">
        <f t="shared" ca="1" si="1"/>
        <v>Yes</v>
      </c>
      <c r="I28" s="4" t="str">
        <f t="shared" ca="1" si="2"/>
        <v>Yes</v>
      </c>
      <c r="J28" s="15">
        <f t="shared" ca="1" si="3"/>
        <v>0.2</v>
      </c>
    </row>
    <row r="29" spans="1:10" ht="15" customHeight="1" x14ac:dyDescent="0.25">
      <c r="A29" s="4">
        <v>1066</v>
      </c>
      <c r="B29" s="16">
        <v>37517</v>
      </c>
      <c r="C29" s="17">
        <v>9.7385352498288835</v>
      </c>
      <c r="D29" s="4">
        <f ca="1">SUM(IF(FREQUENCY(MATCH(INDIRECT(CONCATENATE("Sales!","B",MATCH('Summary Data'!$A29,Author,0)+1,":","B",MATCH('Summary Data'!$A29,Author,1)+1,)),Title,0),MATCH(Title,Title,0))&gt;0,1))</f>
        <v>303</v>
      </c>
      <c r="E29" s="13">
        <f>SUMIF(Author,'Summary Data'!$A29,Total_Units_to_Date)</f>
        <v>7451398</v>
      </c>
      <c r="F29" s="14">
        <f>SUMIF(Author,'Summary Data'!$A29,Total_Earnings_to_Date)</f>
        <v>62422122.019999988</v>
      </c>
      <c r="G29" s="4" t="str">
        <f t="shared" ca="1" si="0"/>
        <v>No</v>
      </c>
      <c r="H29" s="4" t="str">
        <f t="shared" ca="1" si="1"/>
        <v>Yes</v>
      </c>
      <c r="I29" s="4" t="str">
        <f t="shared" ca="1" si="2"/>
        <v>Yes</v>
      </c>
      <c r="J29" s="15">
        <f t="shared" ca="1" si="3"/>
        <v>0.2</v>
      </c>
    </row>
    <row r="30" spans="1:10" ht="15" customHeight="1" x14ac:dyDescent="0.25">
      <c r="A30" s="4">
        <v>1067</v>
      </c>
      <c r="B30" s="16">
        <v>40966</v>
      </c>
      <c r="C30" s="17">
        <v>0.29568788501026694</v>
      </c>
      <c r="D30" s="4">
        <f ca="1">SUM(IF(FREQUENCY(MATCH(INDIRECT(CONCATENATE("Sales!","B",MATCH('Summary Data'!$A30,Author,0)+1,":","B",MATCH('Summary Data'!$A30,Author,1)+1,)),Title,0),MATCH(Title,Title,0))&gt;0,1))</f>
        <v>303</v>
      </c>
      <c r="E30" s="13">
        <f>SUMIF(Author,'Summary Data'!$A30,Total_Units_to_Date)</f>
        <v>15869162</v>
      </c>
      <c r="F30" s="14">
        <f>SUMIF(Author,'Summary Data'!$A30,Total_Earnings_to_Date)</f>
        <v>101978476.37999998</v>
      </c>
      <c r="G30" s="4" t="str">
        <f t="shared" ca="1" si="0"/>
        <v>Yes</v>
      </c>
      <c r="H30" s="4" t="str">
        <f t="shared" ca="1" si="1"/>
        <v>Yes</v>
      </c>
      <c r="I30" s="4" t="str">
        <f t="shared" ca="1" si="2"/>
        <v>No</v>
      </c>
      <c r="J30" s="15">
        <f t="shared" ca="1" si="3"/>
        <v>0.15</v>
      </c>
    </row>
  </sheetData>
  <sortState ref="A5:K817">
    <sortCondition ref="J5:J817"/>
  </sortState>
  <conditionalFormatting sqref="G2:I30">
    <cfRule type="cellIs" dxfId="62" priority="4" operator="equal">
      <formula>"No"</formula>
    </cfRule>
    <cfRule type="cellIs" dxfId="61" priority="5" operator="equal">
      <formula>"Yes"</formula>
    </cfRule>
    <cfRule type="cellIs" dxfId="60" priority="6" operator="equal">
      <formula>TRUE</formula>
    </cfRule>
    <cfRule type="cellIs" dxfId="59" priority="7" operator="equal">
      <formula>FALSE</formula>
    </cfRule>
  </conditionalFormatting>
  <conditionalFormatting sqref="A2">
    <cfRule type="duplicateValues" dxfId="58" priority="2"/>
  </conditionalFormatting>
  <conditionalFormatting sqref="A2:A30">
    <cfRule type="duplicateValues" dxfId="57" priority="3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0"/>
  <sheetViews>
    <sheetView topLeftCell="G200" zoomScale="69" zoomScaleNormal="69" workbookViewId="0">
      <selection activeCell="P2" sqref="P2:R232"/>
    </sheetView>
  </sheetViews>
  <sheetFormatPr defaultRowHeight="15" x14ac:dyDescent="0.25"/>
  <cols>
    <col min="1" max="1" width="13.85546875" customWidth="1"/>
    <col min="2" max="2" width="15" customWidth="1"/>
    <col min="3" max="4" width="11.42578125" customWidth="1"/>
    <col min="5" max="5" width="10.140625" customWidth="1"/>
    <col min="6" max="19" width="18.7109375" customWidth="1"/>
    <col min="20" max="20" width="11.28515625" customWidth="1"/>
    <col min="21" max="21" width="25.85546875" style="5" customWidth="1"/>
    <col min="22" max="22" width="13.28515625" customWidth="1"/>
    <col min="23" max="23" width="18" customWidth="1"/>
    <col min="24" max="24" width="16.42578125" bestFit="1" customWidth="1"/>
  </cols>
  <sheetData>
    <row r="1" spans="1:24" s="4" customFormat="1" ht="30" x14ac:dyDescent="0.25">
      <c r="A1" s="4" t="s">
        <v>10</v>
      </c>
      <c r="B1" s="4" t="s">
        <v>20</v>
      </c>
      <c r="C1" s="4" t="s">
        <v>12</v>
      </c>
      <c r="D1" s="4" t="s">
        <v>25</v>
      </c>
      <c r="E1" s="4" t="s">
        <v>21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7" t="s">
        <v>380</v>
      </c>
      <c r="T1" s="4" t="s">
        <v>11</v>
      </c>
      <c r="U1" s="8" t="s">
        <v>381</v>
      </c>
    </row>
    <row r="2" spans="1:24" x14ac:dyDescent="0.25">
      <c r="A2" s="4">
        <v>1005</v>
      </c>
      <c r="B2" s="9" t="s">
        <v>24</v>
      </c>
      <c r="C2" s="4" t="s">
        <v>26</v>
      </c>
      <c r="D2" s="4" t="s">
        <v>27</v>
      </c>
      <c r="E2" s="4" t="s">
        <v>16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4">
        <v>0</v>
      </c>
      <c r="Q2" s="4">
        <v>0</v>
      </c>
      <c r="R2" s="4">
        <v>9301</v>
      </c>
      <c r="S2" s="24">
        <f>SUM(tblSalesData[[#This Row],[FY 2000]:[FY 2012]])</f>
        <v>9301</v>
      </c>
      <c r="T2" s="11">
        <v>11.99</v>
      </c>
      <c r="U2" s="12">
        <f>tblSalesData[[#This Row],[Total Units 
to Date]]*tblSalesData[[#This Row],[Sell Price]]</f>
        <v>111518.99</v>
      </c>
      <c r="V2" s="1"/>
      <c r="W2" s="4"/>
    </row>
    <row r="3" spans="1:24" x14ac:dyDescent="0.25">
      <c r="A3" s="4">
        <v>1005</v>
      </c>
      <c r="B3" s="9" t="s">
        <v>24</v>
      </c>
      <c r="C3" s="4" t="s">
        <v>26</v>
      </c>
      <c r="D3" s="4" t="s">
        <v>27</v>
      </c>
      <c r="E3" s="4" t="s">
        <v>17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4">
        <v>0</v>
      </c>
      <c r="Q3" s="4">
        <v>0</v>
      </c>
      <c r="R3" s="4">
        <v>8178</v>
      </c>
      <c r="S3" s="24">
        <f>SUM(tblSalesData[[#This Row],[FY 2000]:[FY 2012]])</f>
        <v>8178</v>
      </c>
      <c r="T3" s="11">
        <v>12.99</v>
      </c>
      <c r="U3" s="12">
        <f>tblSalesData[[#This Row],[Total Units 
to Date]]*tblSalesData[[#This Row],[Sell Price]]</f>
        <v>106232.22</v>
      </c>
      <c r="W3" s="4"/>
      <c r="X3">
        <f>ROUND(tblSalesData[[#This Row],[FY 2012]]*0.85,0)</f>
        <v>6951</v>
      </c>
    </row>
    <row r="4" spans="1:24" x14ac:dyDescent="0.25">
      <c r="A4" s="4">
        <v>1005</v>
      </c>
      <c r="B4" s="9" t="s">
        <v>24</v>
      </c>
      <c r="C4" s="4" t="s">
        <v>26</v>
      </c>
      <c r="D4" s="4" t="s">
        <v>27</v>
      </c>
      <c r="E4" s="4" t="s">
        <v>19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4">
        <v>0</v>
      </c>
      <c r="Q4" s="4">
        <v>0</v>
      </c>
      <c r="R4" s="4">
        <v>4013</v>
      </c>
      <c r="S4" s="24">
        <f>SUM(tblSalesData[[#This Row],[FY 2000]:[FY 2012]])</f>
        <v>4013</v>
      </c>
      <c r="T4" s="11">
        <v>15.99</v>
      </c>
      <c r="U4" s="12">
        <f>tblSalesData[[#This Row],[Total Units 
to Date]]*tblSalesData[[#This Row],[Sell Price]]</f>
        <v>64167.87</v>
      </c>
      <c r="V4" s="2"/>
      <c r="W4" s="4"/>
    </row>
    <row r="5" spans="1:24" x14ac:dyDescent="0.25">
      <c r="A5" s="4">
        <v>1005</v>
      </c>
      <c r="B5" s="9" t="s">
        <v>29</v>
      </c>
      <c r="C5" s="4" t="s">
        <v>26</v>
      </c>
      <c r="D5" s="4" t="s">
        <v>27</v>
      </c>
      <c r="E5" s="4" t="s">
        <v>16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4">
        <v>0</v>
      </c>
      <c r="Q5" s="4">
        <v>0</v>
      </c>
      <c r="R5" s="4">
        <v>24222</v>
      </c>
      <c r="S5" s="24">
        <f>SUM(tblSalesData[[#This Row],[FY 2000]:[FY 2012]])</f>
        <v>24222</v>
      </c>
      <c r="T5" s="11">
        <v>11.99</v>
      </c>
      <c r="U5" s="12">
        <f>tblSalesData[[#This Row],[Total Units 
to Date]]*tblSalesData[[#This Row],[Sell Price]]</f>
        <v>290421.78000000003</v>
      </c>
      <c r="V5" s="2"/>
      <c r="W5" s="4"/>
    </row>
    <row r="6" spans="1:24" x14ac:dyDescent="0.25">
      <c r="A6" s="4">
        <v>1005</v>
      </c>
      <c r="B6" s="9" t="s">
        <v>31</v>
      </c>
      <c r="C6" s="4" t="s">
        <v>26</v>
      </c>
      <c r="D6" s="4" t="s">
        <v>27</v>
      </c>
      <c r="E6" s="4" t="s">
        <v>19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4">
        <v>0</v>
      </c>
      <c r="Q6" s="4">
        <v>0</v>
      </c>
      <c r="R6" s="4">
        <v>3344</v>
      </c>
      <c r="S6" s="24">
        <f>SUM(tblSalesData[[#This Row],[FY 2000]:[FY 2012]])</f>
        <v>3344</v>
      </c>
      <c r="T6" s="11">
        <v>15.99</v>
      </c>
      <c r="U6" s="12">
        <f>tblSalesData[[#This Row],[Total Units 
to Date]]*tblSalesData[[#This Row],[Sell Price]]</f>
        <v>53470.559999999998</v>
      </c>
      <c r="V6" s="2"/>
      <c r="W6" s="4"/>
    </row>
    <row r="7" spans="1:24" x14ac:dyDescent="0.25">
      <c r="A7" s="4">
        <v>1005</v>
      </c>
      <c r="B7" s="9" t="s">
        <v>32</v>
      </c>
      <c r="C7" s="4" t="s">
        <v>26</v>
      </c>
      <c r="D7" s="4" t="s">
        <v>27</v>
      </c>
      <c r="E7" s="4" t="s">
        <v>19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4">
        <v>0</v>
      </c>
      <c r="Q7" s="4">
        <v>0</v>
      </c>
      <c r="R7" s="4">
        <v>2199</v>
      </c>
      <c r="S7" s="24">
        <f>SUM(tblSalesData[[#This Row],[FY 2000]:[FY 2012]])</f>
        <v>2199</v>
      </c>
      <c r="T7" s="11">
        <v>15.99</v>
      </c>
      <c r="U7" s="12">
        <f>tblSalesData[[#This Row],[Total Units 
to Date]]*tblSalesData[[#This Row],[Sell Price]]</f>
        <v>35162.01</v>
      </c>
      <c r="V7" s="2"/>
      <c r="W7" s="4"/>
    </row>
    <row r="8" spans="1:24" x14ac:dyDescent="0.25">
      <c r="A8" s="4">
        <v>1005</v>
      </c>
      <c r="B8" s="9" t="s">
        <v>36</v>
      </c>
      <c r="C8" s="4" t="s">
        <v>26</v>
      </c>
      <c r="D8" s="4" t="s">
        <v>27</v>
      </c>
      <c r="E8" s="4" t="s">
        <v>19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4">
        <v>0</v>
      </c>
      <c r="Q8" s="4">
        <v>263</v>
      </c>
      <c r="R8" s="4">
        <v>2231</v>
      </c>
      <c r="S8" s="24">
        <f>SUM(tblSalesData[[#This Row],[FY 2000]:[FY 2012]])</f>
        <v>2494</v>
      </c>
      <c r="T8" s="11">
        <v>15.99</v>
      </c>
      <c r="U8" s="12">
        <f>tblSalesData[[#This Row],[Total Units 
to Date]]*tblSalesData[[#This Row],[Sell Price]]</f>
        <v>39879.06</v>
      </c>
      <c r="V8" s="2"/>
      <c r="W8" s="4"/>
      <c r="X8" s="2"/>
    </row>
    <row r="9" spans="1:24" x14ac:dyDescent="0.25">
      <c r="A9" s="4">
        <v>1005</v>
      </c>
      <c r="B9" s="9" t="s">
        <v>37</v>
      </c>
      <c r="C9" s="4" t="s">
        <v>26</v>
      </c>
      <c r="D9" s="4" t="s">
        <v>27</v>
      </c>
      <c r="E9" s="4" t="s">
        <v>19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4">
        <v>0</v>
      </c>
      <c r="Q9" s="4">
        <v>60</v>
      </c>
      <c r="R9" s="4">
        <v>1142</v>
      </c>
      <c r="S9" s="24">
        <f>SUM(tblSalesData[[#This Row],[FY 2000]:[FY 2012]])</f>
        <v>1202</v>
      </c>
      <c r="T9" s="11">
        <v>15.99</v>
      </c>
      <c r="U9" s="12">
        <f>tblSalesData[[#This Row],[Total Units 
to Date]]*tblSalesData[[#This Row],[Sell Price]]</f>
        <v>19219.98</v>
      </c>
      <c r="V9" s="2"/>
      <c r="W9" s="4"/>
    </row>
    <row r="10" spans="1:24" x14ac:dyDescent="0.25">
      <c r="A10" s="4">
        <v>1005</v>
      </c>
      <c r="B10" s="9" t="s">
        <v>38</v>
      </c>
      <c r="C10" s="4" t="s">
        <v>26</v>
      </c>
      <c r="D10" s="4" t="s">
        <v>27</v>
      </c>
      <c r="E10" s="4" t="s">
        <v>19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4">
        <v>0</v>
      </c>
      <c r="Q10" s="4">
        <v>638</v>
      </c>
      <c r="R10" s="4">
        <v>1955</v>
      </c>
      <c r="S10" s="24">
        <f>SUM(tblSalesData[[#This Row],[FY 2000]:[FY 2012]])</f>
        <v>2593</v>
      </c>
      <c r="T10" s="11">
        <v>15.99</v>
      </c>
      <c r="U10" s="12">
        <f>tblSalesData[[#This Row],[Total Units 
to Date]]*tblSalesData[[#This Row],[Sell Price]]</f>
        <v>41462.07</v>
      </c>
      <c r="V10" s="2"/>
      <c r="W10" s="4"/>
    </row>
    <row r="11" spans="1:24" x14ac:dyDescent="0.25">
      <c r="A11" s="4">
        <v>1005</v>
      </c>
      <c r="B11" s="9" t="s">
        <v>52</v>
      </c>
      <c r="C11" s="4" t="s">
        <v>26</v>
      </c>
      <c r="D11" s="4" t="s">
        <v>27</v>
      </c>
      <c r="E11" s="4" t="s">
        <v>19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4">
        <v>0</v>
      </c>
      <c r="Q11" s="4">
        <v>78</v>
      </c>
      <c r="R11" s="4">
        <v>2095</v>
      </c>
      <c r="S11" s="24">
        <f>SUM(tblSalesData[[#This Row],[FY 2000]:[FY 2012]])</f>
        <v>2173</v>
      </c>
      <c r="T11" s="11">
        <v>15.99</v>
      </c>
      <c r="U11" s="12">
        <f>tblSalesData[[#This Row],[Total Units 
to Date]]*tblSalesData[[#This Row],[Sell Price]]</f>
        <v>34746.270000000004</v>
      </c>
      <c r="V11" s="2"/>
      <c r="W11" s="4"/>
    </row>
    <row r="12" spans="1:24" x14ac:dyDescent="0.25">
      <c r="A12" s="4">
        <v>1005</v>
      </c>
      <c r="B12" s="9" t="s">
        <v>62</v>
      </c>
      <c r="C12" s="4" t="s">
        <v>26</v>
      </c>
      <c r="D12" s="4" t="s">
        <v>27</v>
      </c>
      <c r="E12" s="4" t="s">
        <v>17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4">
        <v>0</v>
      </c>
      <c r="Q12" s="4">
        <v>126</v>
      </c>
      <c r="R12" s="4">
        <v>563</v>
      </c>
      <c r="S12" s="24">
        <f>SUM(tblSalesData[[#This Row],[FY 2000]:[FY 2012]])</f>
        <v>689</v>
      </c>
      <c r="T12" s="11">
        <v>12.99</v>
      </c>
      <c r="U12" s="12">
        <f>tblSalesData[[#This Row],[Total Units 
to Date]]*tblSalesData[[#This Row],[Sell Price]]</f>
        <v>8950.11</v>
      </c>
      <c r="V12" s="2"/>
      <c r="W12" s="4"/>
    </row>
    <row r="13" spans="1:24" x14ac:dyDescent="0.25">
      <c r="A13" s="4">
        <v>1008</v>
      </c>
      <c r="B13" s="9" t="s">
        <v>76</v>
      </c>
      <c r="C13" s="4" t="s">
        <v>26</v>
      </c>
      <c r="D13" s="4" t="s">
        <v>27</v>
      </c>
      <c r="E13" s="4" t="s">
        <v>19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4">
        <v>0</v>
      </c>
      <c r="Q13" s="4">
        <v>0</v>
      </c>
      <c r="R13" s="4">
        <v>9039</v>
      </c>
      <c r="S13" s="24">
        <f>SUM(tblSalesData[[#This Row],[FY 2000]:[FY 2012]])</f>
        <v>9039</v>
      </c>
      <c r="T13" s="11">
        <v>15.99</v>
      </c>
      <c r="U13" s="12">
        <f>tblSalesData[[#This Row],[Total Units 
to Date]]*tblSalesData[[#This Row],[Sell Price]]</f>
        <v>144533.61000000002</v>
      </c>
      <c r="V13" s="2"/>
      <c r="W13" s="4"/>
    </row>
    <row r="14" spans="1:24" x14ac:dyDescent="0.25">
      <c r="A14" s="4">
        <v>1011</v>
      </c>
      <c r="B14" s="9" t="s">
        <v>86</v>
      </c>
      <c r="C14" s="4" t="s">
        <v>26</v>
      </c>
      <c r="D14" s="4" t="s">
        <v>27</v>
      </c>
      <c r="E14" s="4" t="s">
        <v>19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4">
        <v>2165</v>
      </c>
      <c r="Q14" s="4">
        <v>1695</v>
      </c>
      <c r="R14" s="4">
        <v>1097</v>
      </c>
      <c r="S14" s="24">
        <f>SUM(tblSalesData[[#This Row],[FY 2000]:[FY 2012]])</f>
        <v>4957</v>
      </c>
      <c r="T14" s="11">
        <v>15.99</v>
      </c>
      <c r="U14" s="12">
        <f>tblSalesData[[#This Row],[Total Units 
to Date]]*tblSalesData[[#This Row],[Sell Price]]</f>
        <v>79262.430000000008</v>
      </c>
      <c r="V14" s="2"/>
      <c r="W14" s="4"/>
    </row>
    <row r="15" spans="1:24" x14ac:dyDescent="0.25">
      <c r="A15" s="4">
        <v>1012</v>
      </c>
      <c r="B15" s="9" t="s">
        <v>94</v>
      </c>
      <c r="C15" s="4" t="s">
        <v>26</v>
      </c>
      <c r="D15" s="4" t="s">
        <v>27</v>
      </c>
      <c r="E15" s="4" t="s">
        <v>17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179093</v>
      </c>
      <c r="P15" s="4">
        <v>444788</v>
      </c>
      <c r="Q15" s="4">
        <v>412227</v>
      </c>
      <c r="R15" s="4">
        <v>405853</v>
      </c>
      <c r="S15" s="24">
        <f>SUM(tblSalesData[[#This Row],[FY 2000]:[FY 2012]])</f>
        <v>1441961</v>
      </c>
      <c r="T15" s="11">
        <v>12.99</v>
      </c>
      <c r="U15" s="12">
        <f>tblSalesData[[#This Row],[Total Units 
to Date]]*tblSalesData[[#This Row],[Sell Price]]</f>
        <v>18731073.390000001</v>
      </c>
      <c r="V15" s="2"/>
      <c r="W15" s="4"/>
    </row>
    <row r="16" spans="1:24" x14ac:dyDescent="0.25">
      <c r="A16" s="4">
        <v>1013</v>
      </c>
      <c r="B16" s="9" t="s">
        <v>99</v>
      </c>
      <c r="C16" s="4" t="s">
        <v>26</v>
      </c>
      <c r="D16" s="4" t="s">
        <v>27</v>
      </c>
      <c r="E16" s="4" t="s">
        <v>16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1323</v>
      </c>
      <c r="L16" s="10">
        <v>1627</v>
      </c>
      <c r="M16" s="10">
        <v>2143</v>
      </c>
      <c r="N16" s="10">
        <v>2504</v>
      </c>
      <c r="O16" s="10">
        <v>3040</v>
      </c>
      <c r="P16" s="4">
        <v>3363</v>
      </c>
      <c r="Q16" s="4">
        <v>3104</v>
      </c>
      <c r="R16" s="4">
        <v>1789</v>
      </c>
      <c r="S16" s="24">
        <f>SUM(tblSalesData[[#This Row],[FY 2000]:[FY 2012]])</f>
        <v>18893</v>
      </c>
      <c r="T16" s="11">
        <v>11.99</v>
      </c>
      <c r="U16" s="12">
        <f>tblSalesData[[#This Row],[Total Units 
to Date]]*tblSalesData[[#This Row],[Sell Price]]</f>
        <v>226527.07</v>
      </c>
      <c r="V16" s="2"/>
      <c r="W16" s="4"/>
    </row>
    <row r="17" spans="1:23" x14ac:dyDescent="0.25">
      <c r="A17" s="4">
        <v>1014</v>
      </c>
      <c r="B17" s="9" t="s">
        <v>114</v>
      </c>
      <c r="C17" s="4" t="s">
        <v>26</v>
      </c>
      <c r="D17" s="4" t="s">
        <v>27</v>
      </c>
      <c r="E17" s="4" t="s">
        <v>16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112418</v>
      </c>
      <c r="M17" s="10">
        <v>341228</v>
      </c>
      <c r="N17" s="10">
        <v>360074</v>
      </c>
      <c r="O17" s="10">
        <v>386223</v>
      </c>
      <c r="P17" s="4">
        <v>374099</v>
      </c>
      <c r="Q17" s="4">
        <v>301040</v>
      </c>
      <c r="R17" s="4">
        <v>153987</v>
      </c>
      <c r="S17" s="24">
        <f>SUM(tblSalesData[[#This Row],[FY 2000]:[FY 2012]])</f>
        <v>2029069</v>
      </c>
      <c r="T17" s="11">
        <v>11.99</v>
      </c>
      <c r="U17" s="12">
        <f>tblSalesData[[#This Row],[Total Units 
to Date]]*tblSalesData[[#This Row],[Sell Price]]</f>
        <v>24328537.309999999</v>
      </c>
      <c r="V17" s="2"/>
      <c r="W17" s="4"/>
    </row>
    <row r="18" spans="1:23" x14ac:dyDescent="0.25">
      <c r="A18" s="4">
        <v>1014</v>
      </c>
      <c r="B18" s="9" t="s">
        <v>115</v>
      </c>
      <c r="C18" s="4" t="s">
        <v>26</v>
      </c>
      <c r="D18" s="4" t="s">
        <v>27</v>
      </c>
      <c r="E18" s="4" t="s">
        <v>16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280340</v>
      </c>
      <c r="N18" s="10">
        <v>359860</v>
      </c>
      <c r="O18" s="10">
        <v>375038</v>
      </c>
      <c r="P18" s="4">
        <v>366522</v>
      </c>
      <c r="Q18" s="4">
        <v>298678</v>
      </c>
      <c r="R18" s="4">
        <v>157404</v>
      </c>
      <c r="S18" s="24">
        <f>SUM(tblSalesData[[#This Row],[FY 2000]:[FY 2012]])</f>
        <v>1837842</v>
      </c>
      <c r="T18" s="11">
        <v>11.99</v>
      </c>
      <c r="U18" s="12">
        <f>tblSalesData[[#This Row],[Total Units 
to Date]]*tblSalesData[[#This Row],[Sell Price]]</f>
        <v>22035725.580000002</v>
      </c>
      <c r="V18" s="2"/>
      <c r="W18" s="4"/>
    </row>
    <row r="19" spans="1:23" x14ac:dyDescent="0.25">
      <c r="A19" s="4">
        <v>1015</v>
      </c>
      <c r="B19" s="9" t="s">
        <v>125</v>
      </c>
      <c r="C19" s="4" t="s">
        <v>26</v>
      </c>
      <c r="D19" s="4" t="s">
        <v>27</v>
      </c>
      <c r="E19" s="4" t="s">
        <v>16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61</v>
      </c>
      <c r="P19" s="4">
        <v>297</v>
      </c>
      <c r="Q19" s="4">
        <v>477</v>
      </c>
      <c r="R19" s="4">
        <v>582</v>
      </c>
      <c r="S19" s="24">
        <f>SUM(tblSalesData[[#This Row],[FY 2000]:[FY 2012]])</f>
        <v>1417</v>
      </c>
      <c r="T19" s="11">
        <v>11.99</v>
      </c>
      <c r="U19" s="12">
        <f>tblSalesData[[#This Row],[Total Units 
to Date]]*tblSalesData[[#This Row],[Sell Price]]</f>
        <v>16989.830000000002</v>
      </c>
      <c r="V19" s="2"/>
      <c r="W19" s="4"/>
    </row>
    <row r="20" spans="1:23" x14ac:dyDescent="0.25">
      <c r="A20" s="4">
        <v>1016</v>
      </c>
      <c r="B20" s="9" t="s">
        <v>128</v>
      </c>
      <c r="C20" s="4" t="s">
        <v>26</v>
      </c>
      <c r="D20" s="4" t="s">
        <v>27</v>
      </c>
      <c r="E20" s="4" t="s">
        <v>17</v>
      </c>
      <c r="F20" s="10">
        <v>0</v>
      </c>
      <c r="G20" s="10">
        <v>0</v>
      </c>
      <c r="H20" s="10">
        <v>0</v>
      </c>
      <c r="I20" s="10">
        <v>3052</v>
      </c>
      <c r="J20" s="10">
        <v>5094</v>
      </c>
      <c r="K20" s="10">
        <v>7205</v>
      </c>
      <c r="L20" s="10">
        <v>13180</v>
      </c>
      <c r="M20" s="10">
        <v>20897</v>
      </c>
      <c r="N20" s="10">
        <v>42078</v>
      </c>
      <c r="O20" s="10">
        <v>71796</v>
      </c>
      <c r="P20" s="4">
        <v>88883</v>
      </c>
      <c r="Q20" s="4">
        <v>110086</v>
      </c>
      <c r="R20" s="4">
        <v>259598</v>
      </c>
      <c r="S20" s="24">
        <f>SUM(tblSalesData[[#This Row],[FY 2000]:[FY 2012]])</f>
        <v>621869</v>
      </c>
      <c r="T20" s="11">
        <v>12.99</v>
      </c>
      <c r="U20" s="12">
        <f>tblSalesData[[#This Row],[Total Units 
to Date]]*tblSalesData[[#This Row],[Sell Price]]</f>
        <v>8078078.3100000005</v>
      </c>
      <c r="V20" s="2"/>
      <c r="W20" s="4"/>
    </row>
    <row r="21" spans="1:23" x14ac:dyDescent="0.25">
      <c r="A21" s="4">
        <v>1016</v>
      </c>
      <c r="B21" s="9" t="s">
        <v>135</v>
      </c>
      <c r="C21" s="4" t="s">
        <v>26</v>
      </c>
      <c r="D21" s="4" t="s">
        <v>27</v>
      </c>
      <c r="E21" s="4" t="s">
        <v>19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17718</v>
      </c>
      <c r="N21" s="10">
        <v>25620</v>
      </c>
      <c r="O21" s="10">
        <v>61747</v>
      </c>
      <c r="P21" s="4">
        <v>81403</v>
      </c>
      <c r="Q21" s="4">
        <v>130390</v>
      </c>
      <c r="R21" s="4">
        <v>284083</v>
      </c>
      <c r="S21" s="24">
        <f>SUM(tblSalesData[[#This Row],[FY 2000]:[FY 2012]])</f>
        <v>600961</v>
      </c>
      <c r="T21" s="11">
        <v>15.99</v>
      </c>
      <c r="U21" s="12">
        <f>tblSalesData[[#This Row],[Total Units 
to Date]]*tblSalesData[[#This Row],[Sell Price]]</f>
        <v>9609366.3900000006</v>
      </c>
      <c r="V21" s="2"/>
      <c r="W21" s="4"/>
    </row>
    <row r="22" spans="1:23" x14ac:dyDescent="0.25">
      <c r="A22" s="4">
        <v>1016</v>
      </c>
      <c r="B22" s="9" t="s">
        <v>136</v>
      </c>
      <c r="C22" s="4" t="s">
        <v>26</v>
      </c>
      <c r="D22" s="4" t="s">
        <v>27</v>
      </c>
      <c r="E22" s="4" t="s">
        <v>17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27813</v>
      </c>
      <c r="O22" s="10">
        <v>50507</v>
      </c>
      <c r="P22" s="4">
        <v>88325</v>
      </c>
      <c r="Q22" s="4">
        <v>152209</v>
      </c>
      <c r="R22" s="4">
        <v>296293</v>
      </c>
      <c r="S22" s="24">
        <f>SUM(tblSalesData[[#This Row],[FY 2000]:[FY 2012]])</f>
        <v>615147</v>
      </c>
      <c r="T22" s="11">
        <v>12.99</v>
      </c>
      <c r="U22" s="12">
        <f>tblSalesData[[#This Row],[Total Units 
to Date]]*tblSalesData[[#This Row],[Sell Price]]</f>
        <v>7990759.5300000003</v>
      </c>
      <c r="V22" s="2"/>
      <c r="W22" s="4"/>
    </row>
    <row r="23" spans="1:23" x14ac:dyDescent="0.25">
      <c r="A23" s="4">
        <v>1016</v>
      </c>
      <c r="B23" s="9" t="s">
        <v>137</v>
      </c>
      <c r="C23" s="4" t="s">
        <v>26</v>
      </c>
      <c r="D23" s="4" t="s">
        <v>27</v>
      </c>
      <c r="E23" s="4" t="s">
        <v>16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34746</v>
      </c>
      <c r="O23" s="10">
        <v>71901</v>
      </c>
      <c r="P23" s="4">
        <v>89096</v>
      </c>
      <c r="Q23" s="4">
        <v>138957</v>
      </c>
      <c r="R23" s="4">
        <v>191215</v>
      </c>
      <c r="S23" s="24">
        <f>SUM(tblSalesData[[#This Row],[FY 2000]:[FY 2012]])</f>
        <v>525915</v>
      </c>
      <c r="T23" s="11">
        <v>11.99</v>
      </c>
      <c r="U23" s="12">
        <f>tblSalesData[[#This Row],[Total Units 
to Date]]*tblSalesData[[#This Row],[Sell Price]]</f>
        <v>6305720.8500000006</v>
      </c>
      <c r="V23" s="2"/>
      <c r="W23" s="4"/>
    </row>
    <row r="24" spans="1:23" x14ac:dyDescent="0.25">
      <c r="A24" s="4">
        <v>1016</v>
      </c>
      <c r="B24" s="9" t="s">
        <v>140</v>
      </c>
      <c r="C24" s="4" t="s">
        <v>26</v>
      </c>
      <c r="D24" s="4" t="s">
        <v>27</v>
      </c>
      <c r="E24" s="4" t="s">
        <v>19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4">
        <v>0</v>
      </c>
      <c r="Q24" s="4">
        <v>142825</v>
      </c>
      <c r="R24" s="4">
        <v>170219</v>
      </c>
      <c r="S24" s="24">
        <f>SUM(tblSalesData[[#This Row],[FY 2000]:[FY 2012]])</f>
        <v>313044</v>
      </c>
      <c r="T24" s="11">
        <v>15.99</v>
      </c>
      <c r="U24" s="12">
        <f>tblSalesData[[#This Row],[Total Units 
to Date]]*tblSalesData[[#This Row],[Sell Price]]</f>
        <v>5005573.5600000005</v>
      </c>
      <c r="V24" s="2"/>
      <c r="W24" s="4"/>
    </row>
    <row r="25" spans="1:23" x14ac:dyDescent="0.25">
      <c r="A25" s="4">
        <v>1017</v>
      </c>
      <c r="B25" s="9" t="s">
        <v>144</v>
      </c>
      <c r="C25" s="4" t="s">
        <v>26</v>
      </c>
      <c r="D25" s="4" t="s">
        <v>27</v>
      </c>
      <c r="E25" s="4" t="s">
        <v>16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4">
        <v>0</v>
      </c>
      <c r="Q25" s="4">
        <v>65797</v>
      </c>
      <c r="R25" s="4">
        <v>6188</v>
      </c>
      <c r="S25" s="24">
        <f>SUM(tblSalesData[[#This Row],[FY 2000]:[FY 2012]])</f>
        <v>71985</v>
      </c>
      <c r="T25" s="11">
        <v>11.99</v>
      </c>
      <c r="U25" s="12">
        <f>tblSalesData[[#This Row],[Total Units 
to Date]]*tblSalesData[[#This Row],[Sell Price]]</f>
        <v>863100.15</v>
      </c>
      <c r="V25" s="2"/>
      <c r="W25" s="4"/>
    </row>
    <row r="26" spans="1:23" x14ac:dyDescent="0.25">
      <c r="A26" s="4">
        <v>1017</v>
      </c>
      <c r="B26" s="9" t="s">
        <v>145</v>
      </c>
      <c r="C26" s="4" t="s">
        <v>26</v>
      </c>
      <c r="D26" s="4" t="s">
        <v>27</v>
      </c>
      <c r="E26" s="4" t="s">
        <v>16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4">
        <v>0</v>
      </c>
      <c r="Q26" s="4">
        <v>50278</v>
      </c>
      <c r="R26" s="4">
        <v>16757</v>
      </c>
      <c r="S26" s="24">
        <f>SUM(tblSalesData[[#This Row],[FY 2000]:[FY 2012]])</f>
        <v>67035</v>
      </c>
      <c r="T26" s="11">
        <v>11.99</v>
      </c>
      <c r="U26" s="12">
        <f>tblSalesData[[#This Row],[Total Units 
to Date]]*tblSalesData[[#This Row],[Sell Price]]</f>
        <v>803749.65</v>
      </c>
      <c r="V26" s="2"/>
      <c r="W26" s="4"/>
    </row>
    <row r="27" spans="1:23" x14ac:dyDescent="0.25">
      <c r="A27" s="4">
        <v>1029</v>
      </c>
      <c r="B27" s="9" t="s">
        <v>149</v>
      </c>
      <c r="C27" s="4" t="s">
        <v>26</v>
      </c>
      <c r="D27" s="4" t="s">
        <v>27</v>
      </c>
      <c r="E27" s="4" t="s">
        <v>16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72670</v>
      </c>
      <c r="M27" s="10">
        <v>96351</v>
      </c>
      <c r="N27" s="10">
        <v>4915</v>
      </c>
      <c r="O27" s="10">
        <v>62917</v>
      </c>
      <c r="P27" s="4">
        <v>60974</v>
      </c>
      <c r="Q27" s="4">
        <v>58227</v>
      </c>
      <c r="R27" s="4">
        <v>14915</v>
      </c>
      <c r="S27" s="24">
        <f>SUM(tblSalesData[[#This Row],[FY 2000]:[FY 2012]])</f>
        <v>370969</v>
      </c>
      <c r="T27" s="11">
        <v>11.99</v>
      </c>
      <c r="U27" s="12">
        <f>tblSalesData[[#This Row],[Total Units 
to Date]]*tblSalesData[[#This Row],[Sell Price]]</f>
        <v>4447918.3100000005</v>
      </c>
      <c r="V27" s="2"/>
      <c r="W27" s="4"/>
    </row>
    <row r="28" spans="1:23" x14ac:dyDescent="0.25">
      <c r="A28" s="4">
        <v>1029</v>
      </c>
      <c r="B28" s="9" t="s">
        <v>154</v>
      </c>
      <c r="C28" s="4" t="s">
        <v>26</v>
      </c>
      <c r="D28" s="4" t="s">
        <v>27</v>
      </c>
      <c r="E28" s="4" t="s">
        <v>19</v>
      </c>
      <c r="F28" s="10">
        <v>0</v>
      </c>
      <c r="G28" s="10">
        <v>0</v>
      </c>
      <c r="H28" s="10">
        <v>44155</v>
      </c>
      <c r="I28" s="10">
        <v>57665</v>
      </c>
      <c r="J28" s="10">
        <v>59776</v>
      </c>
      <c r="K28" s="10">
        <v>43316</v>
      </c>
      <c r="L28" s="10">
        <v>67509</v>
      </c>
      <c r="M28" s="10">
        <v>93328</v>
      </c>
      <c r="N28" s="10">
        <v>65571</v>
      </c>
      <c r="O28" s="10">
        <v>84151</v>
      </c>
      <c r="P28" s="4">
        <v>51764</v>
      </c>
      <c r="Q28" s="4">
        <v>17276</v>
      </c>
      <c r="R28" s="4">
        <v>32339</v>
      </c>
      <c r="S28" s="24">
        <f>SUM(tblSalesData[[#This Row],[FY 2000]:[FY 2012]])</f>
        <v>616850</v>
      </c>
      <c r="T28" s="11">
        <v>15.99</v>
      </c>
      <c r="U28" s="12">
        <f>tblSalesData[[#This Row],[Total Units 
to Date]]*tblSalesData[[#This Row],[Sell Price]]</f>
        <v>9863431.5</v>
      </c>
      <c r="V28" s="2"/>
      <c r="W28" s="4"/>
    </row>
    <row r="29" spans="1:23" x14ac:dyDescent="0.25">
      <c r="A29" s="4">
        <v>1033</v>
      </c>
      <c r="B29" s="9" t="s">
        <v>169</v>
      </c>
      <c r="C29" s="4" t="s">
        <v>26</v>
      </c>
      <c r="D29" s="4" t="s">
        <v>27</v>
      </c>
      <c r="E29" s="4" t="s">
        <v>19</v>
      </c>
      <c r="F29" s="10">
        <v>0</v>
      </c>
      <c r="G29" s="10">
        <v>0</v>
      </c>
      <c r="H29" s="10">
        <v>0</v>
      </c>
      <c r="I29" s="10">
        <v>0</v>
      </c>
      <c r="J29" s="10">
        <v>5941</v>
      </c>
      <c r="K29" s="10">
        <v>7613</v>
      </c>
      <c r="L29" s="10">
        <v>12419</v>
      </c>
      <c r="M29" s="10">
        <v>15377</v>
      </c>
      <c r="N29" s="10">
        <v>19133</v>
      </c>
      <c r="O29" s="10">
        <v>29472</v>
      </c>
      <c r="P29" s="4">
        <v>33983</v>
      </c>
      <c r="Q29" s="4">
        <v>36885</v>
      </c>
      <c r="R29" s="4">
        <v>24746</v>
      </c>
      <c r="S29" s="24">
        <f>SUM(tblSalesData[[#This Row],[FY 2000]:[FY 2012]])</f>
        <v>185569</v>
      </c>
      <c r="T29" s="11">
        <v>15.99</v>
      </c>
      <c r="U29" s="12">
        <f>tblSalesData[[#This Row],[Total Units 
to Date]]*tblSalesData[[#This Row],[Sell Price]]</f>
        <v>2967248.31</v>
      </c>
      <c r="V29" s="2"/>
      <c r="W29" s="4"/>
    </row>
    <row r="30" spans="1:23" x14ac:dyDescent="0.25">
      <c r="A30" s="4">
        <v>1033</v>
      </c>
      <c r="B30" s="9" t="s">
        <v>177</v>
      </c>
      <c r="C30" s="4" t="s">
        <v>26</v>
      </c>
      <c r="D30" s="4" t="s">
        <v>27</v>
      </c>
      <c r="E30" s="4" t="s">
        <v>16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13160</v>
      </c>
      <c r="M30" s="10">
        <v>16435</v>
      </c>
      <c r="N30" s="10">
        <v>18119</v>
      </c>
      <c r="O30" s="10">
        <v>28041</v>
      </c>
      <c r="P30" s="4">
        <v>30253</v>
      </c>
      <c r="Q30" s="4">
        <v>29021</v>
      </c>
      <c r="R30" s="4">
        <v>23121</v>
      </c>
      <c r="S30" s="24">
        <f>SUM(tblSalesData[[#This Row],[FY 2000]:[FY 2012]])</f>
        <v>158150</v>
      </c>
      <c r="T30" s="11">
        <v>11.99</v>
      </c>
      <c r="U30" s="12">
        <f>tblSalesData[[#This Row],[Total Units 
to Date]]*tblSalesData[[#This Row],[Sell Price]]</f>
        <v>1896218.5</v>
      </c>
      <c r="V30" s="2"/>
      <c r="W30" s="4"/>
    </row>
    <row r="31" spans="1:23" x14ac:dyDescent="0.25">
      <c r="A31" s="4">
        <v>1033</v>
      </c>
      <c r="B31" s="9" t="s">
        <v>186</v>
      </c>
      <c r="C31" s="4" t="s">
        <v>26</v>
      </c>
      <c r="D31" s="4" t="s">
        <v>27</v>
      </c>
      <c r="E31" s="4" t="s">
        <v>16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4">
        <v>28097</v>
      </c>
      <c r="Q31" s="4">
        <v>31133</v>
      </c>
      <c r="R31" s="4">
        <v>23561</v>
      </c>
      <c r="S31" s="24">
        <f>SUM(tblSalesData[[#This Row],[FY 2000]:[FY 2012]])</f>
        <v>82791</v>
      </c>
      <c r="T31" s="11">
        <v>11.99</v>
      </c>
      <c r="U31" s="12">
        <f>tblSalesData[[#This Row],[Total Units 
to Date]]*tblSalesData[[#This Row],[Sell Price]]</f>
        <v>992664.09</v>
      </c>
      <c r="V31" s="2"/>
      <c r="W31" s="4"/>
    </row>
    <row r="32" spans="1:23" x14ac:dyDescent="0.25">
      <c r="A32" s="4">
        <v>1033</v>
      </c>
      <c r="B32" s="9" t="s">
        <v>186</v>
      </c>
      <c r="C32" s="4" t="s">
        <v>26</v>
      </c>
      <c r="D32" s="4" t="s">
        <v>27</v>
      </c>
      <c r="E32" s="4" t="s">
        <v>17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4">
        <v>32839</v>
      </c>
      <c r="Q32" s="4">
        <v>32696</v>
      </c>
      <c r="R32" s="4">
        <v>22459</v>
      </c>
      <c r="S32" s="24">
        <f>SUM(tblSalesData[[#This Row],[FY 2000]:[FY 2012]])</f>
        <v>87994</v>
      </c>
      <c r="T32" s="11">
        <v>12.99</v>
      </c>
      <c r="U32" s="12">
        <f>tblSalesData[[#This Row],[Total Units 
to Date]]*tblSalesData[[#This Row],[Sell Price]]</f>
        <v>1143042.06</v>
      </c>
      <c r="V32" s="2"/>
      <c r="W32" s="4"/>
    </row>
    <row r="33" spans="1:23" x14ac:dyDescent="0.25">
      <c r="A33" s="4">
        <v>1034</v>
      </c>
      <c r="B33" s="9" t="s">
        <v>195</v>
      </c>
      <c r="C33" s="4" t="s">
        <v>26</v>
      </c>
      <c r="D33" s="4" t="s">
        <v>27</v>
      </c>
      <c r="E33" s="4" t="s">
        <v>19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4">
        <v>21684</v>
      </c>
      <c r="Q33" s="4">
        <v>18333</v>
      </c>
      <c r="R33" s="4">
        <v>12505</v>
      </c>
      <c r="S33" s="24">
        <f>SUM(tblSalesData[[#This Row],[FY 2000]:[FY 2012]])</f>
        <v>52522</v>
      </c>
      <c r="T33" s="11">
        <v>15.99</v>
      </c>
      <c r="U33" s="12">
        <f>tblSalesData[[#This Row],[Total Units 
to Date]]*tblSalesData[[#This Row],[Sell Price]]</f>
        <v>839826.78</v>
      </c>
      <c r="V33" s="2"/>
      <c r="W33" s="4"/>
    </row>
    <row r="34" spans="1:23" x14ac:dyDescent="0.25">
      <c r="A34" s="4">
        <v>1037</v>
      </c>
      <c r="B34" s="9" t="s">
        <v>209</v>
      </c>
      <c r="C34" s="4" t="s">
        <v>26</v>
      </c>
      <c r="D34" s="4" t="s">
        <v>27</v>
      </c>
      <c r="E34" s="4" t="s">
        <v>19</v>
      </c>
      <c r="F34" s="10">
        <v>9426</v>
      </c>
      <c r="G34" s="10">
        <v>712</v>
      </c>
      <c r="H34" s="10">
        <v>4541</v>
      </c>
      <c r="I34" s="10">
        <v>5102</v>
      </c>
      <c r="J34" s="10">
        <v>12993</v>
      </c>
      <c r="K34" s="10">
        <v>19268</v>
      </c>
      <c r="L34" s="10">
        <v>34090</v>
      </c>
      <c r="M34" s="10">
        <v>44002</v>
      </c>
      <c r="N34" s="10">
        <v>55482</v>
      </c>
      <c r="O34" s="10">
        <v>87989</v>
      </c>
      <c r="P34" s="4">
        <v>184387</v>
      </c>
      <c r="Q34" s="4">
        <v>231980</v>
      </c>
      <c r="R34" s="4">
        <v>205703</v>
      </c>
      <c r="S34" s="24">
        <f>SUM(tblSalesData[[#This Row],[FY 2000]:[FY 2012]])</f>
        <v>895675</v>
      </c>
      <c r="T34" s="11">
        <v>15.99</v>
      </c>
      <c r="U34" s="12">
        <f>tblSalesData[[#This Row],[Total Units 
to Date]]*tblSalesData[[#This Row],[Sell Price]]</f>
        <v>14321843.25</v>
      </c>
      <c r="W34" s="4"/>
    </row>
    <row r="35" spans="1:23" x14ac:dyDescent="0.25">
      <c r="A35" s="4">
        <v>1042</v>
      </c>
      <c r="B35" s="9" t="s">
        <v>250</v>
      </c>
      <c r="C35" s="4" t="s">
        <v>26</v>
      </c>
      <c r="D35" s="4" t="s">
        <v>27</v>
      </c>
      <c r="E35" s="4" t="s">
        <v>16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541</v>
      </c>
      <c r="P35" s="4">
        <v>780</v>
      </c>
      <c r="Q35" s="4">
        <v>809</v>
      </c>
      <c r="R35" s="4">
        <v>560</v>
      </c>
      <c r="S35" s="24">
        <f>SUM(tblSalesData[[#This Row],[FY 2000]:[FY 2012]])</f>
        <v>2690</v>
      </c>
      <c r="T35" s="11">
        <v>11.99</v>
      </c>
      <c r="U35" s="12">
        <f>tblSalesData[[#This Row],[Total Units 
to Date]]*tblSalesData[[#This Row],[Sell Price]]</f>
        <v>32253.100000000002</v>
      </c>
      <c r="V35" s="2"/>
      <c r="W35" s="4"/>
    </row>
    <row r="36" spans="1:23" x14ac:dyDescent="0.25">
      <c r="A36" s="4">
        <v>1042</v>
      </c>
      <c r="B36" s="9" t="s">
        <v>252</v>
      </c>
      <c r="C36" s="4" t="s">
        <v>26</v>
      </c>
      <c r="D36" s="4" t="s">
        <v>27</v>
      </c>
      <c r="E36" s="4" t="s">
        <v>16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526</v>
      </c>
      <c r="P36" s="4">
        <v>835</v>
      </c>
      <c r="Q36" s="4">
        <v>810</v>
      </c>
      <c r="R36" s="4">
        <v>555</v>
      </c>
      <c r="S36" s="24">
        <f>SUM(tblSalesData[[#This Row],[FY 2000]:[FY 2012]])</f>
        <v>2726</v>
      </c>
      <c r="T36" s="11">
        <v>11.99</v>
      </c>
      <c r="U36" s="12">
        <f>tblSalesData[[#This Row],[Total Units 
to Date]]*tblSalesData[[#This Row],[Sell Price]]</f>
        <v>32684.74</v>
      </c>
      <c r="W36" s="4"/>
    </row>
    <row r="37" spans="1:23" x14ac:dyDescent="0.25">
      <c r="A37" s="4">
        <v>1048</v>
      </c>
      <c r="B37" s="9" t="s">
        <v>262</v>
      </c>
      <c r="C37" s="4" t="s">
        <v>26</v>
      </c>
      <c r="D37" s="4" t="s">
        <v>27</v>
      </c>
      <c r="E37" s="4" t="s">
        <v>17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75034</v>
      </c>
      <c r="M37" s="10">
        <v>39689</v>
      </c>
      <c r="N37" s="10">
        <v>13395</v>
      </c>
      <c r="O37" s="10">
        <v>36513</v>
      </c>
      <c r="P37" s="4">
        <v>66515</v>
      </c>
      <c r="Q37" s="4">
        <v>38585</v>
      </c>
      <c r="R37" s="4">
        <v>22325</v>
      </c>
      <c r="S37" s="24">
        <f>SUM(tblSalesData[[#This Row],[FY 2000]:[FY 2012]])</f>
        <v>292056</v>
      </c>
      <c r="T37" s="11">
        <v>12.99</v>
      </c>
      <c r="U37" s="12">
        <f>tblSalesData[[#This Row],[Total Units 
to Date]]*tblSalesData[[#This Row],[Sell Price]]</f>
        <v>3793807.44</v>
      </c>
      <c r="W37" s="4"/>
    </row>
    <row r="38" spans="1:23" x14ac:dyDescent="0.25">
      <c r="A38" s="4">
        <v>1048</v>
      </c>
      <c r="B38" s="9" t="s">
        <v>263</v>
      </c>
      <c r="C38" s="4" t="s">
        <v>26</v>
      </c>
      <c r="D38" s="4" t="s">
        <v>27</v>
      </c>
      <c r="E38" s="4" t="s">
        <v>17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5972</v>
      </c>
      <c r="O38" s="10">
        <v>58792</v>
      </c>
      <c r="P38" s="4">
        <v>56606</v>
      </c>
      <c r="Q38" s="4">
        <v>43819</v>
      </c>
      <c r="R38" s="4">
        <v>32777</v>
      </c>
      <c r="S38" s="24">
        <f>SUM(tblSalesData[[#This Row],[FY 2000]:[FY 2012]])</f>
        <v>197966</v>
      </c>
      <c r="T38" s="11">
        <v>12.99</v>
      </c>
      <c r="U38" s="12">
        <f>tblSalesData[[#This Row],[Total Units 
to Date]]*tblSalesData[[#This Row],[Sell Price]]</f>
        <v>2571578.34</v>
      </c>
      <c r="W38" s="4"/>
    </row>
    <row r="39" spans="1:23" x14ac:dyDescent="0.25">
      <c r="A39" s="4">
        <v>1055</v>
      </c>
      <c r="B39" s="9" t="s">
        <v>274</v>
      </c>
      <c r="C39" s="4" t="s">
        <v>26</v>
      </c>
      <c r="D39" s="4" t="s">
        <v>27</v>
      </c>
      <c r="E39" s="4" t="s">
        <v>16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91892</v>
      </c>
      <c r="N39" s="10">
        <v>87631</v>
      </c>
      <c r="O39" s="10">
        <v>50597</v>
      </c>
      <c r="P39" s="4">
        <v>26952</v>
      </c>
      <c r="Q39" s="4">
        <v>35609</v>
      </c>
      <c r="R39" s="4">
        <v>17647</v>
      </c>
      <c r="S39" s="24">
        <f>SUM(tblSalesData[[#This Row],[FY 2000]:[FY 2012]])</f>
        <v>310328</v>
      </c>
      <c r="T39" s="11">
        <v>11.99</v>
      </c>
      <c r="U39" s="12">
        <f>tblSalesData[[#This Row],[Total Units 
to Date]]*tblSalesData[[#This Row],[Sell Price]]</f>
        <v>3720832.72</v>
      </c>
      <c r="W39" s="4"/>
    </row>
    <row r="40" spans="1:23" x14ac:dyDescent="0.25">
      <c r="A40" s="4">
        <v>1055</v>
      </c>
      <c r="B40" s="9" t="s">
        <v>274</v>
      </c>
      <c r="C40" s="4" t="s">
        <v>26</v>
      </c>
      <c r="D40" s="4" t="s">
        <v>27</v>
      </c>
      <c r="E40" s="4" t="s">
        <v>17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94426</v>
      </c>
      <c r="N40" s="10">
        <v>82962</v>
      </c>
      <c r="O40" s="10">
        <v>60071</v>
      </c>
      <c r="P40" s="4">
        <v>19680</v>
      </c>
      <c r="Q40" s="4">
        <v>21017</v>
      </c>
      <c r="R40" s="4">
        <v>29503</v>
      </c>
      <c r="S40" s="24">
        <f>SUM(tblSalesData[[#This Row],[FY 2000]:[FY 2012]])</f>
        <v>307659</v>
      </c>
      <c r="T40" s="11">
        <v>12.99</v>
      </c>
      <c r="U40" s="12">
        <f>tblSalesData[[#This Row],[Total Units 
to Date]]*tblSalesData[[#This Row],[Sell Price]]</f>
        <v>3996490.41</v>
      </c>
      <c r="W40" s="4"/>
    </row>
    <row r="41" spans="1:23" x14ac:dyDescent="0.25">
      <c r="A41" s="4">
        <v>1055</v>
      </c>
      <c r="B41" s="9" t="s">
        <v>274</v>
      </c>
      <c r="C41" s="4" t="s">
        <v>26</v>
      </c>
      <c r="D41" s="4" t="s">
        <v>27</v>
      </c>
      <c r="E41" s="4" t="s">
        <v>19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78898</v>
      </c>
      <c r="N41" s="10">
        <v>58887</v>
      </c>
      <c r="O41" s="10">
        <v>60178</v>
      </c>
      <c r="P41" s="4">
        <v>16351</v>
      </c>
      <c r="Q41" s="4">
        <v>17231</v>
      </c>
      <c r="R41" s="4">
        <v>5189</v>
      </c>
      <c r="S41" s="24">
        <f>SUM(tblSalesData[[#This Row],[FY 2000]:[FY 2012]])</f>
        <v>236734</v>
      </c>
      <c r="T41" s="11">
        <v>15.99</v>
      </c>
      <c r="U41" s="12">
        <f>tblSalesData[[#This Row],[Total Units 
to Date]]*tblSalesData[[#This Row],[Sell Price]]</f>
        <v>3785376.66</v>
      </c>
      <c r="W41" s="4"/>
    </row>
    <row r="42" spans="1:23" x14ac:dyDescent="0.25">
      <c r="A42" s="4">
        <v>1056</v>
      </c>
      <c r="B42" s="9" t="s">
        <v>279</v>
      </c>
      <c r="C42" s="4" t="s">
        <v>26</v>
      </c>
      <c r="D42" s="4" t="s">
        <v>27</v>
      </c>
      <c r="E42" s="4" t="s">
        <v>16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4">
        <v>80540</v>
      </c>
      <c r="Q42" s="4">
        <v>29961</v>
      </c>
      <c r="R42" s="4">
        <v>29228</v>
      </c>
      <c r="S42" s="24">
        <f>SUM(tblSalesData[[#This Row],[FY 2000]:[FY 2012]])</f>
        <v>139729</v>
      </c>
      <c r="T42" s="11">
        <v>11.99</v>
      </c>
      <c r="U42" s="12">
        <f>tblSalesData[[#This Row],[Total Units 
to Date]]*tblSalesData[[#This Row],[Sell Price]]</f>
        <v>1675350.71</v>
      </c>
      <c r="W42" s="4"/>
    </row>
    <row r="43" spans="1:23" x14ac:dyDescent="0.25">
      <c r="A43" s="4">
        <v>1056</v>
      </c>
      <c r="B43" s="9" t="s">
        <v>281</v>
      </c>
      <c r="C43" s="4" t="s">
        <v>26</v>
      </c>
      <c r="D43" s="4" t="s">
        <v>27</v>
      </c>
      <c r="E43" s="4" t="s">
        <v>19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4">
        <v>86338</v>
      </c>
      <c r="Q43" s="4">
        <v>20202</v>
      </c>
      <c r="R43" s="4">
        <v>12675</v>
      </c>
      <c r="S43" s="24">
        <f>SUM(tblSalesData[[#This Row],[FY 2000]:[FY 2012]])</f>
        <v>119215</v>
      </c>
      <c r="T43" s="11">
        <v>15.99</v>
      </c>
      <c r="U43" s="12">
        <f>tblSalesData[[#This Row],[Total Units 
to Date]]*tblSalesData[[#This Row],[Sell Price]]</f>
        <v>1906247.85</v>
      </c>
      <c r="W43" s="4"/>
    </row>
    <row r="44" spans="1:23" x14ac:dyDescent="0.25">
      <c r="A44" s="4">
        <v>1056</v>
      </c>
      <c r="B44" s="9" t="s">
        <v>282</v>
      </c>
      <c r="C44" s="4" t="s">
        <v>26</v>
      </c>
      <c r="D44" s="4" t="s">
        <v>27</v>
      </c>
      <c r="E44" s="4" t="s">
        <v>17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4">
        <v>25465</v>
      </c>
      <c r="Q44" s="4">
        <v>40737</v>
      </c>
      <c r="R44" s="4">
        <v>23671</v>
      </c>
      <c r="S44" s="24">
        <f>SUM(tblSalesData[[#This Row],[FY 2000]:[FY 2012]])</f>
        <v>89873</v>
      </c>
      <c r="T44" s="11">
        <v>12.99</v>
      </c>
      <c r="U44" s="12">
        <f>tblSalesData[[#This Row],[Total Units 
to Date]]*tblSalesData[[#This Row],[Sell Price]]</f>
        <v>1167450.27</v>
      </c>
      <c r="W44" s="4"/>
    </row>
    <row r="45" spans="1:23" x14ac:dyDescent="0.25">
      <c r="A45" s="4">
        <v>1057</v>
      </c>
      <c r="B45" s="9" t="s">
        <v>308</v>
      </c>
      <c r="C45" s="4" t="s">
        <v>26</v>
      </c>
      <c r="D45" s="4" t="s">
        <v>27</v>
      </c>
      <c r="E45" s="4" t="s">
        <v>16</v>
      </c>
      <c r="F45" s="10">
        <v>86620</v>
      </c>
      <c r="G45" s="10">
        <v>48323</v>
      </c>
      <c r="H45" s="10">
        <v>65067</v>
      </c>
      <c r="I45" s="10">
        <v>93240</v>
      </c>
      <c r="J45" s="10">
        <v>48014</v>
      </c>
      <c r="K45" s="10">
        <v>99370</v>
      </c>
      <c r="L45" s="10">
        <v>38319</v>
      </c>
      <c r="M45" s="10">
        <v>33790</v>
      </c>
      <c r="N45" s="10">
        <v>82639</v>
      </c>
      <c r="O45" s="10">
        <v>27703</v>
      </c>
      <c r="P45" s="4">
        <v>60757</v>
      </c>
      <c r="Q45" s="4">
        <v>43255</v>
      </c>
      <c r="R45" s="4">
        <v>9407</v>
      </c>
      <c r="S45" s="24">
        <f>SUM(tblSalesData[[#This Row],[FY 2000]:[FY 2012]])</f>
        <v>736504</v>
      </c>
      <c r="T45" s="11">
        <v>11.99</v>
      </c>
      <c r="U45" s="12">
        <f>tblSalesData[[#This Row],[Total Units 
to Date]]*tblSalesData[[#This Row],[Sell Price]]</f>
        <v>8830682.9600000009</v>
      </c>
      <c r="W45" s="4"/>
    </row>
    <row r="46" spans="1:23" x14ac:dyDescent="0.25">
      <c r="A46" s="4">
        <v>1057</v>
      </c>
      <c r="B46" s="9" t="s">
        <v>311</v>
      </c>
      <c r="C46" s="4" t="s">
        <v>26</v>
      </c>
      <c r="D46" s="4" t="s">
        <v>27</v>
      </c>
      <c r="E46" s="4" t="s">
        <v>16</v>
      </c>
      <c r="F46" s="10">
        <v>5090</v>
      </c>
      <c r="G46" s="10">
        <v>16589</v>
      </c>
      <c r="H46" s="10">
        <v>93559</v>
      </c>
      <c r="I46" s="10">
        <v>76165</v>
      </c>
      <c r="J46" s="10">
        <v>99104</v>
      </c>
      <c r="K46" s="10">
        <v>13272</v>
      </c>
      <c r="L46" s="10">
        <v>52100</v>
      </c>
      <c r="M46" s="10">
        <v>12109</v>
      </c>
      <c r="N46" s="10">
        <v>52710</v>
      </c>
      <c r="O46" s="10">
        <v>45867</v>
      </c>
      <c r="P46" s="4">
        <v>12326</v>
      </c>
      <c r="Q46" s="4">
        <v>19527</v>
      </c>
      <c r="R46" s="4">
        <v>6086</v>
      </c>
      <c r="S46" s="24">
        <f>SUM(tblSalesData[[#This Row],[FY 2000]:[FY 2012]])</f>
        <v>504504</v>
      </c>
      <c r="T46" s="11">
        <v>11.99</v>
      </c>
      <c r="U46" s="12">
        <f>tblSalesData[[#This Row],[Total Units 
to Date]]*tblSalesData[[#This Row],[Sell Price]]</f>
        <v>6049002.96</v>
      </c>
      <c r="W46" s="4"/>
    </row>
    <row r="47" spans="1:23" x14ac:dyDescent="0.25">
      <c r="A47" s="4">
        <v>1057</v>
      </c>
      <c r="B47" s="9" t="s">
        <v>311</v>
      </c>
      <c r="C47" s="4" t="s">
        <v>26</v>
      </c>
      <c r="D47" s="4" t="s">
        <v>27</v>
      </c>
      <c r="E47" s="4" t="s">
        <v>17</v>
      </c>
      <c r="F47" s="10">
        <v>79994</v>
      </c>
      <c r="G47" s="10">
        <v>49262</v>
      </c>
      <c r="H47" s="10">
        <v>50450</v>
      </c>
      <c r="I47" s="10">
        <v>56191</v>
      </c>
      <c r="J47" s="10">
        <v>75836</v>
      </c>
      <c r="K47" s="10">
        <v>65068</v>
      </c>
      <c r="L47" s="10">
        <v>90147</v>
      </c>
      <c r="M47" s="10">
        <v>81134</v>
      </c>
      <c r="N47" s="10">
        <v>74537</v>
      </c>
      <c r="O47" s="10">
        <v>1235</v>
      </c>
      <c r="P47" s="4">
        <v>17037</v>
      </c>
      <c r="Q47" s="4">
        <v>35302</v>
      </c>
      <c r="R47" s="4">
        <v>30613</v>
      </c>
      <c r="S47" s="24">
        <f>SUM(tblSalesData[[#This Row],[FY 2000]:[FY 2012]])</f>
        <v>706806</v>
      </c>
      <c r="T47" s="11">
        <v>12.99</v>
      </c>
      <c r="U47" s="12">
        <f>tblSalesData[[#This Row],[Total Units 
to Date]]*tblSalesData[[#This Row],[Sell Price]]</f>
        <v>9181409.9399999995</v>
      </c>
      <c r="W47" s="4"/>
    </row>
    <row r="48" spans="1:23" x14ac:dyDescent="0.25">
      <c r="A48" s="4">
        <v>1062</v>
      </c>
      <c r="B48" s="9" t="s">
        <v>322</v>
      </c>
      <c r="C48" s="4" t="s">
        <v>26</v>
      </c>
      <c r="D48" s="4" t="s">
        <v>27</v>
      </c>
      <c r="E48" s="4" t="s">
        <v>19</v>
      </c>
      <c r="F48" s="10">
        <v>0</v>
      </c>
      <c r="G48" s="10">
        <v>0</v>
      </c>
      <c r="H48" s="10">
        <v>0</v>
      </c>
      <c r="I48" s="10">
        <v>0</v>
      </c>
      <c r="J48" s="10">
        <v>11924</v>
      </c>
      <c r="K48" s="10">
        <v>1672</v>
      </c>
      <c r="L48" s="10">
        <v>1196</v>
      </c>
      <c r="M48" s="10">
        <v>47462</v>
      </c>
      <c r="N48" s="10">
        <v>46368</v>
      </c>
      <c r="O48" s="10">
        <v>74891</v>
      </c>
      <c r="P48" s="4">
        <v>62580</v>
      </c>
      <c r="Q48" s="4">
        <v>53402</v>
      </c>
      <c r="R48" s="4">
        <v>17269</v>
      </c>
      <c r="S48" s="24">
        <f>SUM(tblSalesData[[#This Row],[FY 2000]:[FY 2012]])</f>
        <v>316764</v>
      </c>
      <c r="T48" s="11">
        <v>15.99</v>
      </c>
      <c r="U48" s="12">
        <f>tblSalesData[[#This Row],[Total Units 
to Date]]*tblSalesData[[#This Row],[Sell Price]]</f>
        <v>5065056.3600000003</v>
      </c>
      <c r="W48" s="4"/>
    </row>
    <row r="49" spans="1:23" x14ac:dyDescent="0.25">
      <c r="A49" s="4">
        <v>1063</v>
      </c>
      <c r="B49" s="9" t="s">
        <v>329</v>
      </c>
      <c r="C49" s="4" t="s">
        <v>26</v>
      </c>
      <c r="D49" s="4" t="s">
        <v>27</v>
      </c>
      <c r="E49" s="4" t="s">
        <v>19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67033</v>
      </c>
      <c r="O49" s="10">
        <v>93632</v>
      </c>
      <c r="P49" s="4">
        <v>38939</v>
      </c>
      <c r="Q49" s="4">
        <v>37181</v>
      </c>
      <c r="R49" s="4">
        <v>14172</v>
      </c>
      <c r="S49" s="24">
        <f>SUM(tblSalesData[[#This Row],[FY 2000]:[FY 2012]])</f>
        <v>250957</v>
      </c>
      <c r="T49" s="11">
        <v>15.99</v>
      </c>
      <c r="U49" s="12">
        <f>tblSalesData[[#This Row],[Total Units 
to Date]]*tblSalesData[[#This Row],[Sell Price]]</f>
        <v>4012802.43</v>
      </c>
      <c r="W49" s="4"/>
    </row>
    <row r="50" spans="1:23" x14ac:dyDescent="0.25">
      <c r="A50" s="4">
        <v>1063</v>
      </c>
      <c r="B50" s="9" t="s">
        <v>331</v>
      </c>
      <c r="C50" s="4" t="s">
        <v>26</v>
      </c>
      <c r="D50" s="4" t="s">
        <v>27</v>
      </c>
      <c r="E50" s="4" t="s">
        <v>17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69024</v>
      </c>
      <c r="O50" s="10">
        <v>66280</v>
      </c>
      <c r="P50" s="4">
        <v>38870</v>
      </c>
      <c r="Q50" s="4">
        <v>26557</v>
      </c>
      <c r="R50" s="4">
        <v>10448</v>
      </c>
      <c r="S50" s="24">
        <f>SUM(tblSalesData[[#This Row],[FY 2000]:[FY 2012]])</f>
        <v>211179</v>
      </c>
      <c r="T50" s="11">
        <v>12.99</v>
      </c>
      <c r="U50" s="12">
        <f>tblSalesData[[#This Row],[Total Units 
to Date]]*tblSalesData[[#This Row],[Sell Price]]</f>
        <v>2743215.21</v>
      </c>
      <c r="W50" s="4"/>
    </row>
    <row r="51" spans="1:23" x14ac:dyDescent="0.25">
      <c r="A51" s="4">
        <v>1066</v>
      </c>
      <c r="B51" s="9" t="s">
        <v>362</v>
      </c>
      <c r="C51" s="4" t="s">
        <v>26</v>
      </c>
      <c r="D51" s="4" t="s">
        <v>27</v>
      </c>
      <c r="E51" s="4" t="s">
        <v>19</v>
      </c>
      <c r="F51" s="10">
        <v>0</v>
      </c>
      <c r="G51" s="10">
        <v>0</v>
      </c>
      <c r="H51" s="10">
        <v>46655</v>
      </c>
      <c r="I51" s="10">
        <v>90145</v>
      </c>
      <c r="J51" s="10">
        <v>51319</v>
      </c>
      <c r="K51" s="10">
        <v>90250</v>
      </c>
      <c r="L51" s="10">
        <v>89896</v>
      </c>
      <c r="M51" s="10">
        <v>38620</v>
      </c>
      <c r="N51" s="10">
        <v>25556</v>
      </c>
      <c r="O51" s="10">
        <v>50409</v>
      </c>
      <c r="P51" s="4">
        <v>69218</v>
      </c>
      <c r="Q51" s="4">
        <v>36964</v>
      </c>
      <c r="R51" s="4">
        <v>16277</v>
      </c>
      <c r="S51" s="24">
        <f>SUM(tblSalesData[[#This Row],[FY 2000]:[FY 2012]])</f>
        <v>605309</v>
      </c>
      <c r="T51" s="11">
        <v>15.99</v>
      </c>
      <c r="U51" s="12">
        <f>tblSalesData[[#This Row],[Total Units 
to Date]]*tblSalesData[[#This Row],[Sell Price]]</f>
        <v>9678890.9100000001</v>
      </c>
      <c r="W51" s="4"/>
    </row>
    <row r="52" spans="1:23" x14ac:dyDescent="0.25">
      <c r="A52" s="4">
        <v>1067</v>
      </c>
      <c r="B52" s="9" t="s">
        <v>365</v>
      </c>
      <c r="C52" s="4" t="s">
        <v>26</v>
      </c>
      <c r="D52" s="4" t="s">
        <v>27</v>
      </c>
      <c r="E52" s="4" t="s">
        <v>19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4">
        <v>0</v>
      </c>
      <c r="Q52" s="4">
        <v>0</v>
      </c>
      <c r="R52" s="4">
        <v>445259</v>
      </c>
      <c r="S52" s="24">
        <f>SUM(tblSalesData[[#This Row],[FY 2000]:[FY 2012]])</f>
        <v>445259</v>
      </c>
      <c r="T52" s="11">
        <v>15.99</v>
      </c>
      <c r="U52" s="12">
        <f>tblSalesData[[#This Row],[Total Units 
to Date]]*tblSalesData[[#This Row],[Sell Price]]</f>
        <v>7119691.4100000001</v>
      </c>
      <c r="W52" s="4"/>
    </row>
    <row r="53" spans="1:23" x14ac:dyDescent="0.25">
      <c r="A53" s="4">
        <v>1067</v>
      </c>
      <c r="B53" s="9" t="s">
        <v>371</v>
      </c>
      <c r="C53" s="4" t="s">
        <v>26</v>
      </c>
      <c r="D53" s="4" t="s">
        <v>27</v>
      </c>
      <c r="E53" s="4" t="s">
        <v>19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4">
        <v>0</v>
      </c>
      <c r="Q53" s="4">
        <v>0</v>
      </c>
      <c r="R53" s="4">
        <v>263137</v>
      </c>
      <c r="S53" s="24">
        <f>SUM(tblSalesData[[#This Row],[FY 2000]:[FY 2012]])</f>
        <v>263137</v>
      </c>
      <c r="T53" s="11">
        <v>15.99</v>
      </c>
      <c r="U53" s="12">
        <f>tblSalesData[[#This Row],[Total Units 
to Date]]*tblSalesData[[#This Row],[Sell Price]]</f>
        <v>4207560.63</v>
      </c>
      <c r="W53" s="4"/>
    </row>
    <row r="54" spans="1:23" x14ac:dyDescent="0.25">
      <c r="A54" s="4">
        <v>1006</v>
      </c>
      <c r="B54" s="9" t="s">
        <v>64</v>
      </c>
      <c r="C54" s="4" t="s">
        <v>13</v>
      </c>
      <c r="D54" s="4" t="s">
        <v>27</v>
      </c>
      <c r="E54" s="4" t="s">
        <v>17</v>
      </c>
      <c r="F54" s="10">
        <v>985</v>
      </c>
      <c r="G54" s="10">
        <v>2272</v>
      </c>
      <c r="H54" s="10">
        <v>2475</v>
      </c>
      <c r="I54" s="10">
        <v>2552</v>
      </c>
      <c r="J54" s="10">
        <v>4444</v>
      </c>
      <c r="K54" s="10">
        <v>3701</v>
      </c>
      <c r="L54" s="10">
        <v>6086</v>
      </c>
      <c r="M54" s="10">
        <v>4890</v>
      </c>
      <c r="N54" s="10">
        <v>5953</v>
      </c>
      <c r="O54" s="10">
        <v>6475</v>
      </c>
      <c r="P54" s="4">
        <v>5126</v>
      </c>
      <c r="Q54" s="4">
        <v>5921</v>
      </c>
      <c r="R54" s="4">
        <v>2669</v>
      </c>
      <c r="S54" s="24">
        <f>SUM(tblSalesData[[#This Row],[FY 2000]:[FY 2012]])</f>
        <v>53549</v>
      </c>
      <c r="T54" s="11">
        <v>12.99</v>
      </c>
      <c r="U54" s="12">
        <f>tblSalesData[[#This Row],[Total Units 
to Date]]*tblSalesData[[#This Row],[Sell Price]]</f>
        <v>695601.51</v>
      </c>
      <c r="W54" s="4"/>
    </row>
    <row r="55" spans="1:23" x14ac:dyDescent="0.25">
      <c r="A55" s="4">
        <v>1006</v>
      </c>
      <c r="B55" s="9" t="s">
        <v>64</v>
      </c>
      <c r="C55" s="4" t="s">
        <v>13</v>
      </c>
      <c r="D55" s="4" t="s">
        <v>27</v>
      </c>
      <c r="E55" s="4" t="s">
        <v>19</v>
      </c>
      <c r="F55" s="10">
        <v>455</v>
      </c>
      <c r="G55" s="10">
        <v>287</v>
      </c>
      <c r="H55" s="10">
        <v>1501</v>
      </c>
      <c r="I55" s="10">
        <v>2587</v>
      </c>
      <c r="J55" s="10">
        <v>4273</v>
      </c>
      <c r="K55" s="10">
        <v>4734</v>
      </c>
      <c r="L55" s="10">
        <v>3666</v>
      </c>
      <c r="M55" s="10">
        <v>2905</v>
      </c>
      <c r="N55" s="10">
        <v>2810</v>
      </c>
      <c r="O55" s="10">
        <v>2120</v>
      </c>
      <c r="P55" s="4">
        <v>3322</v>
      </c>
      <c r="Q55" s="4">
        <v>3714</v>
      </c>
      <c r="R55" s="4">
        <v>2731</v>
      </c>
      <c r="S55" s="24">
        <f>SUM(tblSalesData[[#This Row],[FY 2000]:[FY 2012]])</f>
        <v>35105</v>
      </c>
      <c r="T55" s="11">
        <v>15.99</v>
      </c>
      <c r="U55" s="12">
        <f>tblSalesData[[#This Row],[Total Units 
to Date]]*tblSalesData[[#This Row],[Sell Price]]</f>
        <v>561328.94999999995</v>
      </c>
      <c r="W55" s="4"/>
    </row>
    <row r="56" spans="1:23" x14ac:dyDescent="0.25">
      <c r="A56" s="4">
        <v>1006</v>
      </c>
      <c r="B56" s="9" t="s">
        <v>66</v>
      </c>
      <c r="C56" s="4" t="s">
        <v>13</v>
      </c>
      <c r="D56" s="4" t="s">
        <v>27</v>
      </c>
      <c r="E56" s="4" t="s">
        <v>16</v>
      </c>
      <c r="F56" s="10">
        <v>368</v>
      </c>
      <c r="G56" s="10">
        <v>1179</v>
      </c>
      <c r="H56" s="10">
        <v>2505</v>
      </c>
      <c r="I56" s="10">
        <v>2513</v>
      </c>
      <c r="J56" s="10">
        <v>2400</v>
      </c>
      <c r="K56" s="10">
        <v>1896</v>
      </c>
      <c r="L56" s="10">
        <v>4965</v>
      </c>
      <c r="M56" s="10">
        <v>2209</v>
      </c>
      <c r="N56" s="10">
        <v>3344</v>
      </c>
      <c r="O56" s="10">
        <v>5983</v>
      </c>
      <c r="P56" s="4">
        <v>5396</v>
      </c>
      <c r="Q56" s="4">
        <v>4524</v>
      </c>
      <c r="R56" s="4">
        <v>1842</v>
      </c>
      <c r="S56" s="24">
        <f>SUM(tblSalesData[[#This Row],[FY 2000]:[FY 2012]])</f>
        <v>39124</v>
      </c>
      <c r="T56" s="11">
        <v>11.99</v>
      </c>
      <c r="U56" s="12">
        <f>tblSalesData[[#This Row],[Total Units 
to Date]]*tblSalesData[[#This Row],[Sell Price]]</f>
        <v>469096.76</v>
      </c>
      <c r="W56" s="4"/>
    </row>
    <row r="57" spans="1:23" x14ac:dyDescent="0.25">
      <c r="A57" s="4">
        <v>1011</v>
      </c>
      <c r="B57" s="9" t="s">
        <v>79</v>
      </c>
      <c r="C57" s="4" t="s">
        <v>13</v>
      </c>
      <c r="D57" s="4" t="s">
        <v>27</v>
      </c>
      <c r="E57" s="4" t="s">
        <v>19</v>
      </c>
      <c r="F57" s="10">
        <v>0</v>
      </c>
      <c r="G57" s="10">
        <v>150</v>
      </c>
      <c r="H57" s="10">
        <v>854</v>
      </c>
      <c r="I57" s="10">
        <v>872</v>
      </c>
      <c r="J57" s="10">
        <v>1635</v>
      </c>
      <c r="K57" s="10">
        <v>1665</v>
      </c>
      <c r="L57" s="10">
        <v>1366</v>
      </c>
      <c r="M57" s="10">
        <v>2243</v>
      </c>
      <c r="N57" s="10">
        <v>1553</v>
      </c>
      <c r="O57" s="10">
        <v>2471</v>
      </c>
      <c r="P57" s="4">
        <v>1618</v>
      </c>
      <c r="Q57" s="4">
        <v>1740</v>
      </c>
      <c r="R57" s="4">
        <v>1151</v>
      </c>
      <c r="S57" s="24">
        <f>SUM(tblSalesData[[#This Row],[FY 2000]:[FY 2012]])</f>
        <v>17318</v>
      </c>
      <c r="T57" s="11">
        <v>15.99</v>
      </c>
      <c r="U57" s="12">
        <f>tblSalesData[[#This Row],[Total Units 
to Date]]*tblSalesData[[#This Row],[Sell Price]]</f>
        <v>276914.82</v>
      </c>
      <c r="W57" s="4"/>
    </row>
    <row r="58" spans="1:23" x14ac:dyDescent="0.25">
      <c r="A58" s="4">
        <v>1011</v>
      </c>
      <c r="B58" s="9" t="s">
        <v>81</v>
      </c>
      <c r="C58" s="4" t="s">
        <v>13</v>
      </c>
      <c r="D58" s="4" t="s">
        <v>27</v>
      </c>
      <c r="E58" s="4" t="s">
        <v>19</v>
      </c>
      <c r="F58" s="10">
        <v>0</v>
      </c>
      <c r="G58" s="10">
        <v>52</v>
      </c>
      <c r="H58" s="10">
        <v>596</v>
      </c>
      <c r="I58" s="10">
        <v>1427</v>
      </c>
      <c r="J58" s="10">
        <v>1043</v>
      </c>
      <c r="K58" s="10">
        <v>1450</v>
      </c>
      <c r="L58" s="10">
        <v>1905</v>
      </c>
      <c r="M58" s="10">
        <v>1886</v>
      </c>
      <c r="N58" s="10">
        <v>1562</v>
      </c>
      <c r="O58" s="10">
        <v>2056</v>
      </c>
      <c r="P58" s="4">
        <v>2317</v>
      </c>
      <c r="Q58" s="4">
        <v>1442</v>
      </c>
      <c r="R58" s="4">
        <v>1325</v>
      </c>
      <c r="S58" s="24">
        <f>SUM(tblSalesData[[#This Row],[FY 2000]:[FY 2012]])</f>
        <v>17061</v>
      </c>
      <c r="T58" s="11">
        <v>15.99</v>
      </c>
      <c r="U58" s="12">
        <f>tblSalesData[[#This Row],[Total Units 
to Date]]*tblSalesData[[#This Row],[Sell Price]]</f>
        <v>272805.39</v>
      </c>
      <c r="W58" s="4"/>
    </row>
    <row r="59" spans="1:23" x14ac:dyDescent="0.25">
      <c r="A59" s="4">
        <v>1013</v>
      </c>
      <c r="B59" s="9" t="s">
        <v>100</v>
      </c>
      <c r="C59" s="4" t="s">
        <v>13</v>
      </c>
      <c r="D59" s="4" t="s">
        <v>27</v>
      </c>
      <c r="E59" s="4" t="s">
        <v>19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27612</v>
      </c>
      <c r="L59" s="10">
        <v>31025</v>
      </c>
      <c r="M59" s="10">
        <v>35972</v>
      </c>
      <c r="N59" s="10">
        <v>37957</v>
      </c>
      <c r="O59" s="10">
        <v>45202</v>
      </c>
      <c r="P59" s="4">
        <v>43025</v>
      </c>
      <c r="Q59" s="4">
        <v>38281</v>
      </c>
      <c r="R59" s="4">
        <v>20925</v>
      </c>
      <c r="S59" s="24">
        <f>SUM(tblSalesData[[#This Row],[FY 2000]:[FY 2012]])</f>
        <v>279999</v>
      </c>
      <c r="T59" s="11">
        <v>15.99</v>
      </c>
      <c r="U59" s="12">
        <f>tblSalesData[[#This Row],[Total Units 
to Date]]*tblSalesData[[#This Row],[Sell Price]]</f>
        <v>4477184.01</v>
      </c>
      <c r="W59" s="4"/>
    </row>
    <row r="60" spans="1:23" x14ac:dyDescent="0.25">
      <c r="A60" s="4">
        <v>1013</v>
      </c>
      <c r="B60" s="9" t="s">
        <v>110</v>
      </c>
      <c r="C60" s="4" t="s">
        <v>13</v>
      </c>
      <c r="D60" s="4" t="s">
        <v>27</v>
      </c>
      <c r="E60" s="4" t="s">
        <v>19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45531</v>
      </c>
      <c r="P60" s="4">
        <v>44390</v>
      </c>
      <c r="Q60" s="4">
        <v>35992</v>
      </c>
      <c r="R60" s="4">
        <v>21899</v>
      </c>
      <c r="S60" s="24">
        <f>SUM(tblSalesData[[#This Row],[FY 2000]:[FY 2012]])</f>
        <v>147812</v>
      </c>
      <c r="T60" s="11">
        <v>15.99</v>
      </c>
      <c r="U60" s="12">
        <f>tblSalesData[[#This Row],[Total Units 
to Date]]*tblSalesData[[#This Row],[Sell Price]]</f>
        <v>2363513.88</v>
      </c>
      <c r="W60" s="4"/>
    </row>
    <row r="61" spans="1:23" x14ac:dyDescent="0.25">
      <c r="A61" s="4">
        <v>1015</v>
      </c>
      <c r="B61" s="9" t="s">
        <v>124</v>
      </c>
      <c r="C61" s="4" t="s">
        <v>13</v>
      </c>
      <c r="D61" s="4" t="s">
        <v>27</v>
      </c>
      <c r="E61" s="4" t="s">
        <v>17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114</v>
      </c>
      <c r="P61" s="4">
        <v>349</v>
      </c>
      <c r="Q61" s="4">
        <v>559</v>
      </c>
      <c r="R61" s="4">
        <v>363</v>
      </c>
      <c r="S61" s="24">
        <f>SUM(tblSalesData[[#This Row],[FY 2000]:[FY 2012]])</f>
        <v>1385</v>
      </c>
      <c r="T61" s="11">
        <v>12.99</v>
      </c>
      <c r="U61" s="12">
        <f>tblSalesData[[#This Row],[Total Units 
to Date]]*tblSalesData[[#This Row],[Sell Price]]</f>
        <v>17991.150000000001</v>
      </c>
      <c r="V61" s="2"/>
      <c r="W61" s="4"/>
    </row>
    <row r="62" spans="1:23" x14ac:dyDescent="0.25">
      <c r="A62" s="4">
        <v>1015</v>
      </c>
      <c r="B62" s="9" t="s">
        <v>124</v>
      </c>
      <c r="C62" s="4" t="s">
        <v>13</v>
      </c>
      <c r="D62" s="4" t="s">
        <v>27</v>
      </c>
      <c r="E62" s="4" t="s">
        <v>19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66</v>
      </c>
      <c r="P62" s="4">
        <v>409</v>
      </c>
      <c r="Q62" s="4">
        <v>372</v>
      </c>
      <c r="R62" s="4">
        <v>609</v>
      </c>
      <c r="S62" s="24">
        <f>SUM(tblSalesData[[#This Row],[FY 2000]:[FY 2012]])</f>
        <v>1456</v>
      </c>
      <c r="T62" s="11">
        <v>15.99</v>
      </c>
      <c r="U62" s="12">
        <f>tblSalesData[[#This Row],[Total Units 
to Date]]*tblSalesData[[#This Row],[Sell Price]]</f>
        <v>23281.439999999999</v>
      </c>
      <c r="V62" s="2"/>
      <c r="W62" s="4"/>
    </row>
    <row r="63" spans="1:23" x14ac:dyDescent="0.25">
      <c r="A63" s="4">
        <v>1029</v>
      </c>
      <c r="B63" s="9" t="s">
        <v>153</v>
      </c>
      <c r="C63" s="4" t="s">
        <v>13</v>
      </c>
      <c r="D63" s="4" t="s">
        <v>27</v>
      </c>
      <c r="E63" s="4" t="s">
        <v>16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78853</v>
      </c>
      <c r="N63" s="10">
        <v>25699</v>
      </c>
      <c r="O63" s="10">
        <v>58903</v>
      </c>
      <c r="P63" s="4">
        <v>28543</v>
      </c>
      <c r="Q63" s="4">
        <v>40076</v>
      </c>
      <c r="R63" s="4">
        <v>19987</v>
      </c>
      <c r="S63" s="24">
        <f>SUM(tblSalesData[[#This Row],[FY 2000]:[FY 2012]])</f>
        <v>252061</v>
      </c>
      <c r="T63" s="11">
        <v>11.99</v>
      </c>
      <c r="U63" s="12">
        <f>tblSalesData[[#This Row],[Total Units 
to Date]]*tblSalesData[[#This Row],[Sell Price]]</f>
        <v>3022211.39</v>
      </c>
      <c r="V63" s="2"/>
      <c r="W63" s="4"/>
    </row>
    <row r="64" spans="1:23" x14ac:dyDescent="0.25">
      <c r="A64" s="4">
        <v>1029</v>
      </c>
      <c r="B64" s="9" t="s">
        <v>155</v>
      </c>
      <c r="C64" s="4" t="s">
        <v>13</v>
      </c>
      <c r="D64" s="4" t="s">
        <v>27</v>
      </c>
      <c r="E64" s="4" t="s">
        <v>19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4">
        <v>5164</v>
      </c>
      <c r="Q64" s="4">
        <v>22593</v>
      </c>
      <c r="R64" s="4">
        <v>31254</v>
      </c>
      <c r="S64" s="24">
        <f>SUM(tblSalesData[[#This Row],[FY 2000]:[FY 2012]])</f>
        <v>59011</v>
      </c>
      <c r="T64" s="11">
        <v>15.99</v>
      </c>
      <c r="U64" s="12">
        <f>tblSalesData[[#This Row],[Total Units 
to Date]]*tblSalesData[[#This Row],[Sell Price]]</f>
        <v>943585.89</v>
      </c>
      <c r="V64" s="2"/>
      <c r="W64" s="4"/>
    </row>
    <row r="65" spans="1:23" x14ac:dyDescent="0.25">
      <c r="A65" s="4">
        <v>1032</v>
      </c>
      <c r="B65" s="9" t="s">
        <v>158</v>
      </c>
      <c r="C65" s="4" t="s">
        <v>13</v>
      </c>
      <c r="D65" s="4" t="s">
        <v>27</v>
      </c>
      <c r="E65" s="4" t="s">
        <v>16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73781</v>
      </c>
      <c r="M65" s="10">
        <v>83663</v>
      </c>
      <c r="N65" s="10">
        <v>9603</v>
      </c>
      <c r="O65" s="10">
        <v>35164</v>
      </c>
      <c r="P65" s="4">
        <v>64947</v>
      </c>
      <c r="Q65" s="4">
        <v>23341</v>
      </c>
      <c r="R65" s="4">
        <v>17334</v>
      </c>
      <c r="S65" s="24">
        <f>SUM(tblSalesData[[#This Row],[FY 2000]:[FY 2012]])</f>
        <v>307833</v>
      </c>
      <c r="T65" s="11">
        <v>11.99</v>
      </c>
      <c r="U65" s="12">
        <f>tblSalesData[[#This Row],[Total Units 
to Date]]*tblSalesData[[#This Row],[Sell Price]]</f>
        <v>3690917.67</v>
      </c>
      <c r="V65" s="2"/>
      <c r="W65" s="4"/>
    </row>
    <row r="66" spans="1:23" x14ac:dyDescent="0.25">
      <c r="A66" s="4">
        <v>1032</v>
      </c>
      <c r="B66" s="9" t="s">
        <v>162</v>
      </c>
      <c r="C66" s="4" t="s">
        <v>13</v>
      </c>
      <c r="D66" s="4" t="s">
        <v>27</v>
      </c>
      <c r="E66" s="4" t="s">
        <v>16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37960</v>
      </c>
      <c r="M66" s="10">
        <v>28783</v>
      </c>
      <c r="N66" s="10">
        <v>24813</v>
      </c>
      <c r="O66" s="10">
        <v>87542</v>
      </c>
      <c r="P66" s="4">
        <v>73763</v>
      </c>
      <c r="Q66" s="4">
        <v>54739</v>
      </c>
      <c r="R66" s="4">
        <v>24941</v>
      </c>
      <c r="S66" s="24">
        <f>SUM(tblSalesData[[#This Row],[FY 2000]:[FY 2012]])</f>
        <v>332541</v>
      </c>
      <c r="T66" s="11">
        <v>11.99</v>
      </c>
      <c r="U66" s="12">
        <f>tblSalesData[[#This Row],[Total Units 
to Date]]*tblSalesData[[#This Row],[Sell Price]]</f>
        <v>3987166.59</v>
      </c>
      <c r="V66" s="2"/>
      <c r="W66" s="4"/>
    </row>
    <row r="67" spans="1:23" x14ac:dyDescent="0.25">
      <c r="A67" s="4">
        <v>1033</v>
      </c>
      <c r="B67" s="9" t="s">
        <v>167</v>
      </c>
      <c r="C67" s="4" t="s">
        <v>13</v>
      </c>
      <c r="D67" s="4" t="s">
        <v>27</v>
      </c>
      <c r="E67" s="4" t="s">
        <v>19</v>
      </c>
      <c r="F67" s="10">
        <v>0</v>
      </c>
      <c r="G67" s="10">
        <v>0</v>
      </c>
      <c r="H67" s="10">
        <v>0</v>
      </c>
      <c r="I67" s="10">
        <v>4014</v>
      </c>
      <c r="J67" s="10">
        <v>5593</v>
      </c>
      <c r="K67" s="10">
        <v>8476</v>
      </c>
      <c r="L67" s="10">
        <v>12038</v>
      </c>
      <c r="M67" s="10">
        <v>16174</v>
      </c>
      <c r="N67" s="10">
        <v>18098</v>
      </c>
      <c r="O67" s="10">
        <v>28304</v>
      </c>
      <c r="P67" s="4">
        <v>28692</v>
      </c>
      <c r="Q67" s="4">
        <v>41705</v>
      </c>
      <c r="R67" s="4">
        <v>24239</v>
      </c>
      <c r="S67" s="24">
        <f>SUM(tblSalesData[[#This Row],[FY 2000]:[FY 2012]])</f>
        <v>187333</v>
      </c>
      <c r="T67" s="11">
        <v>15.99</v>
      </c>
      <c r="U67" s="12">
        <f>tblSalesData[[#This Row],[Total Units 
to Date]]*tblSalesData[[#This Row],[Sell Price]]</f>
        <v>2995454.67</v>
      </c>
      <c r="V67" s="2"/>
      <c r="W67" s="4"/>
    </row>
    <row r="68" spans="1:23" x14ac:dyDescent="0.25">
      <c r="A68" s="4">
        <v>1034</v>
      </c>
      <c r="B68" s="9" t="s">
        <v>190</v>
      </c>
      <c r="C68" s="4" t="s">
        <v>13</v>
      </c>
      <c r="D68" s="4" t="s">
        <v>27</v>
      </c>
      <c r="E68" s="4" t="s">
        <v>19</v>
      </c>
      <c r="F68" s="10">
        <v>0</v>
      </c>
      <c r="G68" s="10">
        <v>0</v>
      </c>
      <c r="H68" s="10">
        <v>0</v>
      </c>
      <c r="I68" s="10">
        <v>3423</v>
      </c>
      <c r="J68" s="10">
        <v>4270</v>
      </c>
      <c r="K68" s="10">
        <v>4590</v>
      </c>
      <c r="L68" s="10">
        <v>5202</v>
      </c>
      <c r="M68" s="10">
        <v>7915</v>
      </c>
      <c r="N68" s="10">
        <v>9791</v>
      </c>
      <c r="O68" s="10">
        <v>17518</v>
      </c>
      <c r="P68" s="4">
        <v>18539</v>
      </c>
      <c r="Q68" s="4">
        <v>19037</v>
      </c>
      <c r="R68" s="4">
        <v>13031</v>
      </c>
      <c r="S68" s="24">
        <f>SUM(tblSalesData[[#This Row],[FY 2000]:[FY 2012]])</f>
        <v>103316</v>
      </c>
      <c r="T68" s="11">
        <v>15.99</v>
      </c>
      <c r="U68" s="12">
        <f>tblSalesData[[#This Row],[Total Units 
to Date]]*tblSalesData[[#This Row],[Sell Price]]</f>
        <v>1652022.84</v>
      </c>
      <c r="V68" s="2"/>
      <c r="W68" s="4"/>
    </row>
    <row r="69" spans="1:23" x14ac:dyDescent="0.25">
      <c r="A69" s="4">
        <v>1037</v>
      </c>
      <c r="B69" s="9" t="s">
        <v>197</v>
      </c>
      <c r="C69" s="4" t="s">
        <v>13</v>
      </c>
      <c r="D69" s="4" t="s">
        <v>27</v>
      </c>
      <c r="E69" s="4" t="s">
        <v>16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7060</v>
      </c>
      <c r="M69" s="10">
        <v>14504</v>
      </c>
      <c r="N69" s="10">
        <v>19480</v>
      </c>
      <c r="O69" s="10">
        <v>28697</v>
      </c>
      <c r="P69" s="4">
        <v>38521</v>
      </c>
      <c r="Q69" s="4">
        <v>67579</v>
      </c>
      <c r="R69" s="4">
        <v>33448</v>
      </c>
      <c r="S69" s="24">
        <f>SUM(tblSalesData[[#This Row],[FY 2000]:[FY 2012]])</f>
        <v>209289</v>
      </c>
      <c r="T69" s="11">
        <v>11.99</v>
      </c>
      <c r="U69" s="12">
        <f>tblSalesData[[#This Row],[Total Units 
to Date]]*tblSalesData[[#This Row],[Sell Price]]</f>
        <v>2509375.11</v>
      </c>
      <c r="V69" s="3"/>
      <c r="W69" s="4"/>
    </row>
    <row r="70" spans="1:23" x14ac:dyDescent="0.25">
      <c r="A70" s="4">
        <v>1037</v>
      </c>
      <c r="B70" s="9" t="s">
        <v>206</v>
      </c>
      <c r="C70" s="4" t="s">
        <v>13</v>
      </c>
      <c r="D70" s="4" t="s">
        <v>27</v>
      </c>
      <c r="E70" s="4" t="s">
        <v>19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29955</v>
      </c>
      <c r="P70" s="4">
        <v>36267</v>
      </c>
      <c r="Q70" s="4">
        <v>35096</v>
      </c>
      <c r="R70" s="4">
        <v>26551</v>
      </c>
      <c r="S70" s="24">
        <f>SUM(tblSalesData[[#This Row],[FY 2000]:[FY 2012]])</f>
        <v>127869</v>
      </c>
      <c r="T70" s="11">
        <v>15.99</v>
      </c>
      <c r="U70" s="12">
        <f>tblSalesData[[#This Row],[Total Units 
to Date]]*tblSalesData[[#This Row],[Sell Price]]</f>
        <v>2044625.31</v>
      </c>
      <c r="V70" s="3"/>
      <c r="W70" s="4"/>
    </row>
    <row r="71" spans="1:23" x14ac:dyDescent="0.25">
      <c r="A71" s="4">
        <v>1038</v>
      </c>
      <c r="B71" s="9" t="s">
        <v>212</v>
      </c>
      <c r="C71" s="4" t="s">
        <v>13</v>
      </c>
      <c r="D71" s="4" t="s">
        <v>27</v>
      </c>
      <c r="E71" s="4" t="s">
        <v>19</v>
      </c>
      <c r="F71" s="10">
        <v>0</v>
      </c>
      <c r="G71" s="10">
        <v>0</v>
      </c>
      <c r="H71" s="10">
        <v>100875</v>
      </c>
      <c r="I71" s="10">
        <v>130592</v>
      </c>
      <c r="J71" s="10">
        <v>137448</v>
      </c>
      <c r="K71" s="10">
        <v>153428</v>
      </c>
      <c r="L71" s="10">
        <v>248489</v>
      </c>
      <c r="M71" s="10">
        <v>276833</v>
      </c>
      <c r="N71" s="10">
        <v>375943</v>
      </c>
      <c r="O71" s="10">
        <v>553407</v>
      </c>
      <c r="P71" s="4">
        <v>629566</v>
      </c>
      <c r="Q71" s="4">
        <v>604492</v>
      </c>
      <c r="R71" s="4">
        <v>348747</v>
      </c>
      <c r="S71" s="24">
        <f>SUM(tblSalesData[[#This Row],[FY 2000]:[FY 2012]])</f>
        <v>3559820</v>
      </c>
      <c r="T71" s="11">
        <v>15.99</v>
      </c>
      <c r="U71" s="12">
        <f>tblSalesData[[#This Row],[Total Units 
to Date]]*tblSalesData[[#This Row],[Sell Price]]</f>
        <v>56921521.800000004</v>
      </c>
      <c r="V71" s="3"/>
      <c r="W71" s="4"/>
    </row>
    <row r="72" spans="1:23" x14ac:dyDescent="0.25">
      <c r="A72" s="4">
        <v>1038</v>
      </c>
      <c r="B72" s="9" t="s">
        <v>215</v>
      </c>
      <c r="C72" s="4" t="s">
        <v>13</v>
      </c>
      <c r="D72" s="4" t="s">
        <v>27</v>
      </c>
      <c r="E72" s="4" t="s">
        <v>17</v>
      </c>
      <c r="F72" s="10">
        <v>0</v>
      </c>
      <c r="G72" s="10">
        <v>0</v>
      </c>
      <c r="H72" s="10">
        <v>0</v>
      </c>
      <c r="I72" s="10">
        <v>125302</v>
      </c>
      <c r="J72" s="10">
        <v>135847</v>
      </c>
      <c r="K72" s="10">
        <v>151657</v>
      </c>
      <c r="L72" s="10">
        <v>211946</v>
      </c>
      <c r="M72" s="10">
        <v>283704</v>
      </c>
      <c r="N72" s="10">
        <v>310405</v>
      </c>
      <c r="O72" s="10">
        <v>507711</v>
      </c>
      <c r="P72" s="4">
        <v>541246</v>
      </c>
      <c r="Q72" s="4">
        <v>655402</v>
      </c>
      <c r="R72" s="4">
        <v>361884</v>
      </c>
      <c r="S72" s="24">
        <f>SUM(tblSalesData[[#This Row],[FY 2000]:[FY 2012]])</f>
        <v>3285104</v>
      </c>
      <c r="T72" s="11">
        <v>12.99</v>
      </c>
      <c r="U72" s="12">
        <f>tblSalesData[[#This Row],[Total Units 
to Date]]*tblSalesData[[#This Row],[Sell Price]]</f>
        <v>42673500.960000001</v>
      </c>
      <c r="V72" s="3"/>
      <c r="W72" s="4"/>
    </row>
    <row r="73" spans="1:23" x14ac:dyDescent="0.25">
      <c r="A73" s="4">
        <v>1038</v>
      </c>
      <c r="B73" s="9" t="s">
        <v>218</v>
      </c>
      <c r="C73" s="4" t="s">
        <v>13</v>
      </c>
      <c r="D73" s="4" t="s">
        <v>27</v>
      </c>
      <c r="E73" s="4" t="s">
        <v>16</v>
      </c>
      <c r="F73" s="10">
        <v>0</v>
      </c>
      <c r="G73" s="10">
        <v>0</v>
      </c>
      <c r="H73" s="10">
        <v>0</v>
      </c>
      <c r="I73" s="10">
        <v>126892</v>
      </c>
      <c r="J73" s="10">
        <v>139796</v>
      </c>
      <c r="K73" s="10">
        <v>149267</v>
      </c>
      <c r="L73" s="10">
        <v>249694</v>
      </c>
      <c r="M73" s="10">
        <v>275544</v>
      </c>
      <c r="N73" s="10">
        <v>303094</v>
      </c>
      <c r="O73" s="10">
        <v>543793</v>
      </c>
      <c r="P73" s="4">
        <v>572249</v>
      </c>
      <c r="Q73" s="4">
        <v>650291</v>
      </c>
      <c r="R73" s="4">
        <v>468388</v>
      </c>
      <c r="S73" s="24">
        <f>SUM(tblSalesData[[#This Row],[FY 2000]:[FY 2012]])</f>
        <v>3479008</v>
      </c>
      <c r="T73" s="11">
        <v>11.99</v>
      </c>
      <c r="U73" s="12">
        <f>tblSalesData[[#This Row],[Total Units 
to Date]]*tblSalesData[[#This Row],[Sell Price]]</f>
        <v>41713305.920000002</v>
      </c>
      <c r="V73" s="3"/>
      <c r="W73" s="4"/>
    </row>
    <row r="74" spans="1:23" x14ac:dyDescent="0.25">
      <c r="A74" s="4">
        <v>1038</v>
      </c>
      <c r="B74" s="9" t="s">
        <v>219</v>
      </c>
      <c r="C74" s="4" t="s">
        <v>13</v>
      </c>
      <c r="D74" s="4" t="s">
        <v>27</v>
      </c>
      <c r="E74" s="4" t="s">
        <v>17</v>
      </c>
      <c r="F74" s="10">
        <v>0</v>
      </c>
      <c r="G74" s="10">
        <v>0</v>
      </c>
      <c r="H74" s="10">
        <v>0</v>
      </c>
      <c r="I74" s="10">
        <v>0</v>
      </c>
      <c r="J74" s="10">
        <v>144203</v>
      </c>
      <c r="K74" s="10">
        <v>154826</v>
      </c>
      <c r="L74" s="10">
        <v>180606</v>
      </c>
      <c r="M74" s="10">
        <v>276882</v>
      </c>
      <c r="N74" s="10">
        <v>359856</v>
      </c>
      <c r="O74" s="10">
        <v>456479</v>
      </c>
      <c r="P74" s="4">
        <v>549973</v>
      </c>
      <c r="Q74" s="4">
        <v>662120</v>
      </c>
      <c r="R74" s="4">
        <v>612076</v>
      </c>
      <c r="S74" s="24">
        <f>SUM(tblSalesData[[#This Row],[FY 2000]:[FY 2012]])</f>
        <v>3397021</v>
      </c>
      <c r="T74" s="11">
        <v>12.99</v>
      </c>
      <c r="U74" s="12">
        <f>tblSalesData[[#This Row],[Total Units 
to Date]]*tblSalesData[[#This Row],[Sell Price]]</f>
        <v>44127302.789999999</v>
      </c>
      <c r="V74" s="3"/>
      <c r="W74" s="4"/>
    </row>
    <row r="75" spans="1:23" x14ac:dyDescent="0.25">
      <c r="A75" s="4">
        <v>1038</v>
      </c>
      <c r="B75" s="9" t="s">
        <v>222</v>
      </c>
      <c r="C75" s="4" t="s">
        <v>13</v>
      </c>
      <c r="D75" s="4" t="s">
        <v>27</v>
      </c>
      <c r="E75" s="4" t="s">
        <v>16</v>
      </c>
      <c r="F75" s="10">
        <v>0</v>
      </c>
      <c r="G75" s="10">
        <v>0</v>
      </c>
      <c r="H75" s="10">
        <v>0</v>
      </c>
      <c r="I75" s="10">
        <v>0</v>
      </c>
      <c r="J75" s="10">
        <v>144662</v>
      </c>
      <c r="K75" s="10">
        <v>171513</v>
      </c>
      <c r="L75" s="10">
        <v>226562</v>
      </c>
      <c r="M75" s="10">
        <v>282987</v>
      </c>
      <c r="N75" s="10">
        <v>338600</v>
      </c>
      <c r="O75" s="10">
        <v>522477</v>
      </c>
      <c r="P75" s="4">
        <v>559566</v>
      </c>
      <c r="Q75" s="4">
        <v>578398</v>
      </c>
      <c r="R75" s="4">
        <v>422074</v>
      </c>
      <c r="S75" s="24">
        <f>SUM(tblSalesData[[#This Row],[FY 2000]:[FY 2012]])</f>
        <v>3246839</v>
      </c>
      <c r="T75" s="11">
        <v>11.99</v>
      </c>
      <c r="U75" s="12">
        <f>tblSalesData[[#This Row],[Total Units 
to Date]]*tblSalesData[[#This Row],[Sell Price]]</f>
        <v>38929599.609999999</v>
      </c>
      <c r="V75" s="3"/>
      <c r="W75" s="4"/>
    </row>
    <row r="76" spans="1:23" x14ac:dyDescent="0.25">
      <c r="A76" s="4">
        <v>1038</v>
      </c>
      <c r="B76" s="9" t="s">
        <v>228</v>
      </c>
      <c r="C76" s="4" t="s">
        <v>13</v>
      </c>
      <c r="D76" s="4" t="s">
        <v>27</v>
      </c>
      <c r="E76" s="4" t="s">
        <v>16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217697</v>
      </c>
      <c r="M76" s="10">
        <v>281764</v>
      </c>
      <c r="N76" s="10">
        <v>324759</v>
      </c>
      <c r="O76" s="10">
        <v>517785</v>
      </c>
      <c r="P76" s="4">
        <v>653060</v>
      </c>
      <c r="Q76" s="4">
        <v>694989</v>
      </c>
      <c r="R76" s="4">
        <v>423851</v>
      </c>
      <c r="S76" s="24">
        <f>SUM(tblSalesData[[#This Row],[FY 2000]:[FY 2012]])</f>
        <v>3113905</v>
      </c>
      <c r="T76" s="11">
        <v>11.99</v>
      </c>
      <c r="U76" s="12">
        <f>tblSalesData[[#This Row],[Total Units 
to Date]]*tblSalesData[[#This Row],[Sell Price]]</f>
        <v>37335720.950000003</v>
      </c>
      <c r="V76" s="3"/>
      <c r="W76" s="4"/>
    </row>
    <row r="77" spans="1:23" x14ac:dyDescent="0.25">
      <c r="A77" s="4">
        <v>1038</v>
      </c>
      <c r="B77" s="9" t="s">
        <v>229</v>
      </c>
      <c r="C77" s="4" t="s">
        <v>13</v>
      </c>
      <c r="D77" s="4" t="s">
        <v>27</v>
      </c>
      <c r="E77" s="4" t="s">
        <v>17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298902</v>
      </c>
      <c r="N77" s="10">
        <v>300189</v>
      </c>
      <c r="O77" s="10">
        <v>461456</v>
      </c>
      <c r="P77" s="4">
        <v>553680</v>
      </c>
      <c r="Q77" s="4">
        <v>543381</v>
      </c>
      <c r="R77" s="4">
        <v>548107</v>
      </c>
      <c r="S77" s="24">
        <f>SUM(tblSalesData[[#This Row],[FY 2000]:[FY 2012]])</f>
        <v>2705715</v>
      </c>
      <c r="T77" s="11">
        <v>12.99</v>
      </c>
      <c r="U77" s="12">
        <f>tblSalesData[[#This Row],[Total Units 
to Date]]*tblSalesData[[#This Row],[Sell Price]]</f>
        <v>35147237.850000001</v>
      </c>
      <c r="V77" s="3"/>
      <c r="W77" s="4"/>
    </row>
    <row r="78" spans="1:23" x14ac:dyDescent="0.25">
      <c r="A78" s="4">
        <v>1038</v>
      </c>
      <c r="B78" s="9" t="s">
        <v>232</v>
      </c>
      <c r="C78" s="4" t="s">
        <v>13</v>
      </c>
      <c r="D78" s="4" t="s">
        <v>27</v>
      </c>
      <c r="E78" s="4" t="s">
        <v>19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467075</v>
      </c>
      <c r="P78" s="4">
        <v>564197</v>
      </c>
      <c r="Q78" s="4">
        <v>575362</v>
      </c>
      <c r="R78" s="4">
        <v>412067</v>
      </c>
      <c r="S78" s="24">
        <f>SUM(tblSalesData[[#This Row],[FY 2000]:[FY 2012]])</f>
        <v>2018701</v>
      </c>
      <c r="T78" s="11">
        <v>15.99</v>
      </c>
      <c r="U78" s="12">
        <f>tblSalesData[[#This Row],[Total Units 
to Date]]*tblSalesData[[#This Row],[Sell Price]]</f>
        <v>32279028.990000002</v>
      </c>
      <c r="V78" s="3"/>
      <c r="W78" s="4"/>
    </row>
    <row r="79" spans="1:23" x14ac:dyDescent="0.25">
      <c r="A79" s="4">
        <v>1038</v>
      </c>
      <c r="B79" s="9" t="s">
        <v>234</v>
      </c>
      <c r="C79" s="4" t="s">
        <v>13</v>
      </c>
      <c r="D79" s="4" t="s">
        <v>27</v>
      </c>
      <c r="E79" s="4" t="s">
        <v>16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4">
        <v>664383</v>
      </c>
      <c r="Q79" s="4">
        <v>546682</v>
      </c>
      <c r="R79" s="4">
        <v>530753</v>
      </c>
      <c r="S79" s="24">
        <f>SUM(tblSalesData[[#This Row],[FY 2000]:[FY 2012]])</f>
        <v>1741818</v>
      </c>
      <c r="T79" s="11">
        <v>11.99</v>
      </c>
      <c r="U79" s="12">
        <f>tblSalesData[[#This Row],[Total Units 
to Date]]*tblSalesData[[#This Row],[Sell Price]]</f>
        <v>20884397.82</v>
      </c>
      <c r="V79" s="3"/>
      <c r="W79" s="4"/>
    </row>
    <row r="80" spans="1:23" x14ac:dyDescent="0.25">
      <c r="A80" s="4">
        <v>1042</v>
      </c>
      <c r="B80" s="9" t="s">
        <v>244</v>
      </c>
      <c r="C80" s="4" t="s">
        <v>13</v>
      </c>
      <c r="D80" s="4" t="s">
        <v>27</v>
      </c>
      <c r="E80" s="4" t="s">
        <v>17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144</v>
      </c>
      <c r="N80" s="10">
        <v>290</v>
      </c>
      <c r="O80" s="10">
        <v>650</v>
      </c>
      <c r="P80" s="4">
        <v>812</v>
      </c>
      <c r="Q80" s="4">
        <v>829</v>
      </c>
      <c r="R80" s="4">
        <v>536</v>
      </c>
      <c r="S80" s="24">
        <f>SUM(tblSalesData[[#This Row],[FY 2000]:[FY 2012]])</f>
        <v>3261</v>
      </c>
      <c r="T80" s="11">
        <v>12.99</v>
      </c>
      <c r="U80" s="12">
        <f>tblSalesData[[#This Row],[Total Units 
to Date]]*tblSalesData[[#This Row],[Sell Price]]</f>
        <v>42360.39</v>
      </c>
      <c r="V80" s="3"/>
      <c r="W80" s="4"/>
    </row>
    <row r="81" spans="1:23" x14ac:dyDescent="0.25">
      <c r="A81" s="4">
        <v>1048</v>
      </c>
      <c r="B81" s="9" t="s">
        <v>258</v>
      </c>
      <c r="C81" s="4" t="s">
        <v>13</v>
      </c>
      <c r="D81" s="4" t="s">
        <v>27</v>
      </c>
      <c r="E81" s="4" t="s">
        <v>19</v>
      </c>
      <c r="F81" s="10">
        <v>0</v>
      </c>
      <c r="G81" s="10">
        <v>47540</v>
      </c>
      <c r="H81" s="10">
        <v>34761</v>
      </c>
      <c r="I81" s="10">
        <v>45961</v>
      </c>
      <c r="J81" s="10">
        <v>22459</v>
      </c>
      <c r="K81" s="10">
        <v>83895</v>
      </c>
      <c r="L81" s="10">
        <v>62613</v>
      </c>
      <c r="M81" s="10">
        <v>50307</v>
      </c>
      <c r="N81" s="10">
        <v>31892</v>
      </c>
      <c r="O81" s="10">
        <v>83350</v>
      </c>
      <c r="P81" s="4">
        <v>9773</v>
      </c>
      <c r="Q81" s="4">
        <v>11444</v>
      </c>
      <c r="R81" s="4">
        <v>21407</v>
      </c>
      <c r="S81" s="24">
        <f>SUM(tblSalesData[[#This Row],[FY 2000]:[FY 2012]])</f>
        <v>505402</v>
      </c>
      <c r="T81" s="11">
        <v>15.99</v>
      </c>
      <c r="U81" s="12">
        <f>tblSalesData[[#This Row],[Total Units 
to Date]]*tblSalesData[[#This Row],[Sell Price]]</f>
        <v>8081377.9800000004</v>
      </c>
      <c r="V81" s="3"/>
      <c r="W81" s="4"/>
    </row>
    <row r="82" spans="1:23" x14ac:dyDescent="0.25">
      <c r="A82" s="4">
        <v>1048</v>
      </c>
      <c r="B82" s="9" t="s">
        <v>260</v>
      </c>
      <c r="C82" s="4" t="s">
        <v>13</v>
      </c>
      <c r="D82" s="4" t="s">
        <v>27</v>
      </c>
      <c r="E82" s="4" t="s">
        <v>17</v>
      </c>
      <c r="F82" s="10">
        <v>0</v>
      </c>
      <c r="G82" s="10">
        <v>86256</v>
      </c>
      <c r="H82" s="10">
        <v>12896</v>
      </c>
      <c r="I82" s="10">
        <v>21074</v>
      </c>
      <c r="J82" s="10">
        <v>20790</v>
      </c>
      <c r="K82" s="10">
        <v>74648</v>
      </c>
      <c r="L82" s="10">
        <v>87397</v>
      </c>
      <c r="M82" s="10">
        <v>79733</v>
      </c>
      <c r="N82" s="10">
        <v>99894</v>
      </c>
      <c r="O82" s="10">
        <v>27827</v>
      </c>
      <c r="P82" s="4">
        <v>15598</v>
      </c>
      <c r="Q82" s="4">
        <v>25522</v>
      </c>
      <c r="R82" s="4">
        <v>7050</v>
      </c>
      <c r="S82" s="24">
        <f>SUM(tblSalesData[[#This Row],[FY 2000]:[FY 2012]])</f>
        <v>558685</v>
      </c>
      <c r="T82" s="11">
        <v>12.99</v>
      </c>
      <c r="U82" s="12">
        <f>tblSalesData[[#This Row],[Total Units 
to Date]]*tblSalesData[[#This Row],[Sell Price]]</f>
        <v>7257318.1500000004</v>
      </c>
      <c r="V82" s="3"/>
      <c r="W82" s="4"/>
    </row>
    <row r="83" spans="1:23" x14ac:dyDescent="0.25">
      <c r="A83" s="4">
        <v>1048</v>
      </c>
      <c r="B83" s="9" t="s">
        <v>260</v>
      </c>
      <c r="C83" s="4" t="s">
        <v>13</v>
      </c>
      <c r="D83" s="4" t="s">
        <v>27</v>
      </c>
      <c r="E83" s="4" t="s">
        <v>19</v>
      </c>
      <c r="F83" s="10">
        <v>0</v>
      </c>
      <c r="G83" s="10">
        <v>45586</v>
      </c>
      <c r="H83" s="10">
        <v>50685</v>
      </c>
      <c r="I83" s="10">
        <v>21462</v>
      </c>
      <c r="J83" s="10">
        <v>1636</v>
      </c>
      <c r="K83" s="10">
        <v>10852</v>
      </c>
      <c r="L83" s="10">
        <v>31803</v>
      </c>
      <c r="M83" s="10">
        <v>17589</v>
      </c>
      <c r="N83" s="10">
        <v>69911</v>
      </c>
      <c r="O83" s="10">
        <v>99323</v>
      </c>
      <c r="P83" s="4">
        <v>76158</v>
      </c>
      <c r="Q83" s="4">
        <v>47676</v>
      </c>
      <c r="R83" s="4">
        <v>18373</v>
      </c>
      <c r="S83" s="24">
        <f>SUM(tblSalesData[[#This Row],[FY 2000]:[FY 2012]])</f>
        <v>491054</v>
      </c>
      <c r="T83" s="11">
        <v>15.99</v>
      </c>
      <c r="U83" s="12">
        <f>tblSalesData[[#This Row],[Total Units 
to Date]]*tblSalesData[[#This Row],[Sell Price]]</f>
        <v>7851953.46</v>
      </c>
      <c r="V83" s="3"/>
      <c r="W83" s="4"/>
    </row>
    <row r="84" spans="1:23" x14ac:dyDescent="0.25">
      <c r="A84" s="4">
        <v>1048</v>
      </c>
      <c r="B84" s="9" t="s">
        <v>266</v>
      </c>
      <c r="C84" s="4" t="s">
        <v>13</v>
      </c>
      <c r="D84" s="4" t="s">
        <v>27</v>
      </c>
      <c r="E84" s="4" t="s">
        <v>17</v>
      </c>
      <c r="F84" s="10">
        <v>0</v>
      </c>
      <c r="G84" s="10">
        <v>76937</v>
      </c>
      <c r="H84" s="10">
        <v>80426</v>
      </c>
      <c r="I84" s="10">
        <v>94693</v>
      </c>
      <c r="J84" s="10">
        <v>46115</v>
      </c>
      <c r="K84" s="10">
        <v>15248</v>
      </c>
      <c r="L84" s="10">
        <v>61275</v>
      </c>
      <c r="M84" s="10">
        <v>21538</v>
      </c>
      <c r="N84" s="10">
        <v>61746</v>
      </c>
      <c r="O84" s="10">
        <v>38347</v>
      </c>
      <c r="P84" s="4">
        <v>36326</v>
      </c>
      <c r="Q84" s="4">
        <v>6217</v>
      </c>
      <c r="R84" s="4">
        <v>8622</v>
      </c>
      <c r="S84" s="24">
        <f>SUM(tblSalesData[[#This Row],[FY 2000]:[FY 2012]])</f>
        <v>547490</v>
      </c>
      <c r="T84" s="11">
        <v>12.99</v>
      </c>
      <c r="U84" s="12">
        <f>tblSalesData[[#This Row],[Total Units 
to Date]]*tblSalesData[[#This Row],[Sell Price]]</f>
        <v>7111895.1000000006</v>
      </c>
      <c r="V84" s="3"/>
      <c r="W84" s="4"/>
    </row>
    <row r="85" spans="1:23" x14ac:dyDescent="0.25">
      <c r="A85" s="4">
        <v>1049</v>
      </c>
      <c r="B85" s="9" t="s">
        <v>268</v>
      </c>
      <c r="C85" s="4" t="s">
        <v>13</v>
      </c>
      <c r="D85" s="4" t="s">
        <v>27</v>
      </c>
      <c r="E85" s="4" t="s">
        <v>19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54699</v>
      </c>
      <c r="O85" s="10">
        <v>18022</v>
      </c>
      <c r="P85" s="4">
        <v>7683</v>
      </c>
      <c r="Q85" s="4">
        <v>17074</v>
      </c>
      <c r="R85" s="4">
        <v>19137</v>
      </c>
      <c r="S85" s="24">
        <f>SUM(tblSalesData[[#This Row],[FY 2000]:[FY 2012]])</f>
        <v>116615</v>
      </c>
      <c r="T85" s="11">
        <v>15.99</v>
      </c>
      <c r="U85" s="12">
        <f>tblSalesData[[#This Row],[Total Units 
to Date]]*tblSalesData[[#This Row],[Sell Price]]</f>
        <v>1864673.85</v>
      </c>
      <c r="V85" s="3"/>
      <c r="W85" s="4"/>
    </row>
    <row r="86" spans="1:23" x14ac:dyDescent="0.25">
      <c r="A86" s="4">
        <v>1005</v>
      </c>
      <c r="B86" s="9" t="s">
        <v>30</v>
      </c>
      <c r="C86" s="4" t="s">
        <v>26</v>
      </c>
      <c r="D86" s="4" t="s">
        <v>27</v>
      </c>
      <c r="E86" s="4" t="s">
        <v>18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4">
        <v>0</v>
      </c>
      <c r="Q86" s="4">
        <v>0</v>
      </c>
      <c r="R86" s="4">
        <v>1880</v>
      </c>
      <c r="S86" s="24">
        <f>SUM(tblSalesData[[#This Row],[FY 2000]:[FY 2012]])</f>
        <v>1880</v>
      </c>
      <c r="T86" s="11">
        <v>9.99</v>
      </c>
      <c r="U86" s="12">
        <f>tblSalesData[[#This Row],[Total Units 
to Date]]*tblSalesData[[#This Row],[Sell Price]]</f>
        <v>18781.2</v>
      </c>
      <c r="V86" s="3"/>
      <c r="W86" s="4"/>
    </row>
    <row r="87" spans="1:23" x14ac:dyDescent="0.25">
      <c r="A87" s="4">
        <v>1056</v>
      </c>
      <c r="B87" s="9" t="s">
        <v>287</v>
      </c>
      <c r="C87" s="4" t="s">
        <v>13</v>
      </c>
      <c r="D87" s="4" t="s">
        <v>27</v>
      </c>
      <c r="E87" s="4" t="s">
        <v>17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4">
        <v>41014</v>
      </c>
      <c r="Q87" s="4">
        <v>24128</v>
      </c>
      <c r="R87" s="4">
        <v>5181</v>
      </c>
      <c r="S87" s="24">
        <f>SUM(tblSalesData[[#This Row],[FY 2000]:[FY 2012]])</f>
        <v>70323</v>
      </c>
      <c r="T87" s="11">
        <v>12.99</v>
      </c>
      <c r="U87" s="12">
        <f>tblSalesData[[#This Row],[Total Units 
to Date]]*tblSalesData[[#This Row],[Sell Price]]</f>
        <v>913495.77</v>
      </c>
      <c r="V87" s="3"/>
      <c r="W87" s="4"/>
    </row>
    <row r="88" spans="1:23" x14ac:dyDescent="0.25">
      <c r="A88" s="4">
        <v>1057</v>
      </c>
      <c r="B88" s="9" t="s">
        <v>304</v>
      </c>
      <c r="C88" s="4" t="s">
        <v>13</v>
      </c>
      <c r="D88" s="4" t="s">
        <v>27</v>
      </c>
      <c r="E88" s="4" t="s">
        <v>17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90323</v>
      </c>
      <c r="O88" s="10">
        <v>78214</v>
      </c>
      <c r="P88" s="4">
        <v>50308</v>
      </c>
      <c r="Q88" s="4">
        <v>32899</v>
      </c>
      <c r="R88" s="4">
        <v>2582</v>
      </c>
      <c r="S88" s="24">
        <f>SUM(tblSalesData[[#This Row],[FY 2000]:[FY 2012]])</f>
        <v>254326</v>
      </c>
      <c r="T88" s="11">
        <v>12.99</v>
      </c>
      <c r="U88" s="12">
        <f>tblSalesData[[#This Row],[Total Units 
to Date]]*tblSalesData[[#This Row],[Sell Price]]</f>
        <v>3303694.74</v>
      </c>
      <c r="V88" s="3"/>
      <c r="W88" s="4"/>
    </row>
    <row r="89" spans="1:23" x14ac:dyDescent="0.25">
      <c r="A89" s="4">
        <v>1016</v>
      </c>
      <c r="B89" s="9" t="s">
        <v>132</v>
      </c>
      <c r="C89" s="4" t="s">
        <v>26</v>
      </c>
      <c r="D89" s="4" t="s">
        <v>27</v>
      </c>
      <c r="E89" s="4" t="s">
        <v>18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9076</v>
      </c>
      <c r="L89" s="10">
        <v>13165</v>
      </c>
      <c r="M89" s="10">
        <v>18101</v>
      </c>
      <c r="N89" s="10">
        <v>36634</v>
      </c>
      <c r="O89" s="10">
        <v>70360</v>
      </c>
      <c r="P89" s="4">
        <v>68133</v>
      </c>
      <c r="Q89" s="4">
        <v>169271</v>
      </c>
      <c r="R89" s="4">
        <v>220212</v>
      </c>
      <c r="S89" s="24">
        <f>SUM(tblSalesData[[#This Row],[FY 2000]:[FY 2012]])</f>
        <v>604952</v>
      </c>
      <c r="T89" s="11">
        <v>9.99</v>
      </c>
      <c r="U89" s="12">
        <f>tblSalesData[[#This Row],[Total Units 
to Date]]*tblSalesData[[#This Row],[Sell Price]]</f>
        <v>6043470.4800000004</v>
      </c>
      <c r="V89" s="3"/>
      <c r="W89" s="4"/>
    </row>
    <row r="90" spans="1:23" x14ac:dyDescent="0.25">
      <c r="A90" s="4">
        <v>1016</v>
      </c>
      <c r="B90" s="9" t="s">
        <v>141</v>
      </c>
      <c r="C90" s="4" t="s">
        <v>26</v>
      </c>
      <c r="D90" s="4" t="s">
        <v>27</v>
      </c>
      <c r="E90" s="4" t="s">
        <v>18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4">
        <v>0</v>
      </c>
      <c r="Q90" s="4">
        <v>0</v>
      </c>
      <c r="R90" s="4">
        <v>276930</v>
      </c>
      <c r="S90" s="24">
        <f>SUM(tblSalesData[[#This Row],[FY 2000]:[FY 2012]])</f>
        <v>276930</v>
      </c>
      <c r="T90" s="11">
        <v>9.99</v>
      </c>
      <c r="U90" s="12">
        <f>tblSalesData[[#This Row],[Total Units 
to Date]]*tblSalesData[[#This Row],[Sell Price]]</f>
        <v>2766530.7</v>
      </c>
      <c r="V90" s="3"/>
      <c r="W90" s="4"/>
    </row>
    <row r="91" spans="1:23" x14ac:dyDescent="0.25">
      <c r="A91" s="4">
        <v>1057</v>
      </c>
      <c r="B91" s="9" t="s">
        <v>314</v>
      </c>
      <c r="C91" s="4" t="s">
        <v>13</v>
      </c>
      <c r="D91" s="4" t="s">
        <v>27</v>
      </c>
      <c r="E91" s="4" t="s">
        <v>17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4">
        <v>34283</v>
      </c>
      <c r="Q91" s="4">
        <v>2101</v>
      </c>
      <c r="R91" s="4">
        <v>25857</v>
      </c>
      <c r="S91" s="24">
        <f>SUM(tblSalesData[[#This Row],[FY 2000]:[FY 2012]])</f>
        <v>62241</v>
      </c>
      <c r="T91" s="11">
        <v>12.99</v>
      </c>
      <c r="U91" s="12">
        <f>tblSalesData[[#This Row],[Total Units 
to Date]]*tblSalesData[[#This Row],[Sell Price]]</f>
        <v>808510.59</v>
      </c>
      <c r="V91" s="3"/>
      <c r="W91" s="4"/>
    </row>
    <row r="92" spans="1:23" x14ac:dyDescent="0.25">
      <c r="A92" s="4">
        <v>1057</v>
      </c>
      <c r="B92" s="9" t="s">
        <v>314</v>
      </c>
      <c r="C92" s="4" t="s">
        <v>13</v>
      </c>
      <c r="D92" s="4" t="s">
        <v>27</v>
      </c>
      <c r="E92" s="4" t="s">
        <v>19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4">
        <v>50987</v>
      </c>
      <c r="Q92" s="4">
        <v>35187</v>
      </c>
      <c r="R92" s="4">
        <v>28465</v>
      </c>
      <c r="S92" s="24">
        <f>SUM(tblSalesData[[#This Row],[FY 2000]:[FY 2012]])</f>
        <v>114639</v>
      </c>
      <c r="T92" s="11">
        <v>15.99</v>
      </c>
      <c r="U92" s="12">
        <f>tblSalesData[[#This Row],[Total Units 
to Date]]*tblSalesData[[#This Row],[Sell Price]]</f>
        <v>1833077.61</v>
      </c>
      <c r="V92" s="3"/>
      <c r="W92" s="4"/>
    </row>
    <row r="93" spans="1:23" x14ac:dyDescent="0.25">
      <c r="A93" s="4">
        <v>1063</v>
      </c>
      <c r="B93" s="9" t="s">
        <v>330</v>
      </c>
      <c r="C93" s="4" t="s">
        <v>13</v>
      </c>
      <c r="D93" s="4" t="s">
        <v>27</v>
      </c>
      <c r="E93" s="4" t="s">
        <v>17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78651</v>
      </c>
      <c r="O93" s="10">
        <v>22555</v>
      </c>
      <c r="P93" s="4">
        <v>65183</v>
      </c>
      <c r="Q93" s="4">
        <v>28585</v>
      </c>
      <c r="R93" s="4">
        <v>6588</v>
      </c>
      <c r="S93" s="24">
        <f>SUM(tblSalesData[[#This Row],[FY 2000]:[FY 2012]])</f>
        <v>201562</v>
      </c>
      <c r="T93" s="11">
        <v>12.99</v>
      </c>
      <c r="U93" s="12">
        <f>tblSalesData[[#This Row],[Total Units 
to Date]]*tblSalesData[[#This Row],[Sell Price]]</f>
        <v>2618290.38</v>
      </c>
      <c r="V93" s="3"/>
      <c r="W93" s="4"/>
    </row>
    <row r="94" spans="1:23" x14ac:dyDescent="0.25">
      <c r="A94" s="4">
        <v>1066</v>
      </c>
      <c r="B94" s="9" t="s">
        <v>357</v>
      </c>
      <c r="C94" s="4" t="s">
        <v>13</v>
      </c>
      <c r="D94" s="4" t="s">
        <v>27</v>
      </c>
      <c r="E94" s="4" t="s">
        <v>16</v>
      </c>
      <c r="F94" s="10">
        <v>0</v>
      </c>
      <c r="G94" s="10">
        <v>0</v>
      </c>
      <c r="H94" s="10">
        <v>38948</v>
      </c>
      <c r="I94" s="10">
        <v>43280</v>
      </c>
      <c r="J94" s="10">
        <v>42559</v>
      </c>
      <c r="K94" s="10">
        <v>50796</v>
      </c>
      <c r="L94" s="10">
        <v>82162</v>
      </c>
      <c r="M94" s="10">
        <v>14205</v>
      </c>
      <c r="N94" s="10">
        <v>74192</v>
      </c>
      <c r="O94" s="10">
        <v>52156</v>
      </c>
      <c r="P94" s="4">
        <v>25892</v>
      </c>
      <c r="Q94" s="4">
        <v>6377</v>
      </c>
      <c r="R94" s="4">
        <v>4848</v>
      </c>
      <c r="S94" s="24">
        <f>SUM(tblSalesData[[#This Row],[FY 2000]:[FY 2012]])</f>
        <v>435415</v>
      </c>
      <c r="T94" s="11">
        <v>11.99</v>
      </c>
      <c r="U94" s="12">
        <f>tblSalesData[[#This Row],[Total Units 
to Date]]*tblSalesData[[#This Row],[Sell Price]]</f>
        <v>5220625.8499999996</v>
      </c>
      <c r="V94" s="3"/>
      <c r="W94" s="4"/>
    </row>
    <row r="95" spans="1:23" x14ac:dyDescent="0.25">
      <c r="A95" s="4">
        <v>1067</v>
      </c>
      <c r="B95" s="9" t="s">
        <v>364</v>
      </c>
      <c r="C95" s="4" t="s">
        <v>13</v>
      </c>
      <c r="D95" s="4" t="s">
        <v>27</v>
      </c>
      <c r="E95" s="4" t="s">
        <v>16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4">
        <v>0</v>
      </c>
      <c r="Q95" s="4">
        <v>0</v>
      </c>
      <c r="R95" s="4">
        <v>585271</v>
      </c>
      <c r="S95" s="24">
        <f>SUM(tblSalesData[[#This Row],[FY 2000]:[FY 2012]])</f>
        <v>585271</v>
      </c>
      <c r="T95" s="11">
        <v>11.99</v>
      </c>
      <c r="U95" s="12">
        <f>tblSalesData[[#This Row],[Total Units 
to Date]]*tblSalesData[[#This Row],[Sell Price]]</f>
        <v>7017399.29</v>
      </c>
      <c r="V95" s="3"/>
      <c r="W95" s="4"/>
    </row>
    <row r="96" spans="1:23" x14ac:dyDescent="0.25">
      <c r="A96" s="4">
        <v>1067</v>
      </c>
      <c r="B96" s="9" t="s">
        <v>366</v>
      </c>
      <c r="C96" s="4" t="s">
        <v>13</v>
      </c>
      <c r="D96" s="4" t="s">
        <v>27</v>
      </c>
      <c r="E96" s="4" t="s">
        <v>19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4">
        <v>0</v>
      </c>
      <c r="Q96" s="4">
        <v>0</v>
      </c>
      <c r="R96" s="4">
        <v>358817</v>
      </c>
      <c r="S96" s="24">
        <f>SUM(tblSalesData[[#This Row],[FY 2000]:[FY 2012]])</f>
        <v>358817</v>
      </c>
      <c r="T96" s="11">
        <v>15.99</v>
      </c>
      <c r="U96" s="12">
        <f>tblSalesData[[#This Row],[Total Units 
to Date]]*tblSalesData[[#This Row],[Sell Price]]</f>
        <v>5737483.8300000001</v>
      </c>
      <c r="V96" s="3"/>
      <c r="W96" s="4"/>
    </row>
    <row r="97" spans="1:23" x14ac:dyDescent="0.25">
      <c r="A97" s="4">
        <v>1067</v>
      </c>
      <c r="B97" s="9" t="s">
        <v>377</v>
      </c>
      <c r="C97" s="4" t="s">
        <v>13</v>
      </c>
      <c r="D97" s="4" t="s">
        <v>27</v>
      </c>
      <c r="E97" s="4" t="s">
        <v>17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4">
        <v>0</v>
      </c>
      <c r="Q97" s="4">
        <v>0</v>
      </c>
      <c r="R97" s="4">
        <v>918151</v>
      </c>
      <c r="S97" s="24">
        <f>SUM(tblSalesData[[#This Row],[FY 2000]:[FY 2012]])</f>
        <v>918151</v>
      </c>
      <c r="T97" s="11">
        <v>12.99</v>
      </c>
      <c r="U97" s="12">
        <f>tblSalesData[[#This Row],[Total Units 
to Date]]*tblSalesData[[#This Row],[Sell Price]]</f>
        <v>11926781.49</v>
      </c>
      <c r="V97" s="3"/>
      <c r="W97" s="4"/>
    </row>
    <row r="98" spans="1:23" x14ac:dyDescent="0.25">
      <c r="A98" s="4">
        <v>1034</v>
      </c>
      <c r="B98" s="9" t="s">
        <v>191</v>
      </c>
      <c r="C98" s="4" t="s">
        <v>26</v>
      </c>
      <c r="D98" s="4" t="s">
        <v>27</v>
      </c>
      <c r="E98" s="4" t="s">
        <v>18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9145</v>
      </c>
      <c r="O98" s="10">
        <v>18799</v>
      </c>
      <c r="P98" s="4">
        <v>18284</v>
      </c>
      <c r="Q98" s="4">
        <v>18179</v>
      </c>
      <c r="R98" s="4">
        <v>15254</v>
      </c>
      <c r="S98" s="24">
        <f>SUM(tblSalesData[[#This Row],[FY 2000]:[FY 2012]])</f>
        <v>79661</v>
      </c>
      <c r="T98" s="11">
        <v>9.99</v>
      </c>
      <c r="U98" s="12">
        <f>tblSalesData[[#This Row],[Total Units 
to Date]]*tblSalesData[[#This Row],[Sell Price]]</f>
        <v>795813.39</v>
      </c>
      <c r="V98" s="3"/>
      <c r="W98" s="4"/>
    </row>
    <row r="99" spans="1:23" x14ac:dyDescent="0.25">
      <c r="A99" s="4">
        <v>1037</v>
      </c>
      <c r="B99" s="9" t="s">
        <v>209</v>
      </c>
      <c r="C99" s="4" t="s">
        <v>26</v>
      </c>
      <c r="D99" s="4" t="s">
        <v>27</v>
      </c>
      <c r="E99" s="4" t="s">
        <v>18</v>
      </c>
      <c r="F99" s="10">
        <v>73261</v>
      </c>
      <c r="G99" s="10">
        <v>339</v>
      </c>
      <c r="H99" s="10">
        <v>3947</v>
      </c>
      <c r="I99" s="10">
        <v>5253</v>
      </c>
      <c r="J99" s="10">
        <v>13600</v>
      </c>
      <c r="K99" s="10">
        <v>19613</v>
      </c>
      <c r="L99" s="10">
        <v>32615</v>
      </c>
      <c r="M99" s="10">
        <v>40608</v>
      </c>
      <c r="N99" s="10">
        <v>57726</v>
      </c>
      <c r="O99" s="10">
        <v>80551</v>
      </c>
      <c r="P99" s="4">
        <v>193695</v>
      </c>
      <c r="Q99" s="4">
        <v>204161</v>
      </c>
      <c r="R99" s="4">
        <v>171474</v>
      </c>
      <c r="S99" s="24">
        <f>SUM(tblSalesData[[#This Row],[FY 2000]:[FY 2012]])</f>
        <v>896843</v>
      </c>
      <c r="T99" s="11">
        <v>9.99</v>
      </c>
      <c r="U99" s="12">
        <f>tblSalesData[[#This Row],[Total Units 
to Date]]*tblSalesData[[#This Row],[Sell Price]]</f>
        <v>8959461.5700000003</v>
      </c>
      <c r="V99" s="3"/>
      <c r="W99" s="4"/>
    </row>
    <row r="100" spans="1:23" x14ac:dyDescent="0.25">
      <c r="A100" s="4">
        <v>1042</v>
      </c>
      <c r="B100" s="9" t="s">
        <v>246</v>
      </c>
      <c r="C100" s="4" t="s">
        <v>26</v>
      </c>
      <c r="D100" s="4" t="s">
        <v>27</v>
      </c>
      <c r="E100" s="4" t="s">
        <v>18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232</v>
      </c>
      <c r="N100" s="10">
        <v>479</v>
      </c>
      <c r="O100" s="10">
        <v>632</v>
      </c>
      <c r="P100" s="4">
        <v>814</v>
      </c>
      <c r="Q100" s="4">
        <v>833</v>
      </c>
      <c r="R100" s="4">
        <v>546</v>
      </c>
      <c r="S100" s="24">
        <f>SUM(tblSalesData[[#This Row],[FY 2000]:[FY 2012]])</f>
        <v>3536</v>
      </c>
      <c r="T100" s="11">
        <v>9.99</v>
      </c>
      <c r="U100" s="12">
        <f>tblSalesData[[#This Row],[Total Units 
to Date]]*tblSalesData[[#This Row],[Sell Price]]</f>
        <v>35324.639999999999</v>
      </c>
      <c r="V100" s="3"/>
      <c r="W100" s="4"/>
    </row>
    <row r="101" spans="1:23" x14ac:dyDescent="0.25">
      <c r="A101" s="4">
        <v>1055</v>
      </c>
      <c r="B101" s="9" t="s">
        <v>274</v>
      </c>
      <c r="C101" s="4" t="s">
        <v>26</v>
      </c>
      <c r="D101" s="4" t="s">
        <v>27</v>
      </c>
      <c r="E101" s="4" t="s">
        <v>18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68900</v>
      </c>
      <c r="N101" s="10">
        <v>77967</v>
      </c>
      <c r="O101" s="10">
        <v>11036</v>
      </c>
      <c r="P101" s="4">
        <v>71019</v>
      </c>
      <c r="Q101" s="4">
        <v>61014</v>
      </c>
      <c r="R101" s="4">
        <v>26987</v>
      </c>
      <c r="S101" s="24">
        <f>SUM(tblSalesData[[#This Row],[FY 2000]:[FY 2012]])</f>
        <v>316923</v>
      </c>
      <c r="T101" s="11">
        <v>9.99</v>
      </c>
      <c r="U101" s="12">
        <f>tblSalesData[[#This Row],[Total Units 
to Date]]*tblSalesData[[#This Row],[Sell Price]]</f>
        <v>3166060.77</v>
      </c>
      <c r="V101" s="3"/>
      <c r="W101" s="4"/>
    </row>
    <row r="102" spans="1:23" x14ac:dyDescent="0.25">
      <c r="A102" s="4">
        <v>1057</v>
      </c>
      <c r="B102" s="9" t="s">
        <v>316</v>
      </c>
      <c r="C102" s="4" t="s">
        <v>26</v>
      </c>
      <c r="D102" s="4" t="s">
        <v>27</v>
      </c>
      <c r="E102" s="4" t="s">
        <v>18</v>
      </c>
      <c r="F102" s="10">
        <v>0</v>
      </c>
      <c r="G102" s="10">
        <v>9994</v>
      </c>
      <c r="H102" s="10">
        <v>20385</v>
      </c>
      <c r="I102" s="10">
        <v>76715</v>
      </c>
      <c r="J102" s="10">
        <v>65551</v>
      </c>
      <c r="K102" s="10">
        <v>57836</v>
      </c>
      <c r="L102" s="10">
        <v>63934</v>
      </c>
      <c r="M102" s="10">
        <v>84948</v>
      </c>
      <c r="N102" s="10">
        <v>19164</v>
      </c>
      <c r="O102" s="10">
        <v>64382</v>
      </c>
      <c r="P102" s="4">
        <v>26304</v>
      </c>
      <c r="Q102" s="4">
        <v>29814</v>
      </c>
      <c r="R102" s="4">
        <v>13192</v>
      </c>
      <c r="S102" s="24">
        <f>SUM(tblSalesData[[#This Row],[FY 2000]:[FY 2012]])</f>
        <v>532219</v>
      </c>
      <c r="T102" s="11">
        <v>9.99</v>
      </c>
      <c r="U102" s="12">
        <f>tblSalesData[[#This Row],[Total Units 
to Date]]*tblSalesData[[#This Row],[Sell Price]]</f>
        <v>5316867.8100000005</v>
      </c>
      <c r="V102" s="3"/>
      <c r="W102" s="4"/>
    </row>
    <row r="103" spans="1:23" x14ac:dyDescent="0.25">
      <c r="A103" s="4">
        <v>1067</v>
      </c>
      <c r="B103" s="9" t="s">
        <v>374</v>
      </c>
      <c r="C103" s="4" t="s">
        <v>26</v>
      </c>
      <c r="D103" s="4" t="s">
        <v>27</v>
      </c>
      <c r="E103" s="4" t="s">
        <v>18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4">
        <v>0</v>
      </c>
      <c r="Q103" s="4">
        <v>0</v>
      </c>
      <c r="R103" s="4">
        <v>493993</v>
      </c>
      <c r="S103" s="24">
        <f>SUM(tblSalesData[[#This Row],[FY 2000]:[FY 2012]])</f>
        <v>493993</v>
      </c>
      <c r="T103" s="11">
        <v>9.99</v>
      </c>
      <c r="U103" s="12">
        <f>tblSalesData[[#This Row],[Total Units 
to Date]]*tblSalesData[[#This Row],[Sell Price]]</f>
        <v>4934990.07</v>
      </c>
      <c r="V103" s="3"/>
      <c r="W103" s="4"/>
    </row>
    <row r="104" spans="1:23" x14ac:dyDescent="0.25">
      <c r="A104" s="4">
        <v>1006</v>
      </c>
      <c r="B104" s="9" t="s">
        <v>65</v>
      </c>
      <c r="C104" s="4" t="s">
        <v>13</v>
      </c>
      <c r="D104" s="4" t="s">
        <v>27</v>
      </c>
      <c r="E104" s="4" t="s">
        <v>18</v>
      </c>
      <c r="F104" s="10">
        <v>483</v>
      </c>
      <c r="G104" s="10">
        <v>775</v>
      </c>
      <c r="H104" s="10">
        <v>1044</v>
      </c>
      <c r="I104" s="10">
        <v>3614</v>
      </c>
      <c r="J104" s="10">
        <v>2601</v>
      </c>
      <c r="K104" s="10">
        <v>4579</v>
      </c>
      <c r="L104" s="10">
        <v>5309</v>
      </c>
      <c r="M104" s="10">
        <v>5160</v>
      </c>
      <c r="N104" s="10">
        <v>5681</v>
      </c>
      <c r="O104" s="10">
        <v>2674</v>
      </c>
      <c r="P104" s="4">
        <v>4440</v>
      </c>
      <c r="Q104" s="4">
        <v>5373</v>
      </c>
      <c r="R104" s="4">
        <v>2132</v>
      </c>
      <c r="S104" s="24">
        <f>SUM(tblSalesData[[#This Row],[FY 2000]:[FY 2012]])</f>
        <v>43865</v>
      </c>
      <c r="T104" s="11">
        <v>9.99</v>
      </c>
      <c r="U104" s="12">
        <f>tblSalesData[[#This Row],[Total Units 
to Date]]*tblSalesData[[#This Row],[Sell Price]]</f>
        <v>438211.35000000003</v>
      </c>
      <c r="V104" s="3"/>
      <c r="W104" s="4"/>
    </row>
    <row r="105" spans="1:23" x14ac:dyDescent="0.25">
      <c r="A105" s="4">
        <v>1011</v>
      </c>
      <c r="B105" s="9" t="s">
        <v>78</v>
      </c>
      <c r="C105" s="4" t="s">
        <v>13</v>
      </c>
      <c r="D105" s="4" t="s">
        <v>27</v>
      </c>
      <c r="E105" s="4" t="s">
        <v>18</v>
      </c>
      <c r="F105" s="10">
        <v>0</v>
      </c>
      <c r="G105" s="10">
        <v>413</v>
      </c>
      <c r="H105" s="10">
        <v>1000</v>
      </c>
      <c r="I105" s="10">
        <v>1329</v>
      </c>
      <c r="J105" s="10">
        <v>1350</v>
      </c>
      <c r="K105" s="10">
        <v>1860</v>
      </c>
      <c r="L105" s="10">
        <v>1968</v>
      </c>
      <c r="M105" s="10">
        <v>2107</v>
      </c>
      <c r="N105" s="10">
        <v>2318</v>
      </c>
      <c r="O105" s="10">
        <v>2219</v>
      </c>
      <c r="P105" s="4">
        <v>1550</v>
      </c>
      <c r="Q105" s="4">
        <v>1672</v>
      </c>
      <c r="R105" s="4">
        <v>1281</v>
      </c>
      <c r="S105" s="24">
        <f>SUM(tblSalesData[[#This Row],[FY 2000]:[FY 2012]])</f>
        <v>19067</v>
      </c>
      <c r="T105" s="11">
        <v>9.99</v>
      </c>
      <c r="U105" s="12">
        <f>tblSalesData[[#This Row],[Total Units 
to Date]]*tblSalesData[[#This Row],[Sell Price]]</f>
        <v>190479.33000000002</v>
      </c>
      <c r="V105" s="3"/>
      <c r="W105" s="4"/>
    </row>
    <row r="106" spans="1:23" x14ac:dyDescent="0.25">
      <c r="A106" s="4">
        <v>1013</v>
      </c>
      <c r="B106" s="9" t="s">
        <v>106</v>
      </c>
      <c r="C106" s="4" t="s">
        <v>13</v>
      </c>
      <c r="D106" s="4" t="s">
        <v>27</v>
      </c>
      <c r="E106" s="4" t="s">
        <v>18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39854</v>
      </c>
      <c r="N106" s="10">
        <v>40428</v>
      </c>
      <c r="O106" s="10">
        <v>45001</v>
      </c>
      <c r="P106" s="4">
        <v>43309</v>
      </c>
      <c r="Q106" s="4">
        <v>36187</v>
      </c>
      <c r="R106" s="4">
        <v>18772</v>
      </c>
      <c r="S106" s="24">
        <f>SUM(tblSalesData[[#This Row],[FY 2000]:[FY 2012]])</f>
        <v>223551</v>
      </c>
      <c r="T106" s="11">
        <v>9.99</v>
      </c>
      <c r="U106" s="12">
        <f>tblSalesData[[#This Row],[Total Units 
to Date]]*tblSalesData[[#This Row],[Sell Price]]</f>
        <v>2233274.4900000002</v>
      </c>
      <c r="V106" s="3"/>
      <c r="W106" s="4"/>
    </row>
    <row r="107" spans="1:23" x14ac:dyDescent="0.25">
      <c r="A107" s="4">
        <v>1015</v>
      </c>
      <c r="B107" s="9" t="s">
        <v>124</v>
      </c>
      <c r="C107" s="4" t="s">
        <v>13</v>
      </c>
      <c r="D107" s="4" t="s">
        <v>27</v>
      </c>
      <c r="E107" s="4" t="s">
        <v>18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205</v>
      </c>
      <c r="P107" s="4">
        <v>375</v>
      </c>
      <c r="Q107" s="4">
        <v>435</v>
      </c>
      <c r="R107" s="4">
        <v>504</v>
      </c>
      <c r="S107" s="24">
        <f>SUM(tblSalesData[[#This Row],[FY 2000]:[FY 2012]])</f>
        <v>1519</v>
      </c>
      <c r="T107" s="11">
        <v>9.99</v>
      </c>
      <c r="U107" s="12">
        <f>tblSalesData[[#This Row],[Total Units 
to Date]]*tblSalesData[[#This Row],[Sell Price]]</f>
        <v>15174.81</v>
      </c>
      <c r="V107" s="3"/>
      <c r="W107" s="4"/>
    </row>
    <row r="108" spans="1:23" x14ac:dyDescent="0.25">
      <c r="A108" s="4">
        <v>1033</v>
      </c>
      <c r="B108" s="9" t="s">
        <v>183</v>
      </c>
      <c r="C108" s="4" t="s">
        <v>13</v>
      </c>
      <c r="D108" s="4" t="s">
        <v>27</v>
      </c>
      <c r="E108" s="4" t="s">
        <v>18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26948</v>
      </c>
      <c r="P108" s="4">
        <v>27488</v>
      </c>
      <c r="Q108" s="4">
        <v>28494</v>
      </c>
      <c r="R108" s="4">
        <v>24875</v>
      </c>
      <c r="S108" s="24">
        <f>SUM(tblSalesData[[#This Row],[FY 2000]:[FY 2012]])</f>
        <v>107805</v>
      </c>
      <c r="T108" s="11">
        <v>9.99</v>
      </c>
      <c r="U108" s="12">
        <f>tblSalesData[[#This Row],[Total Units 
to Date]]*tblSalesData[[#This Row],[Sell Price]]</f>
        <v>1076971.95</v>
      </c>
      <c r="V108" s="3"/>
      <c r="W108" s="4"/>
    </row>
    <row r="109" spans="1:23" x14ac:dyDescent="0.25">
      <c r="A109" s="4">
        <v>1038</v>
      </c>
      <c r="B109" s="9" t="s">
        <v>221</v>
      </c>
      <c r="C109" s="4" t="s">
        <v>13</v>
      </c>
      <c r="D109" s="4" t="s">
        <v>27</v>
      </c>
      <c r="E109" s="4" t="s">
        <v>18</v>
      </c>
      <c r="F109" s="10">
        <v>0</v>
      </c>
      <c r="G109" s="10">
        <v>0</v>
      </c>
      <c r="H109" s="10">
        <v>0</v>
      </c>
      <c r="I109" s="10">
        <v>0</v>
      </c>
      <c r="J109" s="10">
        <v>136082</v>
      </c>
      <c r="K109" s="10">
        <v>157353</v>
      </c>
      <c r="L109" s="10">
        <v>181781</v>
      </c>
      <c r="M109" s="10">
        <v>282160</v>
      </c>
      <c r="N109" s="10">
        <v>372613</v>
      </c>
      <c r="O109" s="10">
        <v>543473</v>
      </c>
      <c r="P109" s="4">
        <v>633733</v>
      </c>
      <c r="Q109" s="4">
        <v>686014</v>
      </c>
      <c r="R109" s="4">
        <v>437838</v>
      </c>
      <c r="S109" s="24">
        <f>SUM(tblSalesData[[#This Row],[FY 2000]:[FY 2012]])</f>
        <v>3431047</v>
      </c>
      <c r="T109" s="11">
        <v>9.99</v>
      </c>
      <c r="U109" s="12">
        <f>tblSalesData[[#This Row],[Total Units 
to Date]]*tblSalesData[[#This Row],[Sell Price]]</f>
        <v>34276159.530000001</v>
      </c>
      <c r="V109" s="3"/>
      <c r="W109" s="4"/>
    </row>
    <row r="110" spans="1:23" x14ac:dyDescent="0.25">
      <c r="A110" s="4">
        <v>1005</v>
      </c>
      <c r="B110" s="9" t="s">
        <v>23</v>
      </c>
      <c r="C110" s="4" t="s">
        <v>14</v>
      </c>
      <c r="D110" s="4" t="s">
        <v>27</v>
      </c>
      <c r="E110" s="4" t="s">
        <v>19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4">
        <v>0</v>
      </c>
      <c r="Q110" s="4">
        <v>0</v>
      </c>
      <c r="R110" s="4">
        <v>276</v>
      </c>
      <c r="S110" s="24">
        <f>SUM(tblSalesData[[#This Row],[FY 2000]:[FY 2012]])</f>
        <v>276</v>
      </c>
      <c r="T110" s="11">
        <v>15.99</v>
      </c>
      <c r="U110" s="12">
        <f>tblSalesData[[#This Row],[Total Units 
to Date]]*tblSalesData[[#This Row],[Sell Price]]</f>
        <v>4413.24</v>
      </c>
      <c r="V110" s="3"/>
      <c r="W110" s="4"/>
    </row>
    <row r="111" spans="1:23" x14ac:dyDescent="0.25">
      <c r="A111" s="4">
        <v>1005</v>
      </c>
      <c r="B111" s="9" t="s">
        <v>33</v>
      </c>
      <c r="C111" s="4" t="s">
        <v>14</v>
      </c>
      <c r="D111" s="4" t="s">
        <v>27</v>
      </c>
      <c r="E111" s="4" t="s">
        <v>17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4">
        <v>0</v>
      </c>
      <c r="Q111" s="4">
        <v>0</v>
      </c>
      <c r="R111" s="4">
        <v>48363</v>
      </c>
      <c r="S111" s="24">
        <f>SUM(tblSalesData[[#This Row],[FY 2000]:[FY 2012]])</f>
        <v>48363</v>
      </c>
      <c r="T111" s="11">
        <v>12.99</v>
      </c>
      <c r="U111" s="12">
        <f>tblSalesData[[#This Row],[Total Units 
to Date]]*tblSalesData[[#This Row],[Sell Price]]</f>
        <v>628235.37</v>
      </c>
      <c r="V111" s="3"/>
      <c r="W111" s="4"/>
    </row>
    <row r="112" spans="1:23" x14ac:dyDescent="0.25">
      <c r="A112" s="4">
        <v>1005</v>
      </c>
      <c r="B112" s="9" t="s">
        <v>53</v>
      </c>
      <c r="C112" s="4" t="s">
        <v>14</v>
      </c>
      <c r="D112" s="4" t="s">
        <v>27</v>
      </c>
      <c r="E112" s="4" t="s">
        <v>16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4">
        <v>0</v>
      </c>
      <c r="Q112" s="4">
        <v>0</v>
      </c>
      <c r="R112" s="4">
        <v>2601</v>
      </c>
      <c r="S112" s="24">
        <f>SUM(tblSalesData[[#This Row],[FY 2000]:[FY 2012]])</f>
        <v>2601</v>
      </c>
      <c r="T112" s="11">
        <v>11.99</v>
      </c>
      <c r="U112" s="12">
        <f>tblSalesData[[#This Row],[Total Units 
to Date]]*tblSalesData[[#This Row],[Sell Price]]</f>
        <v>31185.99</v>
      </c>
      <c r="V112" s="3"/>
      <c r="W112" s="4"/>
    </row>
    <row r="113" spans="1:23" x14ac:dyDescent="0.25">
      <c r="A113" s="4">
        <v>1038</v>
      </c>
      <c r="B113" s="9" t="s">
        <v>226</v>
      </c>
      <c r="C113" s="4" t="s">
        <v>13</v>
      </c>
      <c r="D113" s="4" t="s">
        <v>27</v>
      </c>
      <c r="E113" s="4" t="s">
        <v>18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213851</v>
      </c>
      <c r="M113" s="10">
        <v>275476</v>
      </c>
      <c r="N113" s="10">
        <v>306629</v>
      </c>
      <c r="O113" s="10">
        <v>501449</v>
      </c>
      <c r="P113" s="4">
        <v>622287</v>
      </c>
      <c r="Q113" s="4">
        <v>578277</v>
      </c>
      <c r="R113" s="4">
        <v>627068</v>
      </c>
      <c r="S113" s="24">
        <f>SUM(tblSalesData[[#This Row],[FY 2000]:[FY 2012]])</f>
        <v>3125037</v>
      </c>
      <c r="T113" s="11">
        <v>9.99</v>
      </c>
      <c r="U113" s="12">
        <f>tblSalesData[[#This Row],[Total Units 
to Date]]*tblSalesData[[#This Row],[Sell Price]]</f>
        <v>31219119.629999999</v>
      </c>
      <c r="V113" s="3"/>
      <c r="W113" s="4"/>
    </row>
    <row r="114" spans="1:23" x14ac:dyDescent="0.25">
      <c r="A114" s="4">
        <v>1005</v>
      </c>
      <c r="B114" s="9" t="s">
        <v>54</v>
      </c>
      <c r="C114" s="4" t="s">
        <v>14</v>
      </c>
      <c r="D114" s="4" t="s">
        <v>27</v>
      </c>
      <c r="E114" s="4" t="s">
        <v>16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4">
        <v>0</v>
      </c>
      <c r="Q114" s="4">
        <v>0</v>
      </c>
      <c r="R114" s="4">
        <v>1395</v>
      </c>
      <c r="S114" s="24">
        <f>SUM(tblSalesData[[#This Row],[FY 2000]:[FY 2012]])</f>
        <v>1395</v>
      </c>
      <c r="T114" s="11">
        <v>11.99</v>
      </c>
      <c r="U114" s="12">
        <f>tblSalesData[[#This Row],[Total Units 
to Date]]*tblSalesData[[#This Row],[Sell Price]]</f>
        <v>16726.05</v>
      </c>
      <c r="V114" s="3"/>
      <c r="W114" s="4"/>
    </row>
    <row r="115" spans="1:23" x14ac:dyDescent="0.25">
      <c r="A115" s="4">
        <v>1005</v>
      </c>
      <c r="B115" s="9" t="s">
        <v>58</v>
      </c>
      <c r="C115" s="4" t="s">
        <v>14</v>
      </c>
      <c r="D115" s="4" t="s">
        <v>27</v>
      </c>
      <c r="E115" s="4" t="s">
        <v>16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4">
        <v>0</v>
      </c>
      <c r="Q115" s="4">
        <v>235</v>
      </c>
      <c r="R115" s="4">
        <v>2392</v>
      </c>
      <c r="S115" s="24">
        <f>SUM(tblSalesData[[#This Row],[FY 2000]:[FY 2012]])</f>
        <v>2627</v>
      </c>
      <c r="T115" s="11">
        <v>11.99</v>
      </c>
      <c r="U115" s="12">
        <f>tblSalesData[[#This Row],[Total Units 
to Date]]*tblSalesData[[#This Row],[Sell Price]]</f>
        <v>31497.73</v>
      </c>
      <c r="V115" s="3"/>
      <c r="W115" s="4"/>
    </row>
    <row r="116" spans="1:23" x14ac:dyDescent="0.25">
      <c r="A116" s="4">
        <v>1038</v>
      </c>
      <c r="B116" s="9" t="s">
        <v>230</v>
      </c>
      <c r="C116" s="4" t="s">
        <v>13</v>
      </c>
      <c r="D116" s="4" t="s">
        <v>27</v>
      </c>
      <c r="E116" s="4" t="s">
        <v>18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277618</v>
      </c>
      <c r="N116" s="10">
        <v>395912</v>
      </c>
      <c r="O116" s="10">
        <v>505624</v>
      </c>
      <c r="P116" s="4">
        <v>540967</v>
      </c>
      <c r="Q116" s="4">
        <v>666072</v>
      </c>
      <c r="R116" s="4">
        <v>654298</v>
      </c>
      <c r="S116" s="24">
        <f>SUM(tblSalesData[[#This Row],[FY 2000]:[FY 2012]])</f>
        <v>3040491</v>
      </c>
      <c r="T116" s="11">
        <v>9.99</v>
      </c>
      <c r="U116" s="12">
        <f>tblSalesData[[#This Row],[Total Units 
to Date]]*tblSalesData[[#This Row],[Sell Price]]</f>
        <v>30374505.09</v>
      </c>
      <c r="V116" s="3"/>
      <c r="W116" s="4"/>
    </row>
    <row r="117" spans="1:23" x14ac:dyDescent="0.25">
      <c r="A117" s="4">
        <v>1056</v>
      </c>
      <c r="B117" s="9" t="s">
        <v>277</v>
      </c>
      <c r="C117" s="4" t="s">
        <v>13</v>
      </c>
      <c r="D117" s="4" t="s">
        <v>27</v>
      </c>
      <c r="E117" s="4" t="s">
        <v>18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4">
        <v>88710</v>
      </c>
      <c r="Q117" s="4">
        <v>61481</v>
      </c>
      <c r="R117" s="4">
        <v>14259</v>
      </c>
      <c r="S117" s="24">
        <f>SUM(tblSalesData[[#This Row],[FY 2000]:[FY 2012]])</f>
        <v>164450</v>
      </c>
      <c r="T117" s="11">
        <v>9.99</v>
      </c>
      <c r="U117" s="12">
        <f>tblSalesData[[#This Row],[Total Units 
to Date]]*tblSalesData[[#This Row],[Sell Price]]</f>
        <v>1642855.5</v>
      </c>
      <c r="V117" s="3"/>
      <c r="W117" s="4"/>
    </row>
    <row r="118" spans="1:23" x14ac:dyDescent="0.25">
      <c r="A118" s="4">
        <v>1008</v>
      </c>
      <c r="B118" s="9" t="s">
        <v>67</v>
      </c>
      <c r="C118" s="4" t="s">
        <v>14</v>
      </c>
      <c r="D118" s="4" t="s">
        <v>27</v>
      </c>
      <c r="E118" s="4" t="s">
        <v>16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4">
        <v>7796</v>
      </c>
      <c r="Q118" s="4">
        <v>4229</v>
      </c>
      <c r="R118" s="4">
        <v>1885</v>
      </c>
      <c r="S118" s="24">
        <f>SUM(tblSalesData[[#This Row],[FY 2000]:[FY 2012]])</f>
        <v>13910</v>
      </c>
      <c r="T118" s="11">
        <v>11.99</v>
      </c>
      <c r="U118" s="12">
        <f>tblSalesData[[#This Row],[Total Units 
to Date]]*tblSalesData[[#This Row],[Sell Price]]</f>
        <v>166780.9</v>
      </c>
      <c r="V118" s="3"/>
      <c r="W118" s="4"/>
    </row>
    <row r="119" spans="1:23" x14ac:dyDescent="0.25">
      <c r="A119" s="4">
        <v>1008</v>
      </c>
      <c r="B119" s="9" t="s">
        <v>67</v>
      </c>
      <c r="C119" s="4" t="s">
        <v>14</v>
      </c>
      <c r="D119" s="4" t="s">
        <v>27</v>
      </c>
      <c r="E119" s="4" t="s">
        <v>19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4">
        <v>63104</v>
      </c>
      <c r="Q119" s="4">
        <v>62662</v>
      </c>
      <c r="R119" s="4">
        <v>31533</v>
      </c>
      <c r="S119" s="24">
        <f>SUM(tblSalesData[[#This Row],[FY 2000]:[FY 2012]])</f>
        <v>157299</v>
      </c>
      <c r="T119" s="11">
        <v>15.99</v>
      </c>
      <c r="U119" s="12">
        <f>tblSalesData[[#This Row],[Total Units 
to Date]]*tblSalesData[[#This Row],[Sell Price]]</f>
        <v>2515211.0100000002</v>
      </c>
      <c r="V119" s="3"/>
      <c r="W119" s="4"/>
    </row>
    <row r="120" spans="1:23" x14ac:dyDescent="0.25">
      <c r="A120" s="4">
        <v>1008</v>
      </c>
      <c r="B120" s="9" t="s">
        <v>68</v>
      </c>
      <c r="C120" s="4" t="s">
        <v>14</v>
      </c>
      <c r="D120" s="4" t="s">
        <v>27</v>
      </c>
      <c r="E120" s="4" t="s">
        <v>19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4">
        <v>3942</v>
      </c>
      <c r="Q120" s="4">
        <v>486</v>
      </c>
      <c r="R120" s="4">
        <v>1333</v>
      </c>
      <c r="S120" s="24">
        <f>SUM(tblSalesData[[#This Row],[FY 2000]:[FY 2012]])</f>
        <v>5761</v>
      </c>
      <c r="T120" s="11">
        <v>15.99</v>
      </c>
      <c r="U120" s="12">
        <f>tblSalesData[[#This Row],[Total Units 
to Date]]*tblSalesData[[#This Row],[Sell Price]]</f>
        <v>92118.39</v>
      </c>
      <c r="V120" s="3"/>
      <c r="W120" s="4"/>
    </row>
    <row r="121" spans="1:23" x14ac:dyDescent="0.25">
      <c r="A121" s="4">
        <v>1008</v>
      </c>
      <c r="B121" s="9" t="s">
        <v>76</v>
      </c>
      <c r="C121" s="4" t="s">
        <v>14</v>
      </c>
      <c r="D121" s="4" t="s">
        <v>27</v>
      </c>
      <c r="E121" s="4" t="s">
        <v>16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4">
        <v>0</v>
      </c>
      <c r="Q121" s="4">
        <v>4859</v>
      </c>
      <c r="R121" s="4">
        <v>8073</v>
      </c>
      <c r="S121" s="24">
        <f>SUM(tblSalesData[[#This Row],[FY 2000]:[FY 2012]])</f>
        <v>12932</v>
      </c>
      <c r="T121" s="11">
        <v>11.99</v>
      </c>
      <c r="U121" s="12">
        <f>tblSalesData[[#This Row],[Total Units 
to Date]]*tblSalesData[[#This Row],[Sell Price]]</f>
        <v>155054.68</v>
      </c>
      <c r="V121" s="3"/>
      <c r="W121" s="4"/>
    </row>
    <row r="122" spans="1:23" x14ac:dyDescent="0.25">
      <c r="A122" s="4">
        <v>1008</v>
      </c>
      <c r="B122" s="9" t="s">
        <v>76</v>
      </c>
      <c r="C122" s="4" t="s">
        <v>14</v>
      </c>
      <c r="D122" s="4" t="s">
        <v>27</v>
      </c>
      <c r="E122" s="4" t="s">
        <v>19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4">
        <v>0</v>
      </c>
      <c r="Q122" s="4">
        <v>0</v>
      </c>
      <c r="R122" s="4">
        <v>5328</v>
      </c>
      <c r="S122" s="24">
        <f>SUM(tblSalesData[[#This Row],[FY 2000]:[FY 2012]])</f>
        <v>5328</v>
      </c>
      <c r="T122" s="11">
        <v>15.99</v>
      </c>
      <c r="U122" s="12">
        <f>tblSalesData[[#This Row],[Total Units 
to Date]]*tblSalesData[[#This Row],[Sell Price]]</f>
        <v>85194.72</v>
      </c>
      <c r="V122" s="3"/>
      <c r="W122" s="4"/>
    </row>
    <row r="123" spans="1:23" x14ac:dyDescent="0.25">
      <c r="A123" s="4">
        <v>1056</v>
      </c>
      <c r="B123" s="9" t="s">
        <v>285</v>
      </c>
      <c r="C123" s="4" t="s">
        <v>13</v>
      </c>
      <c r="D123" s="4" t="s">
        <v>27</v>
      </c>
      <c r="E123" s="4" t="s">
        <v>18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4">
        <v>63786</v>
      </c>
      <c r="Q123" s="4">
        <v>44363</v>
      </c>
      <c r="R123" s="4">
        <v>9787</v>
      </c>
      <c r="S123" s="24">
        <f>SUM(tblSalesData[[#This Row],[FY 2000]:[FY 2012]])</f>
        <v>117936</v>
      </c>
      <c r="T123" s="11">
        <v>9.99</v>
      </c>
      <c r="U123" s="12">
        <f>tblSalesData[[#This Row],[Total Units 
to Date]]*tblSalesData[[#This Row],[Sell Price]]</f>
        <v>1178180.6400000001</v>
      </c>
      <c r="V123" s="3"/>
      <c r="W123" s="4"/>
    </row>
    <row r="124" spans="1:23" x14ac:dyDescent="0.25">
      <c r="A124" s="4">
        <v>1012</v>
      </c>
      <c r="B124" s="9" t="s">
        <v>90</v>
      </c>
      <c r="C124" s="4" t="s">
        <v>14</v>
      </c>
      <c r="D124" s="4" t="s">
        <v>27</v>
      </c>
      <c r="E124" s="4" t="s">
        <v>16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133905</v>
      </c>
      <c r="P124" s="4">
        <v>446955</v>
      </c>
      <c r="Q124" s="4">
        <v>474323</v>
      </c>
      <c r="R124" s="4">
        <v>337910</v>
      </c>
      <c r="S124" s="24">
        <f>SUM(tblSalesData[[#This Row],[FY 2000]:[FY 2012]])</f>
        <v>1393093</v>
      </c>
      <c r="T124" s="11">
        <v>11.99</v>
      </c>
      <c r="U124" s="12">
        <f>tblSalesData[[#This Row],[Total Units 
to Date]]*tblSalesData[[#This Row],[Sell Price]]</f>
        <v>16703185.07</v>
      </c>
      <c r="V124" s="3"/>
      <c r="W124" s="4"/>
    </row>
    <row r="125" spans="1:23" x14ac:dyDescent="0.25">
      <c r="A125" s="4">
        <v>1012</v>
      </c>
      <c r="B125" s="9" t="s">
        <v>92</v>
      </c>
      <c r="C125" s="4" t="s">
        <v>14</v>
      </c>
      <c r="D125" s="4" t="s">
        <v>27</v>
      </c>
      <c r="E125" s="4" t="s">
        <v>17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221047</v>
      </c>
      <c r="P125" s="4">
        <v>232897</v>
      </c>
      <c r="Q125" s="4">
        <v>367919</v>
      </c>
      <c r="R125" s="4">
        <v>286465</v>
      </c>
      <c r="S125" s="24">
        <f>SUM(tblSalesData[[#This Row],[FY 2000]:[FY 2012]])</f>
        <v>1108328</v>
      </c>
      <c r="T125" s="11">
        <v>12.99</v>
      </c>
      <c r="U125" s="12">
        <f>tblSalesData[[#This Row],[Total Units 
to Date]]*tblSalesData[[#This Row],[Sell Price]]</f>
        <v>14397180.720000001</v>
      </c>
      <c r="V125" s="3"/>
      <c r="W125" s="4"/>
    </row>
    <row r="126" spans="1:23" x14ac:dyDescent="0.25">
      <c r="A126" s="4">
        <v>1012</v>
      </c>
      <c r="B126" s="9" t="s">
        <v>93</v>
      </c>
      <c r="C126" s="4" t="s">
        <v>14</v>
      </c>
      <c r="D126" s="4" t="s">
        <v>27</v>
      </c>
      <c r="E126" s="4" t="s">
        <v>16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211460</v>
      </c>
      <c r="P126" s="4">
        <v>437368</v>
      </c>
      <c r="Q126" s="4">
        <v>290554</v>
      </c>
      <c r="R126" s="4">
        <v>332891</v>
      </c>
      <c r="S126" s="24">
        <f>SUM(tblSalesData[[#This Row],[FY 2000]:[FY 2012]])</f>
        <v>1272273</v>
      </c>
      <c r="T126" s="11">
        <v>11.99</v>
      </c>
      <c r="U126" s="12">
        <f>tblSalesData[[#This Row],[Total Units 
to Date]]*tblSalesData[[#This Row],[Sell Price]]</f>
        <v>15254553.27</v>
      </c>
      <c r="V126" s="3"/>
      <c r="W126" s="4"/>
    </row>
    <row r="127" spans="1:23" x14ac:dyDescent="0.25">
      <c r="A127" s="4">
        <v>1017</v>
      </c>
      <c r="B127" s="9" t="s">
        <v>147</v>
      </c>
      <c r="C127" s="4" t="s">
        <v>14</v>
      </c>
      <c r="D127" s="4" t="s">
        <v>27</v>
      </c>
      <c r="E127" s="4" t="s">
        <v>16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4">
        <v>0</v>
      </c>
      <c r="Q127" s="4">
        <v>19209</v>
      </c>
      <c r="R127" s="4">
        <v>22317</v>
      </c>
      <c r="S127" s="24">
        <f>SUM(tblSalesData[[#This Row],[FY 2000]:[FY 2012]])</f>
        <v>41526</v>
      </c>
      <c r="T127" s="11">
        <v>11.99</v>
      </c>
      <c r="U127" s="12">
        <f>tblSalesData[[#This Row],[Total Units 
to Date]]*tblSalesData[[#This Row],[Sell Price]]</f>
        <v>497896.74</v>
      </c>
      <c r="V127" s="3"/>
      <c r="W127" s="4"/>
    </row>
    <row r="128" spans="1:23" x14ac:dyDescent="0.25">
      <c r="A128" s="4">
        <v>1056</v>
      </c>
      <c r="B128" s="9" t="s">
        <v>286</v>
      </c>
      <c r="C128" s="4" t="s">
        <v>13</v>
      </c>
      <c r="D128" s="4" t="s">
        <v>27</v>
      </c>
      <c r="E128" s="4" t="s">
        <v>18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4">
        <v>87086</v>
      </c>
      <c r="Q128" s="4">
        <v>13647</v>
      </c>
      <c r="R128" s="4">
        <v>1482</v>
      </c>
      <c r="S128" s="24">
        <f>SUM(tblSalesData[[#This Row],[FY 2000]:[FY 2012]])</f>
        <v>102215</v>
      </c>
      <c r="T128" s="11">
        <v>9.99</v>
      </c>
      <c r="U128" s="12">
        <f>tblSalesData[[#This Row],[Total Units 
to Date]]*tblSalesData[[#This Row],[Sell Price]]</f>
        <v>1021127.85</v>
      </c>
      <c r="V128" s="3"/>
      <c r="W128" s="4"/>
    </row>
    <row r="129" spans="1:23" x14ac:dyDescent="0.25">
      <c r="A129" s="4">
        <v>1017</v>
      </c>
      <c r="B129" s="9" t="s">
        <v>147</v>
      </c>
      <c r="C129" s="4" t="s">
        <v>14</v>
      </c>
      <c r="D129" s="4" t="s">
        <v>27</v>
      </c>
      <c r="E129" s="4" t="s">
        <v>17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4">
        <v>0</v>
      </c>
      <c r="Q129" s="4">
        <v>68536</v>
      </c>
      <c r="R129" s="4">
        <v>15109</v>
      </c>
      <c r="S129" s="24">
        <f>SUM(tblSalesData[[#This Row],[FY 2000]:[FY 2012]])</f>
        <v>83645</v>
      </c>
      <c r="T129" s="11">
        <v>12.99</v>
      </c>
      <c r="U129" s="12">
        <f>tblSalesData[[#This Row],[Total Units 
to Date]]*tblSalesData[[#This Row],[Sell Price]]</f>
        <v>1086548.55</v>
      </c>
      <c r="V129" s="3"/>
      <c r="W129" s="4"/>
    </row>
    <row r="130" spans="1:23" x14ac:dyDescent="0.25">
      <c r="A130" s="4">
        <v>1057</v>
      </c>
      <c r="B130" s="9" t="s">
        <v>306</v>
      </c>
      <c r="C130" s="4" t="s">
        <v>13</v>
      </c>
      <c r="D130" s="4" t="s">
        <v>27</v>
      </c>
      <c r="E130" s="4" t="s">
        <v>18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38390</v>
      </c>
      <c r="O130" s="10">
        <v>98280</v>
      </c>
      <c r="P130" s="4">
        <v>24815</v>
      </c>
      <c r="Q130" s="4">
        <v>18485</v>
      </c>
      <c r="R130" s="4">
        <v>9076</v>
      </c>
      <c r="S130" s="24">
        <f>SUM(tblSalesData[[#This Row],[FY 2000]:[FY 2012]])</f>
        <v>189046</v>
      </c>
      <c r="T130" s="11">
        <v>9.99</v>
      </c>
      <c r="U130" s="12">
        <f>tblSalesData[[#This Row],[Total Units 
to Date]]*tblSalesData[[#This Row],[Sell Price]]</f>
        <v>1888569.54</v>
      </c>
      <c r="V130" s="3"/>
      <c r="W130" s="4"/>
    </row>
    <row r="131" spans="1:23" x14ac:dyDescent="0.25">
      <c r="A131" s="4">
        <v>1033</v>
      </c>
      <c r="B131" s="9" t="s">
        <v>164</v>
      </c>
      <c r="C131" s="4" t="s">
        <v>14</v>
      </c>
      <c r="D131" s="4" t="s">
        <v>27</v>
      </c>
      <c r="E131" s="4" t="s">
        <v>19</v>
      </c>
      <c r="F131" s="10">
        <v>7628</v>
      </c>
      <c r="G131" s="10">
        <v>1570</v>
      </c>
      <c r="H131" s="10">
        <v>2999</v>
      </c>
      <c r="I131" s="10">
        <v>4531</v>
      </c>
      <c r="J131" s="10">
        <v>5140</v>
      </c>
      <c r="K131" s="10">
        <v>8229</v>
      </c>
      <c r="L131" s="10">
        <v>11145</v>
      </c>
      <c r="M131" s="10">
        <v>16019</v>
      </c>
      <c r="N131" s="10">
        <v>18929</v>
      </c>
      <c r="O131" s="10">
        <v>25288</v>
      </c>
      <c r="P131" s="4">
        <v>33516</v>
      </c>
      <c r="Q131" s="4">
        <v>38217</v>
      </c>
      <c r="R131" s="4">
        <v>20791</v>
      </c>
      <c r="S131" s="24">
        <f>SUM(tblSalesData[[#This Row],[FY 2000]:[FY 2012]])</f>
        <v>194002</v>
      </c>
      <c r="T131" s="11">
        <v>15.99</v>
      </c>
      <c r="U131" s="12">
        <f>tblSalesData[[#This Row],[Total Units 
to Date]]*tblSalesData[[#This Row],[Sell Price]]</f>
        <v>3102091.98</v>
      </c>
      <c r="V131" s="3"/>
      <c r="W131" s="4"/>
    </row>
    <row r="132" spans="1:23" x14ac:dyDescent="0.25">
      <c r="A132" s="4">
        <v>1033</v>
      </c>
      <c r="B132" s="9" t="s">
        <v>176</v>
      </c>
      <c r="C132" s="4" t="s">
        <v>14</v>
      </c>
      <c r="D132" s="4" t="s">
        <v>27</v>
      </c>
      <c r="E132" s="4" t="s">
        <v>17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14698</v>
      </c>
      <c r="M132" s="10">
        <v>15914</v>
      </c>
      <c r="N132" s="10">
        <v>19443</v>
      </c>
      <c r="O132" s="10">
        <v>27888</v>
      </c>
      <c r="P132" s="4">
        <v>27685</v>
      </c>
      <c r="Q132" s="4">
        <v>37471</v>
      </c>
      <c r="R132" s="4">
        <v>23231</v>
      </c>
      <c r="S132" s="24">
        <f>SUM(tblSalesData[[#This Row],[FY 2000]:[FY 2012]])</f>
        <v>166330</v>
      </c>
      <c r="T132" s="11">
        <v>12.99</v>
      </c>
      <c r="U132" s="12">
        <f>tblSalesData[[#This Row],[Total Units 
to Date]]*tblSalesData[[#This Row],[Sell Price]]</f>
        <v>2160626.7000000002</v>
      </c>
      <c r="V132" s="3"/>
      <c r="W132" s="4"/>
    </row>
    <row r="133" spans="1:23" x14ac:dyDescent="0.25">
      <c r="A133" s="4">
        <v>1057</v>
      </c>
      <c r="B133" s="9" t="s">
        <v>314</v>
      </c>
      <c r="C133" s="4" t="s">
        <v>13</v>
      </c>
      <c r="D133" s="4" t="s">
        <v>27</v>
      </c>
      <c r="E133" s="4" t="s">
        <v>18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4">
        <v>12173</v>
      </c>
      <c r="Q133" s="4">
        <v>35050</v>
      </c>
      <c r="R133" s="4">
        <v>21871</v>
      </c>
      <c r="S133" s="24">
        <f>SUM(tblSalesData[[#This Row],[FY 2000]:[FY 2012]])</f>
        <v>69094</v>
      </c>
      <c r="T133" s="11">
        <v>9.99</v>
      </c>
      <c r="U133" s="12">
        <f>tblSalesData[[#This Row],[Total Units 
to Date]]*tblSalesData[[#This Row],[Sell Price]]</f>
        <v>690249.06</v>
      </c>
      <c r="V133" s="3"/>
      <c r="W133" s="4"/>
    </row>
    <row r="134" spans="1:23" x14ac:dyDescent="0.25">
      <c r="A134" s="4">
        <v>1033</v>
      </c>
      <c r="B134" s="9" t="s">
        <v>182</v>
      </c>
      <c r="C134" s="4" t="s">
        <v>14</v>
      </c>
      <c r="D134" s="4" t="s">
        <v>27</v>
      </c>
      <c r="E134" s="4" t="s">
        <v>16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27263</v>
      </c>
      <c r="P134" s="4">
        <v>28580</v>
      </c>
      <c r="Q134" s="4">
        <v>36026</v>
      </c>
      <c r="R134" s="4">
        <v>21648</v>
      </c>
      <c r="S134" s="24">
        <f>SUM(tblSalesData[[#This Row],[FY 2000]:[FY 2012]])</f>
        <v>113517</v>
      </c>
      <c r="T134" s="11">
        <v>11.99</v>
      </c>
      <c r="U134" s="12">
        <f>tblSalesData[[#This Row],[Total Units 
to Date]]*tblSalesData[[#This Row],[Sell Price]]</f>
        <v>1361068.83</v>
      </c>
      <c r="V134" s="3"/>
      <c r="W134" s="4"/>
    </row>
    <row r="135" spans="1:23" x14ac:dyDescent="0.25">
      <c r="A135" s="4">
        <v>1005</v>
      </c>
      <c r="B135" s="9" t="s">
        <v>53</v>
      </c>
      <c r="C135" s="4" t="s">
        <v>14</v>
      </c>
      <c r="D135" s="4" t="s">
        <v>27</v>
      </c>
      <c r="E135" s="4" t="s">
        <v>18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4">
        <v>0</v>
      </c>
      <c r="Q135" s="4">
        <v>0</v>
      </c>
      <c r="R135" s="4">
        <v>1521</v>
      </c>
      <c r="S135" s="24">
        <f>SUM(tblSalesData[[#This Row],[FY 2000]:[FY 2012]])</f>
        <v>1521</v>
      </c>
      <c r="T135" s="11">
        <v>9.99</v>
      </c>
      <c r="U135" s="12">
        <f>tblSalesData[[#This Row],[Total Units 
to Date]]*tblSalesData[[#This Row],[Sell Price]]</f>
        <v>15194.79</v>
      </c>
      <c r="V135" s="3"/>
      <c r="W135" s="4"/>
    </row>
    <row r="136" spans="1:23" x14ac:dyDescent="0.25">
      <c r="A136" s="4">
        <v>1033</v>
      </c>
      <c r="B136" s="9" t="s">
        <v>182</v>
      </c>
      <c r="C136" s="4" t="s">
        <v>14</v>
      </c>
      <c r="D136" s="4" t="s">
        <v>27</v>
      </c>
      <c r="E136" s="4" t="s">
        <v>19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26944</v>
      </c>
      <c r="P136" s="4">
        <v>30229</v>
      </c>
      <c r="Q136" s="4">
        <v>36614</v>
      </c>
      <c r="R136" s="4">
        <v>22013</v>
      </c>
      <c r="S136" s="24">
        <f>SUM(tblSalesData[[#This Row],[FY 2000]:[FY 2012]])</f>
        <v>115800</v>
      </c>
      <c r="T136" s="11">
        <v>15.99</v>
      </c>
      <c r="U136" s="12">
        <f>tblSalesData[[#This Row],[Total Units 
to Date]]*tblSalesData[[#This Row],[Sell Price]]</f>
        <v>1851642</v>
      </c>
      <c r="V136" s="3"/>
      <c r="W136" s="4"/>
    </row>
    <row r="137" spans="1:23" x14ac:dyDescent="0.25">
      <c r="A137" s="4">
        <v>1005</v>
      </c>
      <c r="B137" s="9" t="s">
        <v>59</v>
      </c>
      <c r="C137" s="4" t="s">
        <v>14</v>
      </c>
      <c r="D137" s="4" t="s">
        <v>27</v>
      </c>
      <c r="E137" s="4" t="s">
        <v>18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4">
        <v>0</v>
      </c>
      <c r="Q137" s="4">
        <v>218</v>
      </c>
      <c r="R137" s="4">
        <v>1043</v>
      </c>
      <c r="S137" s="24">
        <f>SUM(tblSalesData[[#This Row],[FY 2000]:[FY 2012]])</f>
        <v>1261</v>
      </c>
      <c r="T137" s="11">
        <v>9.99</v>
      </c>
      <c r="U137" s="12">
        <f>tblSalesData[[#This Row],[Total Units 
to Date]]*tblSalesData[[#This Row],[Sell Price]]</f>
        <v>12597.39</v>
      </c>
      <c r="V137" s="3"/>
      <c r="W137" s="4"/>
    </row>
    <row r="138" spans="1:23" x14ac:dyDescent="0.25">
      <c r="A138" s="4">
        <v>1034</v>
      </c>
      <c r="B138" s="9" t="s">
        <v>190</v>
      </c>
      <c r="C138" s="4" t="s">
        <v>14</v>
      </c>
      <c r="D138" s="4" t="s">
        <v>27</v>
      </c>
      <c r="E138" s="4" t="s">
        <v>17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7169</v>
      </c>
      <c r="N138" s="10">
        <v>9348</v>
      </c>
      <c r="O138" s="10">
        <v>16276</v>
      </c>
      <c r="P138" s="4">
        <v>19843</v>
      </c>
      <c r="Q138" s="4">
        <v>18504</v>
      </c>
      <c r="R138" s="4">
        <v>13672</v>
      </c>
      <c r="S138" s="24">
        <f>SUM(tblSalesData[[#This Row],[FY 2000]:[FY 2012]])</f>
        <v>84812</v>
      </c>
      <c r="T138" s="11">
        <v>12.99</v>
      </c>
      <c r="U138" s="12">
        <f>tblSalesData[[#This Row],[Total Units 
to Date]]*tblSalesData[[#This Row],[Sell Price]]</f>
        <v>1101707.8800000001</v>
      </c>
      <c r="V138" s="3"/>
      <c r="W138" s="4"/>
    </row>
    <row r="139" spans="1:23" x14ac:dyDescent="0.25">
      <c r="A139" s="4">
        <v>1034</v>
      </c>
      <c r="B139" s="9" t="s">
        <v>190</v>
      </c>
      <c r="C139" s="4" t="s">
        <v>14</v>
      </c>
      <c r="D139" s="4" t="s">
        <v>27</v>
      </c>
      <c r="E139" s="4" t="s">
        <v>19</v>
      </c>
      <c r="F139" s="10">
        <v>0</v>
      </c>
      <c r="G139" s="10">
        <v>0</v>
      </c>
      <c r="H139" s="10">
        <v>0</v>
      </c>
      <c r="I139" s="10">
        <v>0</v>
      </c>
      <c r="J139" s="10">
        <v>3683</v>
      </c>
      <c r="K139" s="10">
        <v>4910</v>
      </c>
      <c r="L139" s="10">
        <v>5368</v>
      </c>
      <c r="M139" s="10">
        <v>8858</v>
      </c>
      <c r="N139" s="10">
        <v>9128</v>
      </c>
      <c r="O139" s="10">
        <v>19525</v>
      </c>
      <c r="P139" s="4">
        <v>20137</v>
      </c>
      <c r="Q139" s="4">
        <v>18032</v>
      </c>
      <c r="R139" s="4">
        <v>11939</v>
      </c>
      <c r="S139" s="24">
        <f>SUM(tblSalesData[[#This Row],[FY 2000]:[FY 2012]])</f>
        <v>101580</v>
      </c>
      <c r="T139" s="11">
        <v>15.99</v>
      </c>
      <c r="U139" s="12">
        <f>tblSalesData[[#This Row],[Total Units 
to Date]]*tblSalesData[[#This Row],[Sell Price]]</f>
        <v>1624264.2</v>
      </c>
      <c r="V139" s="3"/>
      <c r="W139" s="4"/>
    </row>
    <row r="140" spans="1:23" x14ac:dyDescent="0.25">
      <c r="A140" s="4">
        <v>1034</v>
      </c>
      <c r="B140" s="9" t="s">
        <v>193</v>
      </c>
      <c r="C140" s="4" t="s">
        <v>14</v>
      </c>
      <c r="D140" s="4" t="s">
        <v>27</v>
      </c>
      <c r="E140" s="4" t="s">
        <v>17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4">
        <v>19910</v>
      </c>
      <c r="Q140" s="4">
        <v>19583</v>
      </c>
      <c r="R140" s="4">
        <v>12273</v>
      </c>
      <c r="S140" s="24">
        <f>SUM(tblSalesData[[#This Row],[FY 2000]:[FY 2012]])</f>
        <v>51766</v>
      </c>
      <c r="T140" s="11">
        <v>12.99</v>
      </c>
      <c r="U140" s="12">
        <f>tblSalesData[[#This Row],[Total Units 
to Date]]*tblSalesData[[#This Row],[Sell Price]]</f>
        <v>672440.34</v>
      </c>
      <c r="V140" s="3"/>
      <c r="W140" s="4"/>
    </row>
    <row r="141" spans="1:23" x14ac:dyDescent="0.25">
      <c r="A141" s="4">
        <v>1037</v>
      </c>
      <c r="B141" s="9" t="s">
        <v>204</v>
      </c>
      <c r="C141" s="4" t="s">
        <v>14</v>
      </c>
      <c r="D141" s="4" t="s">
        <v>27</v>
      </c>
      <c r="E141" s="4" t="s">
        <v>17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4">
        <v>56185</v>
      </c>
      <c r="Q141" s="4">
        <v>67882</v>
      </c>
      <c r="R141" s="4">
        <v>26058</v>
      </c>
      <c r="S141" s="24">
        <f>SUM(tblSalesData[[#This Row],[FY 2000]:[FY 2012]])</f>
        <v>150125</v>
      </c>
      <c r="T141" s="11">
        <v>12.99</v>
      </c>
      <c r="U141" s="12">
        <f>tblSalesData[[#This Row],[Total Units 
to Date]]*tblSalesData[[#This Row],[Sell Price]]</f>
        <v>1950123.75</v>
      </c>
      <c r="V141" s="3"/>
      <c r="W141" s="4"/>
    </row>
    <row r="142" spans="1:23" x14ac:dyDescent="0.25">
      <c r="A142" s="4">
        <v>1005</v>
      </c>
      <c r="B142" s="9" t="s">
        <v>61</v>
      </c>
      <c r="C142" s="4" t="s">
        <v>14</v>
      </c>
      <c r="D142" s="4" t="s">
        <v>27</v>
      </c>
      <c r="E142" s="4" t="s">
        <v>18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4">
        <v>0</v>
      </c>
      <c r="Q142" s="4">
        <v>319</v>
      </c>
      <c r="R142" s="4">
        <v>1696</v>
      </c>
      <c r="S142" s="24">
        <f>SUM(tblSalesData[[#This Row],[FY 2000]:[FY 2012]])</f>
        <v>2015</v>
      </c>
      <c r="T142" s="11">
        <v>9.99</v>
      </c>
      <c r="U142" s="12">
        <f>tblSalesData[[#This Row],[Total Units 
to Date]]*tblSalesData[[#This Row],[Sell Price]]</f>
        <v>20129.850000000002</v>
      </c>
      <c r="V142" s="3"/>
      <c r="W142" s="4"/>
    </row>
    <row r="143" spans="1:23" x14ac:dyDescent="0.25">
      <c r="A143" s="4">
        <v>1039</v>
      </c>
      <c r="B143" s="9" t="s">
        <v>235</v>
      </c>
      <c r="C143" s="4" t="s">
        <v>14</v>
      </c>
      <c r="D143" s="4" t="s">
        <v>27</v>
      </c>
      <c r="E143" s="4" t="s">
        <v>17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417630</v>
      </c>
      <c r="L143" s="10">
        <v>486466</v>
      </c>
      <c r="M143" s="10">
        <v>343049</v>
      </c>
      <c r="N143" s="10">
        <v>445616</v>
      </c>
      <c r="O143" s="10">
        <v>487035</v>
      </c>
      <c r="P143" s="4">
        <v>255238</v>
      </c>
      <c r="Q143" s="4">
        <v>289581</v>
      </c>
      <c r="R143" s="4">
        <v>128142</v>
      </c>
      <c r="S143" s="24">
        <f>SUM(tblSalesData[[#This Row],[FY 2000]:[FY 2012]])</f>
        <v>2852757</v>
      </c>
      <c r="T143" s="11">
        <v>12.99</v>
      </c>
      <c r="U143" s="12">
        <f>tblSalesData[[#This Row],[Total Units 
to Date]]*tblSalesData[[#This Row],[Sell Price]]</f>
        <v>37057313.43</v>
      </c>
      <c r="V143" s="3"/>
      <c r="W143" s="4"/>
    </row>
    <row r="144" spans="1:23" x14ac:dyDescent="0.25">
      <c r="A144" s="4">
        <v>1039</v>
      </c>
      <c r="B144" s="9" t="s">
        <v>235</v>
      </c>
      <c r="C144" s="4" t="s">
        <v>14</v>
      </c>
      <c r="D144" s="4" t="s">
        <v>27</v>
      </c>
      <c r="E144" s="4" t="s">
        <v>19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456255</v>
      </c>
      <c r="N144" s="10">
        <v>271282</v>
      </c>
      <c r="O144" s="10">
        <v>294482</v>
      </c>
      <c r="P144" s="4">
        <v>246294</v>
      </c>
      <c r="Q144" s="4">
        <v>324076</v>
      </c>
      <c r="R144" s="4">
        <v>126315</v>
      </c>
      <c r="S144" s="24">
        <f>SUM(tblSalesData[[#This Row],[FY 2000]:[FY 2012]])</f>
        <v>1718704</v>
      </c>
      <c r="T144" s="11">
        <v>15.99</v>
      </c>
      <c r="U144" s="12">
        <f>tblSalesData[[#This Row],[Total Units 
to Date]]*tblSalesData[[#This Row],[Sell Price]]</f>
        <v>27482076.960000001</v>
      </c>
      <c r="V144" s="3"/>
      <c r="W144" s="4"/>
    </row>
    <row r="145" spans="1:23" x14ac:dyDescent="0.25">
      <c r="A145" s="4">
        <v>1039</v>
      </c>
      <c r="B145" s="9" t="s">
        <v>237</v>
      </c>
      <c r="C145" s="4" t="s">
        <v>14</v>
      </c>
      <c r="D145" s="4" t="s">
        <v>27</v>
      </c>
      <c r="E145" s="4" t="s">
        <v>16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4">
        <v>259733</v>
      </c>
      <c r="Q145" s="4">
        <v>282127</v>
      </c>
      <c r="R145" s="4">
        <v>129308</v>
      </c>
      <c r="S145" s="24">
        <f>SUM(tblSalesData[[#This Row],[FY 2000]:[FY 2012]])</f>
        <v>671168</v>
      </c>
      <c r="T145" s="11">
        <v>11.99</v>
      </c>
      <c r="U145" s="12">
        <f>tblSalesData[[#This Row],[Total Units 
to Date]]*tblSalesData[[#This Row],[Sell Price]]</f>
        <v>8047304.3200000003</v>
      </c>
      <c r="V145" s="3"/>
      <c r="W145" s="4"/>
    </row>
    <row r="146" spans="1:23" x14ac:dyDescent="0.25">
      <c r="A146" s="4">
        <v>1039</v>
      </c>
      <c r="B146" s="9" t="s">
        <v>237</v>
      </c>
      <c r="C146" s="4" t="s">
        <v>14</v>
      </c>
      <c r="D146" s="4" t="s">
        <v>27</v>
      </c>
      <c r="E146" s="4" t="s">
        <v>19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458002</v>
      </c>
      <c r="P146" s="4">
        <v>303193</v>
      </c>
      <c r="Q146" s="4">
        <v>258824</v>
      </c>
      <c r="R146" s="4">
        <v>165254</v>
      </c>
      <c r="S146" s="24">
        <f>SUM(tblSalesData[[#This Row],[FY 2000]:[FY 2012]])</f>
        <v>1185273</v>
      </c>
      <c r="T146" s="11">
        <v>15.99</v>
      </c>
      <c r="U146" s="12">
        <f>tblSalesData[[#This Row],[Total Units 
to Date]]*tblSalesData[[#This Row],[Sell Price]]</f>
        <v>18952515.27</v>
      </c>
      <c r="V146" s="3"/>
      <c r="W146" s="4"/>
    </row>
    <row r="147" spans="1:23" x14ac:dyDescent="0.25">
      <c r="A147" s="4">
        <v>1040</v>
      </c>
      <c r="B147" s="9" t="s">
        <v>239</v>
      </c>
      <c r="C147" s="4" t="s">
        <v>14</v>
      </c>
      <c r="D147" s="4" t="s">
        <v>27</v>
      </c>
      <c r="E147" s="4" t="s">
        <v>19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4">
        <v>350186</v>
      </c>
      <c r="Q147" s="4">
        <v>298526</v>
      </c>
      <c r="R147" s="4">
        <v>162401</v>
      </c>
      <c r="S147" s="24">
        <f>SUM(tblSalesData[[#This Row],[FY 2000]:[FY 2012]])</f>
        <v>811113</v>
      </c>
      <c r="T147" s="11">
        <v>15.99</v>
      </c>
      <c r="U147" s="12">
        <f>tblSalesData[[#This Row],[Total Units 
to Date]]*tblSalesData[[#This Row],[Sell Price]]</f>
        <v>12969696.870000001</v>
      </c>
      <c r="V147" s="3"/>
      <c r="W147" s="4"/>
    </row>
    <row r="148" spans="1:23" x14ac:dyDescent="0.25">
      <c r="A148" s="4">
        <v>1040</v>
      </c>
      <c r="B148" s="9" t="s">
        <v>240</v>
      </c>
      <c r="C148" s="4" t="s">
        <v>14</v>
      </c>
      <c r="D148" s="4" t="s">
        <v>27</v>
      </c>
      <c r="E148" s="4" t="s">
        <v>19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4">
        <v>262358</v>
      </c>
      <c r="Q148" s="4">
        <v>196431</v>
      </c>
      <c r="R148" s="4">
        <v>98687</v>
      </c>
      <c r="S148" s="24">
        <f>SUM(tblSalesData[[#This Row],[FY 2000]:[FY 2012]])</f>
        <v>557476</v>
      </c>
      <c r="T148" s="11">
        <v>15.99</v>
      </c>
      <c r="U148" s="12">
        <f>tblSalesData[[#This Row],[Total Units 
to Date]]*tblSalesData[[#This Row],[Sell Price]]</f>
        <v>8914041.2400000002</v>
      </c>
      <c r="V148" s="3"/>
      <c r="W148" s="4"/>
    </row>
    <row r="149" spans="1:23" x14ac:dyDescent="0.25">
      <c r="A149" s="4">
        <v>1042</v>
      </c>
      <c r="B149" s="9" t="s">
        <v>243</v>
      </c>
      <c r="C149" s="4" t="s">
        <v>14</v>
      </c>
      <c r="D149" s="4" t="s">
        <v>27</v>
      </c>
      <c r="E149" s="4" t="s">
        <v>16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17537</v>
      </c>
      <c r="P149" s="4">
        <v>20008</v>
      </c>
      <c r="Q149" s="4">
        <v>21234</v>
      </c>
      <c r="R149" s="4">
        <v>13993</v>
      </c>
      <c r="S149" s="24">
        <f>SUM(tblSalesData[[#This Row],[FY 2000]:[FY 2012]])</f>
        <v>72772</v>
      </c>
      <c r="T149" s="11">
        <v>11.99</v>
      </c>
      <c r="U149" s="12">
        <f>tblSalesData[[#This Row],[Total Units 
to Date]]*tblSalesData[[#This Row],[Sell Price]]</f>
        <v>872536.28</v>
      </c>
      <c r="V149" s="3"/>
      <c r="W149" s="4"/>
    </row>
    <row r="150" spans="1:23" x14ac:dyDescent="0.25">
      <c r="A150" s="4">
        <v>1012</v>
      </c>
      <c r="B150" s="9" t="s">
        <v>89</v>
      </c>
      <c r="C150" s="4" t="s">
        <v>14</v>
      </c>
      <c r="D150" s="4" t="s">
        <v>27</v>
      </c>
      <c r="E150" s="4" t="s">
        <v>18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103954</v>
      </c>
      <c r="P150" s="4">
        <v>304633</v>
      </c>
      <c r="Q150" s="4">
        <v>324118</v>
      </c>
      <c r="R150" s="4">
        <v>369359</v>
      </c>
      <c r="S150" s="24">
        <f>SUM(tblSalesData[[#This Row],[FY 2000]:[FY 2012]])</f>
        <v>1102064</v>
      </c>
      <c r="T150" s="11">
        <v>9.99</v>
      </c>
      <c r="U150" s="12">
        <f>tblSalesData[[#This Row],[Total Units 
to Date]]*tblSalesData[[#This Row],[Sell Price]]</f>
        <v>11009619.359999999</v>
      </c>
      <c r="V150" s="3"/>
      <c r="W150" s="4"/>
    </row>
    <row r="151" spans="1:23" x14ac:dyDescent="0.25">
      <c r="A151" s="4">
        <v>1048</v>
      </c>
      <c r="B151" s="9" t="s">
        <v>257</v>
      </c>
      <c r="C151" s="4" t="s">
        <v>14</v>
      </c>
      <c r="D151" s="4" t="s">
        <v>27</v>
      </c>
      <c r="E151" s="4" t="s">
        <v>16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68194</v>
      </c>
      <c r="M151" s="10">
        <v>70023</v>
      </c>
      <c r="N151" s="10">
        <v>88140</v>
      </c>
      <c r="O151" s="10">
        <v>95730</v>
      </c>
      <c r="P151" s="4">
        <v>29544</v>
      </c>
      <c r="Q151" s="4">
        <v>13728</v>
      </c>
      <c r="R151" s="4">
        <v>29532</v>
      </c>
      <c r="S151" s="24">
        <f>SUM(tblSalesData[[#This Row],[FY 2000]:[FY 2012]])</f>
        <v>394891</v>
      </c>
      <c r="T151" s="11">
        <v>11.99</v>
      </c>
      <c r="U151" s="12">
        <f>tblSalesData[[#This Row],[Total Units 
to Date]]*tblSalesData[[#This Row],[Sell Price]]</f>
        <v>4734743.09</v>
      </c>
      <c r="V151" s="3"/>
      <c r="W151" s="4"/>
    </row>
    <row r="152" spans="1:23" x14ac:dyDescent="0.25">
      <c r="A152" s="4">
        <v>1017</v>
      </c>
      <c r="B152" s="9" t="s">
        <v>147</v>
      </c>
      <c r="C152" s="4" t="s">
        <v>14</v>
      </c>
      <c r="D152" s="4" t="s">
        <v>27</v>
      </c>
      <c r="E152" s="4" t="s">
        <v>18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4">
        <v>0</v>
      </c>
      <c r="Q152" s="4">
        <v>60559</v>
      </c>
      <c r="R152" s="4">
        <v>1397</v>
      </c>
      <c r="S152" s="24">
        <f>SUM(tblSalesData[[#This Row],[FY 2000]:[FY 2012]])</f>
        <v>61956</v>
      </c>
      <c r="T152" s="11">
        <v>9.99</v>
      </c>
      <c r="U152" s="12">
        <f>tblSalesData[[#This Row],[Total Units 
to Date]]*tblSalesData[[#This Row],[Sell Price]]</f>
        <v>618940.44000000006</v>
      </c>
      <c r="V152" s="3"/>
      <c r="W152" s="4"/>
    </row>
    <row r="153" spans="1:23" x14ac:dyDescent="0.25">
      <c r="A153" s="4">
        <v>1048</v>
      </c>
      <c r="B153" s="9" t="s">
        <v>257</v>
      </c>
      <c r="C153" s="4" t="s">
        <v>14</v>
      </c>
      <c r="D153" s="4" t="s">
        <v>27</v>
      </c>
      <c r="E153" s="4" t="s">
        <v>17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93410</v>
      </c>
      <c r="L153" s="10">
        <v>55313</v>
      </c>
      <c r="M153" s="10">
        <v>37670</v>
      </c>
      <c r="N153" s="10">
        <v>65396</v>
      </c>
      <c r="O153" s="10">
        <v>63025</v>
      </c>
      <c r="P153" s="4">
        <v>37004</v>
      </c>
      <c r="Q153" s="4">
        <v>3863</v>
      </c>
      <c r="R153" s="4">
        <v>25930</v>
      </c>
      <c r="S153" s="24">
        <f>SUM(tblSalesData[[#This Row],[FY 2000]:[FY 2012]])</f>
        <v>381611</v>
      </c>
      <c r="T153" s="11">
        <v>12.99</v>
      </c>
      <c r="U153" s="12">
        <f>tblSalesData[[#This Row],[Total Units 
to Date]]*tblSalesData[[#This Row],[Sell Price]]</f>
        <v>4957126.8899999997</v>
      </c>
      <c r="V153" s="3"/>
      <c r="W153" s="4"/>
    </row>
    <row r="154" spans="1:23" x14ac:dyDescent="0.25">
      <c r="A154" s="4">
        <v>1048</v>
      </c>
      <c r="B154" s="9" t="s">
        <v>257</v>
      </c>
      <c r="C154" s="4" t="s">
        <v>14</v>
      </c>
      <c r="D154" s="4" t="s">
        <v>27</v>
      </c>
      <c r="E154" s="4" t="s">
        <v>19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48270</v>
      </c>
      <c r="N154" s="10">
        <v>26108</v>
      </c>
      <c r="O154" s="10">
        <v>31639</v>
      </c>
      <c r="P154" s="4">
        <v>84387</v>
      </c>
      <c r="Q154" s="4">
        <v>32871</v>
      </c>
      <c r="R154" s="4">
        <v>5811</v>
      </c>
      <c r="S154" s="24">
        <f>SUM(tblSalesData[[#This Row],[FY 2000]:[FY 2012]])</f>
        <v>229086</v>
      </c>
      <c r="T154" s="11">
        <v>15.99</v>
      </c>
      <c r="U154" s="12">
        <f>tblSalesData[[#This Row],[Total Units 
to Date]]*tblSalesData[[#This Row],[Sell Price]]</f>
        <v>3663085.14</v>
      </c>
      <c r="V154" s="3"/>
      <c r="W154" s="4"/>
    </row>
    <row r="155" spans="1:23" x14ac:dyDescent="0.25">
      <c r="A155" s="4">
        <v>1049</v>
      </c>
      <c r="B155" s="9" t="s">
        <v>269</v>
      </c>
      <c r="C155" s="4" t="s">
        <v>14</v>
      </c>
      <c r="D155" s="4" t="s">
        <v>27</v>
      </c>
      <c r="E155" s="4" t="s">
        <v>19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54612</v>
      </c>
      <c r="P155" s="4">
        <v>63703</v>
      </c>
      <c r="Q155" s="4">
        <v>4813</v>
      </c>
      <c r="R155" s="4">
        <v>13996</v>
      </c>
      <c r="S155" s="24">
        <f>SUM(tblSalesData[[#This Row],[FY 2000]:[FY 2012]])</f>
        <v>137124</v>
      </c>
      <c r="T155" s="11">
        <v>15.99</v>
      </c>
      <c r="U155" s="12">
        <f>tblSalesData[[#This Row],[Total Units 
to Date]]*tblSalesData[[#This Row],[Sell Price]]</f>
        <v>2192612.7600000002</v>
      </c>
      <c r="V155" s="3"/>
      <c r="W155" s="4"/>
    </row>
    <row r="156" spans="1:23" x14ac:dyDescent="0.25">
      <c r="A156" s="4">
        <v>1029</v>
      </c>
      <c r="B156" s="9" t="s">
        <v>151</v>
      </c>
      <c r="C156" s="4" t="s">
        <v>14</v>
      </c>
      <c r="D156" s="4" t="s">
        <v>27</v>
      </c>
      <c r="E156" s="4" t="s">
        <v>18</v>
      </c>
      <c r="F156" s="10">
        <v>0</v>
      </c>
      <c r="G156" s="10">
        <v>0</v>
      </c>
      <c r="H156" s="10">
        <v>32750</v>
      </c>
      <c r="I156" s="10">
        <v>47834</v>
      </c>
      <c r="J156" s="10">
        <v>77447</v>
      </c>
      <c r="K156" s="10">
        <v>93338</v>
      </c>
      <c r="L156" s="10">
        <v>2808</v>
      </c>
      <c r="M156" s="10">
        <v>86496</v>
      </c>
      <c r="N156" s="10">
        <v>25149</v>
      </c>
      <c r="O156" s="10">
        <v>13026</v>
      </c>
      <c r="P156" s="4">
        <v>8507</v>
      </c>
      <c r="Q156" s="4">
        <v>22422</v>
      </c>
      <c r="R156" s="4">
        <v>12644</v>
      </c>
      <c r="S156" s="24">
        <f>SUM(tblSalesData[[#This Row],[FY 2000]:[FY 2012]])</f>
        <v>422421</v>
      </c>
      <c r="T156" s="11">
        <v>9.99</v>
      </c>
      <c r="U156" s="12">
        <f>tblSalesData[[#This Row],[Total Units 
to Date]]*tblSalesData[[#This Row],[Sell Price]]</f>
        <v>4219985.79</v>
      </c>
      <c r="V156" s="3"/>
      <c r="W156" s="4"/>
    </row>
    <row r="157" spans="1:23" x14ac:dyDescent="0.25">
      <c r="A157" s="4">
        <v>1049</v>
      </c>
      <c r="B157" s="9" t="s">
        <v>272</v>
      </c>
      <c r="C157" s="4" t="s">
        <v>14</v>
      </c>
      <c r="D157" s="4" t="s">
        <v>27</v>
      </c>
      <c r="E157" s="4" t="s">
        <v>19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25679</v>
      </c>
      <c r="P157" s="4">
        <v>18374</v>
      </c>
      <c r="Q157" s="4">
        <v>41959</v>
      </c>
      <c r="R157" s="4">
        <v>24550</v>
      </c>
      <c r="S157" s="24">
        <f>SUM(tblSalesData[[#This Row],[FY 2000]:[FY 2012]])</f>
        <v>110562</v>
      </c>
      <c r="T157" s="11">
        <v>15.99</v>
      </c>
      <c r="U157" s="12">
        <f>tblSalesData[[#This Row],[Total Units 
to Date]]*tblSalesData[[#This Row],[Sell Price]]</f>
        <v>1767886.3800000001</v>
      </c>
      <c r="V157" s="3"/>
      <c r="W157" s="4"/>
    </row>
    <row r="158" spans="1:23" x14ac:dyDescent="0.25">
      <c r="A158" s="4">
        <v>1033</v>
      </c>
      <c r="B158" s="9" t="s">
        <v>180</v>
      </c>
      <c r="C158" s="4" t="s">
        <v>14</v>
      </c>
      <c r="D158" s="4" t="s">
        <v>27</v>
      </c>
      <c r="E158" s="4" t="s">
        <v>18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17487</v>
      </c>
      <c r="O158" s="10">
        <v>27781</v>
      </c>
      <c r="P158" s="4">
        <v>29981</v>
      </c>
      <c r="Q158" s="4">
        <v>36472</v>
      </c>
      <c r="R158" s="4">
        <v>25206</v>
      </c>
      <c r="S158" s="24">
        <f>SUM(tblSalesData[[#This Row],[FY 2000]:[FY 2012]])</f>
        <v>136927</v>
      </c>
      <c r="T158" s="11">
        <v>9.99</v>
      </c>
      <c r="U158" s="12">
        <f>tblSalesData[[#This Row],[Total Units 
to Date]]*tblSalesData[[#This Row],[Sell Price]]</f>
        <v>1367900.73</v>
      </c>
      <c r="V158" s="3"/>
      <c r="W158" s="4"/>
    </row>
    <row r="159" spans="1:23" x14ac:dyDescent="0.25">
      <c r="A159" s="4">
        <v>1057</v>
      </c>
      <c r="B159" s="9" t="s">
        <v>313</v>
      </c>
      <c r="C159" s="4" t="s">
        <v>14</v>
      </c>
      <c r="D159" s="4" t="s">
        <v>27</v>
      </c>
      <c r="E159" s="4" t="s">
        <v>19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51217</v>
      </c>
      <c r="O159" s="10">
        <v>29534</v>
      </c>
      <c r="P159" s="4">
        <v>59630</v>
      </c>
      <c r="Q159" s="4">
        <v>24892</v>
      </c>
      <c r="R159" s="4">
        <v>10780</v>
      </c>
      <c r="S159" s="24">
        <f>SUM(tblSalesData[[#This Row],[FY 2000]:[FY 2012]])</f>
        <v>176053</v>
      </c>
      <c r="T159" s="11">
        <v>15.99</v>
      </c>
      <c r="U159" s="12">
        <f>tblSalesData[[#This Row],[Total Units 
to Date]]*tblSalesData[[#This Row],[Sell Price]]</f>
        <v>2815087.47</v>
      </c>
      <c r="V159" s="3"/>
      <c r="W159" s="4"/>
    </row>
    <row r="160" spans="1:23" x14ac:dyDescent="0.25">
      <c r="A160" s="4">
        <v>1063</v>
      </c>
      <c r="B160" s="9" t="s">
        <v>324</v>
      </c>
      <c r="C160" s="4" t="s">
        <v>14</v>
      </c>
      <c r="D160" s="4" t="s">
        <v>27</v>
      </c>
      <c r="E160" s="4" t="s">
        <v>16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91153</v>
      </c>
      <c r="O160" s="10">
        <v>66578</v>
      </c>
      <c r="P160" s="4">
        <v>38408</v>
      </c>
      <c r="Q160" s="4">
        <v>37136</v>
      </c>
      <c r="R160" s="4">
        <v>9168</v>
      </c>
      <c r="S160" s="24">
        <f>SUM(tblSalesData[[#This Row],[FY 2000]:[FY 2012]])</f>
        <v>242443</v>
      </c>
      <c r="T160" s="11">
        <v>11.99</v>
      </c>
      <c r="U160" s="12">
        <f>tblSalesData[[#This Row],[Total Units 
to Date]]*tblSalesData[[#This Row],[Sell Price]]</f>
        <v>2906891.57</v>
      </c>
      <c r="V160" s="3"/>
      <c r="W160" s="4"/>
    </row>
    <row r="161" spans="1:23" x14ac:dyDescent="0.25">
      <c r="A161" s="4">
        <v>1063</v>
      </c>
      <c r="B161" s="9" t="s">
        <v>325</v>
      </c>
      <c r="C161" s="4" t="s">
        <v>14</v>
      </c>
      <c r="D161" s="4" t="s">
        <v>27</v>
      </c>
      <c r="E161" s="4" t="s">
        <v>16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57334</v>
      </c>
      <c r="O161" s="10">
        <v>2456</v>
      </c>
      <c r="P161" s="4">
        <v>76578</v>
      </c>
      <c r="Q161" s="4">
        <v>2951</v>
      </c>
      <c r="R161" s="4">
        <v>8176</v>
      </c>
      <c r="S161" s="24">
        <f>SUM(tblSalesData[[#This Row],[FY 2000]:[FY 2012]])</f>
        <v>147495</v>
      </c>
      <c r="T161" s="11">
        <v>11.99</v>
      </c>
      <c r="U161" s="12">
        <f>tblSalesData[[#This Row],[Total Units 
to Date]]*tblSalesData[[#This Row],[Sell Price]]</f>
        <v>1768465.05</v>
      </c>
      <c r="V161" s="3"/>
      <c r="W161" s="4"/>
    </row>
    <row r="162" spans="1:23" x14ac:dyDescent="0.25">
      <c r="A162" s="4">
        <v>1033</v>
      </c>
      <c r="B162" s="9" t="s">
        <v>182</v>
      </c>
      <c r="C162" s="4" t="s">
        <v>14</v>
      </c>
      <c r="D162" s="4" t="s">
        <v>27</v>
      </c>
      <c r="E162" s="4" t="s">
        <v>18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25030</v>
      </c>
      <c r="P162" s="4">
        <v>33736</v>
      </c>
      <c r="Q162" s="4">
        <v>40403</v>
      </c>
      <c r="R162" s="4">
        <v>21537</v>
      </c>
      <c r="S162" s="24">
        <f>SUM(tblSalesData[[#This Row],[FY 2000]:[FY 2012]])</f>
        <v>120706</v>
      </c>
      <c r="T162" s="11">
        <v>9.99</v>
      </c>
      <c r="U162" s="12">
        <f>tblSalesData[[#This Row],[Total Units 
to Date]]*tblSalesData[[#This Row],[Sell Price]]</f>
        <v>1205852.94</v>
      </c>
      <c r="V162" s="3"/>
      <c r="W162" s="4"/>
    </row>
    <row r="163" spans="1:23" x14ac:dyDescent="0.25">
      <c r="A163" s="4">
        <v>1063</v>
      </c>
      <c r="B163" s="9" t="s">
        <v>325</v>
      </c>
      <c r="C163" s="4" t="s">
        <v>14</v>
      </c>
      <c r="D163" s="4" t="s">
        <v>27</v>
      </c>
      <c r="E163" s="4" t="s">
        <v>17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39181</v>
      </c>
      <c r="O163" s="10">
        <v>15862</v>
      </c>
      <c r="P163" s="4">
        <v>3380</v>
      </c>
      <c r="Q163" s="4">
        <v>8294</v>
      </c>
      <c r="R163" s="4">
        <v>18906</v>
      </c>
      <c r="S163" s="24">
        <f>SUM(tblSalesData[[#This Row],[FY 2000]:[FY 2012]])</f>
        <v>85623</v>
      </c>
      <c r="T163" s="11">
        <v>12.99</v>
      </c>
      <c r="U163" s="12">
        <f>tblSalesData[[#This Row],[Total Units 
to Date]]*tblSalesData[[#This Row],[Sell Price]]</f>
        <v>1112242.77</v>
      </c>
      <c r="V163" s="3"/>
      <c r="W163" s="4"/>
    </row>
    <row r="164" spans="1:23" x14ac:dyDescent="0.25">
      <c r="A164" s="4">
        <v>1063</v>
      </c>
      <c r="B164" s="9" t="s">
        <v>325</v>
      </c>
      <c r="C164" s="4" t="s">
        <v>14</v>
      </c>
      <c r="D164" s="4" t="s">
        <v>27</v>
      </c>
      <c r="E164" s="4" t="s">
        <v>19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6050</v>
      </c>
      <c r="O164" s="10">
        <v>98574</v>
      </c>
      <c r="P164" s="4">
        <v>53643</v>
      </c>
      <c r="Q164" s="4">
        <v>67617</v>
      </c>
      <c r="R164" s="4">
        <v>23954</v>
      </c>
      <c r="S164" s="24">
        <f>SUM(tblSalesData[[#This Row],[FY 2000]:[FY 2012]])</f>
        <v>249838</v>
      </c>
      <c r="T164" s="11">
        <v>15.99</v>
      </c>
      <c r="U164" s="12">
        <f>tblSalesData[[#This Row],[Total Units 
to Date]]*tblSalesData[[#This Row],[Sell Price]]</f>
        <v>3994909.62</v>
      </c>
      <c r="V164" s="3"/>
      <c r="W164" s="4"/>
    </row>
    <row r="165" spans="1:23" x14ac:dyDescent="0.25">
      <c r="A165" s="4">
        <v>1065</v>
      </c>
      <c r="B165" s="9" t="s">
        <v>333</v>
      </c>
      <c r="C165" s="4" t="s">
        <v>14</v>
      </c>
      <c r="D165" s="4" t="s">
        <v>27</v>
      </c>
      <c r="E165" s="4" t="s">
        <v>17</v>
      </c>
      <c r="F165" s="10">
        <v>0</v>
      </c>
      <c r="G165" s="10">
        <v>0</v>
      </c>
      <c r="H165" s="10">
        <v>0</v>
      </c>
      <c r="I165" s="10">
        <v>66064</v>
      </c>
      <c r="J165" s="10">
        <v>27106</v>
      </c>
      <c r="K165" s="10">
        <v>90039</v>
      </c>
      <c r="L165" s="10">
        <v>41900</v>
      </c>
      <c r="M165" s="10">
        <v>18673</v>
      </c>
      <c r="N165" s="10">
        <v>97761</v>
      </c>
      <c r="O165" s="10">
        <v>28506</v>
      </c>
      <c r="P165" s="4">
        <v>74239</v>
      </c>
      <c r="Q165" s="4">
        <v>57396</v>
      </c>
      <c r="R165" s="4">
        <v>1157</v>
      </c>
      <c r="S165" s="24">
        <f>SUM(tblSalesData[[#This Row],[FY 2000]:[FY 2012]])</f>
        <v>502841</v>
      </c>
      <c r="T165" s="11">
        <v>12.99</v>
      </c>
      <c r="U165" s="12">
        <f>tblSalesData[[#This Row],[Total Units 
to Date]]*tblSalesData[[#This Row],[Sell Price]]</f>
        <v>6531904.5899999999</v>
      </c>
      <c r="V165" s="3"/>
      <c r="W165" s="4"/>
    </row>
    <row r="166" spans="1:23" x14ac:dyDescent="0.25">
      <c r="A166" s="4">
        <v>1065</v>
      </c>
      <c r="B166" s="9" t="s">
        <v>334</v>
      </c>
      <c r="C166" s="4" t="s">
        <v>14</v>
      </c>
      <c r="D166" s="4" t="s">
        <v>27</v>
      </c>
      <c r="E166" s="4" t="s">
        <v>17</v>
      </c>
      <c r="F166" s="10">
        <v>0</v>
      </c>
      <c r="G166" s="10">
        <v>0</v>
      </c>
      <c r="H166" s="10">
        <v>0</v>
      </c>
      <c r="I166" s="10">
        <v>29055</v>
      </c>
      <c r="J166" s="10">
        <v>26501</v>
      </c>
      <c r="K166" s="10">
        <v>9556</v>
      </c>
      <c r="L166" s="10">
        <v>4576</v>
      </c>
      <c r="M166" s="10">
        <v>83567</v>
      </c>
      <c r="N166" s="10">
        <v>69486</v>
      </c>
      <c r="O166" s="10">
        <v>58551</v>
      </c>
      <c r="P166" s="4">
        <v>67659</v>
      </c>
      <c r="Q166" s="4">
        <v>31856</v>
      </c>
      <c r="R166" s="4">
        <v>33963</v>
      </c>
      <c r="S166" s="24">
        <f>SUM(tblSalesData[[#This Row],[FY 2000]:[FY 2012]])</f>
        <v>414770</v>
      </c>
      <c r="T166" s="11">
        <v>12.99</v>
      </c>
      <c r="U166" s="12">
        <f>tblSalesData[[#This Row],[Total Units 
to Date]]*tblSalesData[[#This Row],[Sell Price]]</f>
        <v>5387862.2999999998</v>
      </c>
      <c r="V166" s="3"/>
      <c r="W166" s="4"/>
    </row>
    <row r="167" spans="1:23" x14ac:dyDescent="0.25">
      <c r="A167" s="4">
        <v>1065</v>
      </c>
      <c r="B167" s="9" t="s">
        <v>335</v>
      </c>
      <c r="C167" s="4" t="s">
        <v>14</v>
      </c>
      <c r="D167" s="4" t="s">
        <v>27</v>
      </c>
      <c r="E167" s="4" t="s">
        <v>16</v>
      </c>
      <c r="F167" s="10">
        <v>0</v>
      </c>
      <c r="G167" s="10">
        <v>0</v>
      </c>
      <c r="H167" s="10">
        <v>0</v>
      </c>
      <c r="I167" s="10">
        <v>0</v>
      </c>
      <c r="J167" s="10">
        <v>64098</v>
      </c>
      <c r="K167" s="10">
        <v>41088</v>
      </c>
      <c r="L167" s="10">
        <v>49603</v>
      </c>
      <c r="M167" s="10">
        <v>18172</v>
      </c>
      <c r="N167" s="10">
        <v>58610</v>
      </c>
      <c r="O167" s="10">
        <v>7406</v>
      </c>
      <c r="P167" s="4">
        <v>55263</v>
      </c>
      <c r="Q167" s="4">
        <v>63960</v>
      </c>
      <c r="R167" s="4">
        <v>14733</v>
      </c>
      <c r="S167" s="24">
        <f>SUM(tblSalesData[[#This Row],[FY 2000]:[FY 2012]])</f>
        <v>372933</v>
      </c>
      <c r="T167" s="11">
        <v>11.99</v>
      </c>
      <c r="U167" s="12">
        <f>tblSalesData[[#This Row],[Total Units 
to Date]]*tblSalesData[[#This Row],[Sell Price]]</f>
        <v>4471466.67</v>
      </c>
      <c r="V167" s="3"/>
      <c r="W167" s="4"/>
    </row>
    <row r="168" spans="1:23" x14ac:dyDescent="0.25">
      <c r="A168" s="4">
        <v>1065</v>
      </c>
      <c r="B168" s="9" t="s">
        <v>336</v>
      </c>
      <c r="C168" s="4" t="s">
        <v>14</v>
      </c>
      <c r="D168" s="4" t="s">
        <v>27</v>
      </c>
      <c r="E168" s="4" t="s">
        <v>16</v>
      </c>
      <c r="F168" s="10">
        <v>0</v>
      </c>
      <c r="G168" s="10">
        <v>0</v>
      </c>
      <c r="H168" s="10">
        <v>0</v>
      </c>
      <c r="I168" s="10">
        <v>0</v>
      </c>
      <c r="J168" s="10">
        <v>34920</v>
      </c>
      <c r="K168" s="10">
        <v>38427</v>
      </c>
      <c r="L168" s="10">
        <v>79307</v>
      </c>
      <c r="M168" s="10">
        <v>69158</v>
      </c>
      <c r="N168" s="10">
        <v>81472</v>
      </c>
      <c r="O168" s="10">
        <v>23241</v>
      </c>
      <c r="P168" s="4">
        <v>59793</v>
      </c>
      <c r="Q168" s="4">
        <v>35459</v>
      </c>
      <c r="R168" s="4">
        <v>26539</v>
      </c>
      <c r="S168" s="24">
        <f>SUM(tblSalesData[[#This Row],[FY 2000]:[FY 2012]])</f>
        <v>448316</v>
      </c>
      <c r="T168" s="11">
        <v>11.99</v>
      </c>
      <c r="U168" s="12">
        <f>tblSalesData[[#This Row],[Total Units 
to Date]]*tblSalesData[[#This Row],[Sell Price]]</f>
        <v>5375308.8399999999</v>
      </c>
      <c r="V168" s="3"/>
      <c r="W168" s="4"/>
    </row>
    <row r="169" spans="1:23" x14ac:dyDescent="0.25">
      <c r="A169" s="4">
        <v>1034</v>
      </c>
      <c r="B169" s="9" t="s">
        <v>190</v>
      </c>
      <c r="C169" s="4" t="s">
        <v>14</v>
      </c>
      <c r="D169" s="4" t="s">
        <v>27</v>
      </c>
      <c r="E169" s="4" t="s">
        <v>18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9834</v>
      </c>
      <c r="O169" s="10">
        <v>19341</v>
      </c>
      <c r="P169" s="4">
        <v>21603</v>
      </c>
      <c r="Q169" s="4">
        <v>20420</v>
      </c>
      <c r="R169" s="4">
        <v>15290</v>
      </c>
      <c r="S169" s="24">
        <f>SUM(tblSalesData[[#This Row],[FY 2000]:[FY 2012]])</f>
        <v>86488</v>
      </c>
      <c r="T169" s="11">
        <v>9.99</v>
      </c>
      <c r="U169" s="12">
        <f>tblSalesData[[#This Row],[Total Units 
to Date]]*tblSalesData[[#This Row],[Sell Price]]</f>
        <v>864015.12</v>
      </c>
      <c r="V169" s="3"/>
      <c r="W169" s="4"/>
    </row>
    <row r="170" spans="1:23" x14ac:dyDescent="0.25">
      <c r="A170" s="4">
        <v>1065</v>
      </c>
      <c r="B170" s="9" t="s">
        <v>340</v>
      </c>
      <c r="C170" s="4" t="s">
        <v>14</v>
      </c>
      <c r="D170" s="4" t="s">
        <v>27</v>
      </c>
      <c r="E170" s="4" t="s">
        <v>16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53675</v>
      </c>
      <c r="L170" s="10">
        <v>40011</v>
      </c>
      <c r="M170" s="10">
        <v>28415</v>
      </c>
      <c r="N170" s="10">
        <v>43336</v>
      </c>
      <c r="O170" s="10">
        <v>39700</v>
      </c>
      <c r="P170" s="4">
        <v>70646</v>
      </c>
      <c r="Q170" s="4">
        <v>2911</v>
      </c>
      <c r="R170" s="4">
        <v>15233</v>
      </c>
      <c r="S170" s="24">
        <f>SUM(tblSalesData[[#This Row],[FY 2000]:[FY 2012]])</f>
        <v>293927</v>
      </c>
      <c r="T170" s="11">
        <v>11.99</v>
      </c>
      <c r="U170" s="12">
        <f>tblSalesData[[#This Row],[Total Units 
to Date]]*tblSalesData[[#This Row],[Sell Price]]</f>
        <v>3524184.73</v>
      </c>
      <c r="V170" s="3"/>
      <c r="W170" s="4"/>
    </row>
    <row r="171" spans="1:23" x14ac:dyDescent="0.25">
      <c r="A171" s="4">
        <v>1065</v>
      </c>
      <c r="B171" s="9" t="s">
        <v>342</v>
      </c>
      <c r="C171" s="4" t="s">
        <v>14</v>
      </c>
      <c r="D171" s="4" t="s">
        <v>27</v>
      </c>
      <c r="E171" s="4" t="s">
        <v>16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12800</v>
      </c>
      <c r="M171" s="10">
        <v>88087</v>
      </c>
      <c r="N171" s="10">
        <v>63865</v>
      </c>
      <c r="O171" s="10">
        <v>12613</v>
      </c>
      <c r="P171" s="4">
        <v>76832</v>
      </c>
      <c r="Q171" s="4">
        <v>36260</v>
      </c>
      <c r="R171" s="4">
        <v>20813</v>
      </c>
      <c r="S171" s="24">
        <f>SUM(tblSalesData[[#This Row],[FY 2000]:[FY 2012]])</f>
        <v>311270</v>
      </c>
      <c r="T171" s="11">
        <v>11.99</v>
      </c>
      <c r="U171" s="12">
        <f>tblSalesData[[#This Row],[Total Units 
to Date]]*tblSalesData[[#This Row],[Sell Price]]</f>
        <v>3732127.3000000003</v>
      </c>
      <c r="V171" s="3"/>
      <c r="W171" s="4"/>
    </row>
    <row r="172" spans="1:23" x14ac:dyDescent="0.25">
      <c r="A172" s="4">
        <v>1065</v>
      </c>
      <c r="B172" s="9" t="s">
        <v>342</v>
      </c>
      <c r="C172" s="4" t="s">
        <v>14</v>
      </c>
      <c r="D172" s="4" t="s">
        <v>27</v>
      </c>
      <c r="E172" s="4" t="s">
        <v>17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15378</v>
      </c>
      <c r="M172" s="10">
        <v>93870</v>
      </c>
      <c r="N172" s="10">
        <v>31160</v>
      </c>
      <c r="O172" s="10">
        <v>10327</v>
      </c>
      <c r="P172" s="4">
        <v>19724</v>
      </c>
      <c r="Q172" s="4">
        <v>46541</v>
      </c>
      <c r="R172" s="4">
        <v>24085</v>
      </c>
      <c r="S172" s="24">
        <f>SUM(tblSalesData[[#This Row],[FY 2000]:[FY 2012]])</f>
        <v>241085</v>
      </c>
      <c r="T172" s="11">
        <v>12.99</v>
      </c>
      <c r="U172" s="12">
        <f>tblSalesData[[#This Row],[Total Units 
to Date]]*tblSalesData[[#This Row],[Sell Price]]</f>
        <v>3131694.15</v>
      </c>
      <c r="V172" s="3"/>
      <c r="W172" s="4"/>
    </row>
    <row r="173" spans="1:23" x14ac:dyDescent="0.25">
      <c r="A173" s="4">
        <v>1065</v>
      </c>
      <c r="B173" s="9" t="s">
        <v>343</v>
      </c>
      <c r="C173" s="4" t="s">
        <v>14</v>
      </c>
      <c r="D173" s="4" t="s">
        <v>27</v>
      </c>
      <c r="E173" s="4" t="s">
        <v>16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92296</v>
      </c>
      <c r="N173" s="10">
        <v>6497</v>
      </c>
      <c r="O173" s="10">
        <v>59917</v>
      </c>
      <c r="P173" s="4">
        <v>66373</v>
      </c>
      <c r="Q173" s="4">
        <v>67164</v>
      </c>
      <c r="R173" s="4">
        <v>14842</v>
      </c>
      <c r="S173" s="24">
        <f>SUM(tblSalesData[[#This Row],[FY 2000]:[FY 2012]])</f>
        <v>307089</v>
      </c>
      <c r="T173" s="11">
        <v>11.99</v>
      </c>
      <c r="U173" s="12">
        <f>tblSalesData[[#This Row],[Total Units 
to Date]]*tblSalesData[[#This Row],[Sell Price]]</f>
        <v>3681997.11</v>
      </c>
      <c r="V173" s="3"/>
      <c r="W173" s="4"/>
    </row>
    <row r="174" spans="1:23" x14ac:dyDescent="0.25">
      <c r="A174" s="4">
        <v>1065</v>
      </c>
      <c r="B174" s="9" t="s">
        <v>344</v>
      </c>
      <c r="C174" s="4" t="s">
        <v>14</v>
      </c>
      <c r="D174" s="4" t="s">
        <v>27</v>
      </c>
      <c r="E174" s="4" t="s">
        <v>17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18838</v>
      </c>
      <c r="N174" s="10">
        <v>26919</v>
      </c>
      <c r="O174" s="10">
        <v>10768</v>
      </c>
      <c r="P174" s="4">
        <v>55608</v>
      </c>
      <c r="Q174" s="4">
        <v>67345</v>
      </c>
      <c r="R174" s="4">
        <v>31452</v>
      </c>
      <c r="S174" s="24">
        <f>SUM(tblSalesData[[#This Row],[FY 2000]:[FY 2012]])</f>
        <v>210930</v>
      </c>
      <c r="T174" s="11">
        <v>12.99</v>
      </c>
      <c r="U174" s="12">
        <f>tblSalesData[[#This Row],[Total Units 
to Date]]*tblSalesData[[#This Row],[Sell Price]]</f>
        <v>2739980.7</v>
      </c>
      <c r="V174" s="3"/>
      <c r="W174" s="4"/>
    </row>
    <row r="175" spans="1:23" x14ac:dyDescent="0.25">
      <c r="A175" s="4">
        <v>1065</v>
      </c>
      <c r="B175" s="9" t="s">
        <v>346</v>
      </c>
      <c r="C175" s="4" t="s">
        <v>14</v>
      </c>
      <c r="D175" s="4" t="s">
        <v>27</v>
      </c>
      <c r="E175" s="4" t="s">
        <v>16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32263</v>
      </c>
      <c r="P175" s="4">
        <v>28130</v>
      </c>
      <c r="Q175" s="4">
        <v>26054</v>
      </c>
      <c r="R175" s="4">
        <v>7696</v>
      </c>
      <c r="S175" s="24">
        <f>SUM(tblSalesData[[#This Row],[FY 2000]:[FY 2012]])</f>
        <v>94143</v>
      </c>
      <c r="T175" s="11">
        <v>11.99</v>
      </c>
      <c r="U175" s="12">
        <f>tblSalesData[[#This Row],[Total Units 
to Date]]*tblSalesData[[#This Row],[Sell Price]]</f>
        <v>1128774.57</v>
      </c>
      <c r="V175" s="3"/>
      <c r="W175" s="4"/>
    </row>
    <row r="176" spans="1:23" x14ac:dyDescent="0.25">
      <c r="A176" s="4">
        <v>1039</v>
      </c>
      <c r="B176" s="9" t="s">
        <v>235</v>
      </c>
      <c r="C176" s="4" t="s">
        <v>14</v>
      </c>
      <c r="D176" s="4" t="s">
        <v>27</v>
      </c>
      <c r="E176" s="4" t="s">
        <v>18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441721</v>
      </c>
      <c r="M176" s="10">
        <v>412079</v>
      </c>
      <c r="N176" s="10">
        <v>285218</v>
      </c>
      <c r="O176" s="10">
        <v>381474</v>
      </c>
      <c r="P176" s="4">
        <v>311834</v>
      </c>
      <c r="Q176" s="4">
        <v>336538</v>
      </c>
      <c r="R176" s="4">
        <v>150421</v>
      </c>
      <c r="S176" s="24">
        <f>SUM(tblSalesData[[#This Row],[FY 2000]:[FY 2012]])</f>
        <v>2319285</v>
      </c>
      <c r="T176" s="11">
        <v>9.99</v>
      </c>
      <c r="U176" s="12">
        <f>tblSalesData[[#This Row],[Total Units 
to Date]]*tblSalesData[[#This Row],[Sell Price]]</f>
        <v>23169657.150000002</v>
      </c>
      <c r="V176" s="3"/>
      <c r="W176" s="4"/>
    </row>
    <row r="177" spans="1:23" x14ac:dyDescent="0.25">
      <c r="A177" s="4">
        <v>1065</v>
      </c>
      <c r="B177" s="9" t="s">
        <v>347</v>
      </c>
      <c r="C177" s="4" t="s">
        <v>14</v>
      </c>
      <c r="D177" s="4" t="s">
        <v>27</v>
      </c>
      <c r="E177" s="4" t="s">
        <v>17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7169</v>
      </c>
      <c r="P177" s="4">
        <v>15564</v>
      </c>
      <c r="Q177" s="4">
        <v>67018</v>
      </c>
      <c r="R177" s="4">
        <v>23819</v>
      </c>
      <c r="S177" s="24">
        <f>SUM(tblSalesData[[#This Row],[FY 2000]:[FY 2012]])</f>
        <v>113570</v>
      </c>
      <c r="T177" s="11">
        <v>12.99</v>
      </c>
      <c r="U177" s="12">
        <f>tblSalesData[[#This Row],[Total Units 
to Date]]*tblSalesData[[#This Row],[Sell Price]]</f>
        <v>1475274.3</v>
      </c>
      <c r="V177" s="3"/>
      <c r="W177" s="4"/>
    </row>
    <row r="178" spans="1:23" x14ac:dyDescent="0.25">
      <c r="A178" s="4">
        <v>1065</v>
      </c>
      <c r="B178" s="9" t="s">
        <v>348</v>
      </c>
      <c r="C178" s="4" t="s">
        <v>14</v>
      </c>
      <c r="D178" s="4" t="s">
        <v>27</v>
      </c>
      <c r="E178" s="4" t="s">
        <v>19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4">
        <v>60282</v>
      </c>
      <c r="Q178" s="4">
        <v>61151</v>
      </c>
      <c r="R178" s="4">
        <v>28111</v>
      </c>
      <c r="S178" s="24">
        <f>SUM(tblSalesData[[#This Row],[FY 2000]:[FY 2012]])</f>
        <v>149544</v>
      </c>
      <c r="T178" s="11">
        <v>15.99</v>
      </c>
      <c r="U178" s="12">
        <f>tblSalesData[[#This Row],[Total Units 
to Date]]*tblSalesData[[#This Row],[Sell Price]]</f>
        <v>2391208.56</v>
      </c>
      <c r="V178" s="3"/>
      <c r="W178" s="4"/>
    </row>
    <row r="179" spans="1:23" x14ac:dyDescent="0.25">
      <c r="A179" s="4">
        <v>1042</v>
      </c>
      <c r="B179" s="9" t="s">
        <v>245</v>
      </c>
      <c r="C179" s="4" t="s">
        <v>14</v>
      </c>
      <c r="D179" s="4" t="s">
        <v>27</v>
      </c>
      <c r="E179" s="4" t="s">
        <v>18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4">
        <v>22403</v>
      </c>
      <c r="Q179" s="4">
        <v>23694</v>
      </c>
      <c r="R179" s="4">
        <v>14381</v>
      </c>
      <c r="S179" s="24">
        <f>SUM(tblSalesData[[#This Row],[FY 2000]:[FY 2012]])</f>
        <v>60478</v>
      </c>
      <c r="T179" s="11">
        <v>9.99</v>
      </c>
      <c r="U179" s="12">
        <f>tblSalesData[[#This Row],[Total Units 
to Date]]*tblSalesData[[#This Row],[Sell Price]]</f>
        <v>604175.22</v>
      </c>
      <c r="V179" s="3"/>
      <c r="W179" s="4"/>
    </row>
    <row r="180" spans="1:23" x14ac:dyDescent="0.25">
      <c r="A180" s="4">
        <v>1048</v>
      </c>
      <c r="B180" s="9" t="s">
        <v>257</v>
      </c>
      <c r="C180" s="4" t="s">
        <v>14</v>
      </c>
      <c r="D180" s="4" t="s">
        <v>27</v>
      </c>
      <c r="E180" s="4" t="s">
        <v>18</v>
      </c>
      <c r="F180" s="10">
        <v>0</v>
      </c>
      <c r="G180" s="10">
        <v>0</v>
      </c>
      <c r="H180" s="10">
        <v>0</v>
      </c>
      <c r="I180" s="10">
        <v>0</v>
      </c>
      <c r="J180" s="10">
        <v>33856</v>
      </c>
      <c r="K180" s="10">
        <v>68834</v>
      </c>
      <c r="L180" s="10">
        <v>44607</v>
      </c>
      <c r="M180" s="10">
        <v>86450</v>
      </c>
      <c r="N180" s="10">
        <v>16306</v>
      </c>
      <c r="O180" s="10">
        <v>84233</v>
      </c>
      <c r="P180" s="4">
        <v>705</v>
      </c>
      <c r="Q180" s="4">
        <v>44179</v>
      </c>
      <c r="R180" s="4">
        <v>8186</v>
      </c>
      <c r="S180" s="24">
        <f>SUM(tblSalesData[[#This Row],[FY 2000]:[FY 2012]])</f>
        <v>387356</v>
      </c>
      <c r="T180" s="11">
        <v>9.99</v>
      </c>
      <c r="U180" s="12">
        <f>tblSalesData[[#This Row],[Total Units 
to Date]]*tblSalesData[[#This Row],[Sell Price]]</f>
        <v>3869686.44</v>
      </c>
      <c r="V180" s="3"/>
      <c r="W180" s="4"/>
    </row>
    <row r="181" spans="1:23" x14ac:dyDescent="0.25">
      <c r="A181" s="4">
        <v>1065</v>
      </c>
      <c r="B181" s="9" t="s">
        <v>352</v>
      </c>
      <c r="C181" s="4" t="s">
        <v>14</v>
      </c>
      <c r="D181" s="4" t="s">
        <v>27</v>
      </c>
      <c r="E181" s="4" t="s">
        <v>19</v>
      </c>
      <c r="F181" s="10">
        <v>0</v>
      </c>
      <c r="G181" s="10">
        <v>66315</v>
      </c>
      <c r="H181" s="10">
        <v>34662</v>
      </c>
      <c r="I181" s="10">
        <v>35173</v>
      </c>
      <c r="J181" s="10">
        <v>72882</v>
      </c>
      <c r="K181" s="10">
        <v>26244</v>
      </c>
      <c r="L181" s="10">
        <v>73315</v>
      </c>
      <c r="M181" s="10">
        <v>41665</v>
      </c>
      <c r="N181" s="10">
        <v>93230</v>
      </c>
      <c r="O181" s="10">
        <v>89699</v>
      </c>
      <c r="P181" s="4">
        <v>59904</v>
      </c>
      <c r="Q181" s="4">
        <v>56426</v>
      </c>
      <c r="R181" s="4">
        <v>15742</v>
      </c>
      <c r="S181" s="24">
        <f>SUM(tblSalesData[[#This Row],[FY 2000]:[FY 2012]])</f>
        <v>665257</v>
      </c>
      <c r="T181" s="11">
        <v>15.99</v>
      </c>
      <c r="U181" s="12">
        <f>tblSalesData[[#This Row],[Total Units 
to Date]]*tblSalesData[[#This Row],[Sell Price]]</f>
        <v>10637459.43</v>
      </c>
      <c r="V181" s="3"/>
      <c r="W181" s="4"/>
    </row>
    <row r="182" spans="1:23" x14ac:dyDescent="0.25">
      <c r="A182" s="4">
        <v>1065</v>
      </c>
      <c r="B182" s="9" t="s">
        <v>353</v>
      </c>
      <c r="C182" s="4" t="s">
        <v>14</v>
      </c>
      <c r="D182" s="4" t="s">
        <v>27</v>
      </c>
      <c r="E182" s="4" t="s">
        <v>16</v>
      </c>
      <c r="F182" s="10">
        <v>0</v>
      </c>
      <c r="G182" s="10">
        <v>45244</v>
      </c>
      <c r="H182" s="10">
        <v>92425</v>
      </c>
      <c r="I182" s="10">
        <v>35993</v>
      </c>
      <c r="J182" s="10">
        <v>16893</v>
      </c>
      <c r="K182" s="10">
        <v>14248</v>
      </c>
      <c r="L182" s="10">
        <v>28696</v>
      </c>
      <c r="M182" s="10">
        <v>87140</v>
      </c>
      <c r="N182" s="10">
        <v>905</v>
      </c>
      <c r="O182" s="10">
        <v>48136</v>
      </c>
      <c r="P182" s="4">
        <v>39789</v>
      </c>
      <c r="Q182" s="4">
        <v>5704</v>
      </c>
      <c r="R182" s="4">
        <v>16961</v>
      </c>
      <c r="S182" s="24">
        <f>SUM(tblSalesData[[#This Row],[FY 2000]:[FY 2012]])</f>
        <v>432134</v>
      </c>
      <c r="T182" s="11">
        <v>11.99</v>
      </c>
      <c r="U182" s="12">
        <f>tblSalesData[[#This Row],[Total Units 
to Date]]*tblSalesData[[#This Row],[Sell Price]]</f>
        <v>5181286.66</v>
      </c>
      <c r="V182" s="3"/>
      <c r="W182" s="4"/>
    </row>
    <row r="183" spans="1:23" x14ac:dyDescent="0.25">
      <c r="A183" s="4">
        <v>1066</v>
      </c>
      <c r="B183" s="9" t="s">
        <v>355</v>
      </c>
      <c r="C183" s="4" t="s">
        <v>14</v>
      </c>
      <c r="D183" s="4" t="s">
        <v>27</v>
      </c>
      <c r="E183" s="4" t="s">
        <v>19</v>
      </c>
      <c r="F183" s="10">
        <v>0</v>
      </c>
      <c r="G183" s="10">
        <v>0</v>
      </c>
      <c r="H183" s="10">
        <v>95120</v>
      </c>
      <c r="I183" s="10">
        <v>80954</v>
      </c>
      <c r="J183" s="10">
        <v>42690</v>
      </c>
      <c r="K183" s="10">
        <v>70039</v>
      </c>
      <c r="L183" s="10">
        <v>83666</v>
      </c>
      <c r="M183" s="10">
        <v>20414</v>
      </c>
      <c r="N183" s="10">
        <v>96365</v>
      </c>
      <c r="O183" s="10">
        <v>11104</v>
      </c>
      <c r="P183" s="4">
        <v>48039</v>
      </c>
      <c r="Q183" s="4">
        <v>16607</v>
      </c>
      <c r="R183" s="4">
        <v>29244</v>
      </c>
      <c r="S183" s="24">
        <f>SUM(tblSalesData[[#This Row],[FY 2000]:[FY 2012]])</f>
        <v>594242</v>
      </c>
      <c r="T183" s="11">
        <v>15.99</v>
      </c>
      <c r="U183" s="12">
        <f>tblSalesData[[#This Row],[Total Units 
to Date]]*tblSalesData[[#This Row],[Sell Price]]</f>
        <v>9501929.5800000001</v>
      </c>
      <c r="V183" s="3"/>
      <c r="W183" s="4"/>
    </row>
    <row r="184" spans="1:23" x14ac:dyDescent="0.25">
      <c r="A184" s="4">
        <v>1066</v>
      </c>
      <c r="B184" s="9" t="s">
        <v>356</v>
      </c>
      <c r="C184" s="4" t="s">
        <v>14</v>
      </c>
      <c r="D184" s="4" t="s">
        <v>27</v>
      </c>
      <c r="E184" s="4" t="s">
        <v>16</v>
      </c>
      <c r="F184" s="10">
        <v>0</v>
      </c>
      <c r="G184" s="10">
        <v>0</v>
      </c>
      <c r="H184" s="10">
        <v>87157</v>
      </c>
      <c r="I184" s="10">
        <v>84453</v>
      </c>
      <c r="J184" s="10">
        <v>95737</v>
      </c>
      <c r="K184" s="10">
        <v>97725</v>
      </c>
      <c r="L184" s="10">
        <v>6458</v>
      </c>
      <c r="M184" s="10">
        <v>71751</v>
      </c>
      <c r="N184" s="10">
        <v>85248</v>
      </c>
      <c r="O184" s="10">
        <v>91299</v>
      </c>
      <c r="P184" s="4">
        <v>53017</v>
      </c>
      <c r="Q184" s="4">
        <v>29616</v>
      </c>
      <c r="R184" s="4">
        <v>7895</v>
      </c>
      <c r="S184" s="24">
        <f>SUM(tblSalesData[[#This Row],[FY 2000]:[FY 2012]])</f>
        <v>710356</v>
      </c>
      <c r="T184" s="11">
        <v>11.99</v>
      </c>
      <c r="U184" s="12">
        <f>tblSalesData[[#This Row],[Total Units 
to Date]]*tblSalesData[[#This Row],[Sell Price]]</f>
        <v>8517168.4399999995</v>
      </c>
      <c r="V184" s="3"/>
      <c r="W184" s="4"/>
    </row>
    <row r="185" spans="1:23" x14ac:dyDescent="0.25">
      <c r="A185" s="4">
        <v>1049</v>
      </c>
      <c r="B185" s="9" t="s">
        <v>272</v>
      </c>
      <c r="C185" s="4" t="s">
        <v>14</v>
      </c>
      <c r="D185" s="4" t="s">
        <v>27</v>
      </c>
      <c r="E185" s="4" t="s">
        <v>18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99770</v>
      </c>
      <c r="P185" s="4">
        <v>11021</v>
      </c>
      <c r="Q185" s="4">
        <v>8801</v>
      </c>
      <c r="R185" s="4">
        <v>16793</v>
      </c>
      <c r="S185" s="24">
        <f>SUM(tblSalesData[[#This Row],[FY 2000]:[FY 2012]])</f>
        <v>136385</v>
      </c>
      <c r="T185" s="11">
        <v>9.99</v>
      </c>
      <c r="U185" s="12">
        <f>tblSalesData[[#This Row],[Total Units 
to Date]]*tblSalesData[[#This Row],[Sell Price]]</f>
        <v>1362486.1500000001</v>
      </c>
      <c r="V185" s="3"/>
      <c r="W185" s="4"/>
    </row>
    <row r="186" spans="1:23" x14ac:dyDescent="0.25">
      <c r="A186" s="4">
        <v>1066</v>
      </c>
      <c r="B186" s="9" t="s">
        <v>356</v>
      </c>
      <c r="C186" s="4" t="s">
        <v>14</v>
      </c>
      <c r="D186" s="4" t="s">
        <v>27</v>
      </c>
      <c r="E186" s="4" t="s">
        <v>17</v>
      </c>
      <c r="F186" s="10">
        <v>0</v>
      </c>
      <c r="G186" s="10">
        <v>0</v>
      </c>
      <c r="H186" s="10">
        <v>88088</v>
      </c>
      <c r="I186" s="10">
        <v>93210</v>
      </c>
      <c r="J186" s="10">
        <v>69829</v>
      </c>
      <c r="K186" s="10">
        <v>38142</v>
      </c>
      <c r="L186" s="10">
        <v>18627</v>
      </c>
      <c r="M186" s="10">
        <v>3283</v>
      </c>
      <c r="N186" s="10">
        <v>41879</v>
      </c>
      <c r="O186" s="10">
        <v>49964</v>
      </c>
      <c r="P186" s="4">
        <v>25959</v>
      </c>
      <c r="Q186" s="4">
        <v>18382</v>
      </c>
      <c r="R186" s="4">
        <v>19085</v>
      </c>
      <c r="S186" s="24">
        <f>SUM(tblSalesData[[#This Row],[FY 2000]:[FY 2012]])</f>
        <v>466448</v>
      </c>
      <c r="T186" s="11">
        <v>12.99</v>
      </c>
      <c r="U186" s="12">
        <f>tblSalesData[[#This Row],[Total Units 
to Date]]*tblSalesData[[#This Row],[Sell Price]]</f>
        <v>6059159.5200000005</v>
      </c>
      <c r="V186" s="3"/>
      <c r="W186" s="4"/>
    </row>
    <row r="187" spans="1:23" x14ac:dyDescent="0.25">
      <c r="A187" s="4">
        <v>1066</v>
      </c>
      <c r="B187" s="9" t="s">
        <v>361</v>
      </c>
      <c r="C187" s="4" t="s">
        <v>14</v>
      </c>
      <c r="D187" s="4" t="s">
        <v>27</v>
      </c>
      <c r="E187" s="4" t="s">
        <v>16</v>
      </c>
      <c r="F187" s="10">
        <v>0</v>
      </c>
      <c r="G187" s="10">
        <v>0</v>
      </c>
      <c r="H187" s="10">
        <v>74718</v>
      </c>
      <c r="I187" s="10">
        <v>80582</v>
      </c>
      <c r="J187" s="10">
        <v>96434</v>
      </c>
      <c r="K187" s="10">
        <v>2747</v>
      </c>
      <c r="L187" s="10">
        <v>27683</v>
      </c>
      <c r="M187" s="10">
        <v>21179</v>
      </c>
      <c r="N187" s="10">
        <v>36665</v>
      </c>
      <c r="O187" s="10">
        <v>6987</v>
      </c>
      <c r="P187" s="4">
        <v>72234</v>
      </c>
      <c r="Q187" s="4">
        <v>54170</v>
      </c>
      <c r="R187" s="4">
        <v>17521</v>
      </c>
      <c r="S187" s="24">
        <f>SUM(tblSalesData[[#This Row],[FY 2000]:[FY 2012]])</f>
        <v>490920</v>
      </c>
      <c r="T187" s="11">
        <v>11.99</v>
      </c>
      <c r="U187" s="12">
        <f>tblSalesData[[#This Row],[Total Units 
to Date]]*tblSalesData[[#This Row],[Sell Price]]</f>
        <v>5886130.7999999998</v>
      </c>
      <c r="V187" s="3"/>
      <c r="W187" s="4"/>
    </row>
    <row r="188" spans="1:23" x14ac:dyDescent="0.25">
      <c r="A188" s="4">
        <v>1067</v>
      </c>
      <c r="B188" s="9" t="s">
        <v>372</v>
      </c>
      <c r="C188" s="4" t="s">
        <v>14</v>
      </c>
      <c r="D188" s="4" t="s">
        <v>27</v>
      </c>
      <c r="E188" s="4" t="s">
        <v>16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4">
        <v>0</v>
      </c>
      <c r="Q188" s="4">
        <v>0</v>
      </c>
      <c r="R188" s="4">
        <v>514120</v>
      </c>
      <c r="S188" s="24">
        <f>SUM(tblSalesData[[#This Row],[FY 2000]:[FY 2012]])</f>
        <v>514120</v>
      </c>
      <c r="T188" s="11">
        <v>11.99</v>
      </c>
      <c r="U188" s="12">
        <f>tblSalesData[[#This Row],[Total Units 
to Date]]*tblSalesData[[#This Row],[Sell Price]]</f>
        <v>6164298.7999999998</v>
      </c>
      <c r="V188" s="3"/>
      <c r="W188" s="4"/>
    </row>
    <row r="189" spans="1:23" x14ac:dyDescent="0.25">
      <c r="A189" s="4">
        <v>1057</v>
      </c>
      <c r="B189" s="9" t="s">
        <v>307</v>
      </c>
      <c r="C189" s="4" t="s">
        <v>14</v>
      </c>
      <c r="D189" s="4" t="s">
        <v>27</v>
      </c>
      <c r="E189" s="4" t="s">
        <v>18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97842</v>
      </c>
      <c r="N189" s="10">
        <v>39772</v>
      </c>
      <c r="O189" s="10">
        <v>38706</v>
      </c>
      <c r="P189" s="4">
        <v>28836</v>
      </c>
      <c r="Q189" s="4">
        <v>46348</v>
      </c>
      <c r="R189" s="4">
        <v>293</v>
      </c>
      <c r="S189" s="24">
        <f>SUM(tblSalesData[[#This Row],[FY 2000]:[FY 2012]])</f>
        <v>251797</v>
      </c>
      <c r="T189" s="11">
        <v>9.99</v>
      </c>
      <c r="U189" s="12">
        <f>tblSalesData[[#This Row],[Total Units 
to Date]]*tblSalesData[[#This Row],[Sell Price]]</f>
        <v>2515452.0300000003</v>
      </c>
      <c r="V189" s="3"/>
      <c r="W189" s="4"/>
    </row>
    <row r="190" spans="1:23" x14ac:dyDescent="0.25">
      <c r="A190" s="4">
        <v>1063</v>
      </c>
      <c r="B190" s="9" t="s">
        <v>325</v>
      </c>
      <c r="C190" s="4" t="s">
        <v>14</v>
      </c>
      <c r="D190" s="4" t="s">
        <v>27</v>
      </c>
      <c r="E190" s="4" t="s">
        <v>18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62446</v>
      </c>
      <c r="O190" s="10">
        <v>65367</v>
      </c>
      <c r="P190" s="4">
        <v>4327</v>
      </c>
      <c r="Q190" s="4">
        <v>11925</v>
      </c>
      <c r="R190" s="4">
        <v>16814</v>
      </c>
      <c r="S190" s="24">
        <f>SUM(tblSalesData[[#This Row],[FY 2000]:[FY 2012]])</f>
        <v>160879</v>
      </c>
      <c r="T190" s="11">
        <v>9.99</v>
      </c>
      <c r="U190" s="12">
        <f>tblSalesData[[#This Row],[Total Units 
to Date]]*tblSalesData[[#This Row],[Sell Price]]</f>
        <v>1607181.21</v>
      </c>
      <c r="V190" s="3"/>
      <c r="W190" s="4"/>
    </row>
    <row r="191" spans="1:23" x14ac:dyDescent="0.25">
      <c r="A191" s="4">
        <v>1065</v>
      </c>
      <c r="B191" s="9" t="s">
        <v>338</v>
      </c>
      <c r="C191" s="4" t="s">
        <v>14</v>
      </c>
      <c r="D191" s="4" t="s">
        <v>27</v>
      </c>
      <c r="E191" s="4" t="s">
        <v>18</v>
      </c>
      <c r="F191" s="10">
        <v>0</v>
      </c>
      <c r="G191" s="10">
        <v>0</v>
      </c>
      <c r="H191" s="10">
        <v>0</v>
      </c>
      <c r="I191" s="10">
        <v>0</v>
      </c>
      <c r="J191" s="10">
        <v>40667</v>
      </c>
      <c r="K191" s="10">
        <v>91175</v>
      </c>
      <c r="L191" s="10">
        <v>84026</v>
      </c>
      <c r="M191" s="10">
        <v>93595</v>
      </c>
      <c r="N191" s="10">
        <v>65966</v>
      </c>
      <c r="O191" s="10">
        <v>30573</v>
      </c>
      <c r="P191" s="4">
        <v>60831</v>
      </c>
      <c r="Q191" s="4">
        <v>20130</v>
      </c>
      <c r="R191" s="4">
        <v>2284</v>
      </c>
      <c r="S191" s="24">
        <f>SUM(tblSalesData[[#This Row],[FY 2000]:[FY 2012]])</f>
        <v>489247</v>
      </c>
      <c r="T191" s="11">
        <v>9.99</v>
      </c>
      <c r="U191" s="12">
        <f>tblSalesData[[#This Row],[Total Units 
to Date]]*tblSalesData[[#This Row],[Sell Price]]</f>
        <v>4887577.53</v>
      </c>
      <c r="V191" s="3"/>
      <c r="W191" s="4"/>
    </row>
    <row r="192" spans="1:23" x14ac:dyDescent="0.25">
      <c r="A192" s="4">
        <v>1065</v>
      </c>
      <c r="B192" s="9" t="s">
        <v>346</v>
      </c>
      <c r="C192" s="4" t="s">
        <v>14</v>
      </c>
      <c r="D192" s="4" t="s">
        <v>27</v>
      </c>
      <c r="E192" s="4" t="s">
        <v>18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37773</v>
      </c>
      <c r="O192" s="10">
        <v>51364</v>
      </c>
      <c r="P192" s="4">
        <v>4739</v>
      </c>
      <c r="Q192" s="4">
        <v>39620</v>
      </c>
      <c r="R192" s="4">
        <v>9716</v>
      </c>
      <c r="S192" s="24">
        <f>SUM(tblSalesData[[#This Row],[FY 2000]:[FY 2012]])</f>
        <v>143212</v>
      </c>
      <c r="T192" s="11">
        <v>9.99</v>
      </c>
      <c r="U192" s="12">
        <f>tblSalesData[[#This Row],[Total Units 
to Date]]*tblSalesData[[#This Row],[Sell Price]]</f>
        <v>1430687.8800000001</v>
      </c>
      <c r="V192" s="3"/>
      <c r="W192" s="4"/>
    </row>
    <row r="193" spans="1:23" x14ac:dyDescent="0.25">
      <c r="A193" s="4">
        <v>1065</v>
      </c>
      <c r="B193" s="9" t="s">
        <v>350</v>
      </c>
      <c r="C193" s="4" t="s">
        <v>14</v>
      </c>
      <c r="D193" s="4" t="s">
        <v>27</v>
      </c>
      <c r="E193" s="4" t="s">
        <v>18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4">
        <v>8354</v>
      </c>
      <c r="Q193" s="4">
        <v>58790</v>
      </c>
      <c r="R193" s="4">
        <v>19199</v>
      </c>
      <c r="S193" s="24">
        <f>SUM(tblSalesData[[#This Row],[FY 2000]:[FY 2012]])</f>
        <v>86343</v>
      </c>
      <c r="T193" s="11">
        <v>9.99</v>
      </c>
      <c r="U193" s="12">
        <f>tblSalesData[[#This Row],[Total Units 
to Date]]*tblSalesData[[#This Row],[Sell Price]]</f>
        <v>862566.57000000007</v>
      </c>
      <c r="V193" s="3"/>
      <c r="W193" s="4"/>
    </row>
    <row r="194" spans="1:23" x14ac:dyDescent="0.25">
      <c r="A194" s="4">
        <v>1065</v>
      </c>
      <c r="B194" s="9" t="s">
        <v>351</v>
      </c>
      <c r="C194" s="4" t="s">
        <v>14</v>
      </c>
      <c r="D194" s="4" t="s">
        <v>27</v>
      </c>
      <c r="E194" s="4" t="s">
        <v>18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4">
        <v>58644</v>
      </c>
      <c r="Q194" s="4">
        <v>52988</v>
      </c>
      <c r="R194" s="4">
        <v>9939</v>
      </c>
      <c r="S194" s="24">
        <f>SUM(tblSalesData[[#This Row],[FY 2000]:[FY 2012]])</f>
        <v>121571</v>
      </c>
      <c r="T194" s="11">
        <v>9.99</v>
      </c>
      <c r="U194" s="12">
        <f>tblSalesData[[#This Row],[Total Units 
to Date]]*tblSalesData[[#This Row],[Sell Price]]</f>
        <v>1214494.29</v>
      </c>
      <c r="V194" s="3"/>
      <c r="W194" s="4"/>
    </row>
    <row r="195" spans="1:23" x14ac:dyDescent="0.25">
      <c r="A195" s="4">
        <v>1066</v>
      </c>
      <c r="B195" s="9" t="s">
        <v>356</v>
      </c>
      <c r="C195" s="4" t="s">
        <v>14</v>
      </c>
      <c r="D195" s="4" t="s">
        <v>27</v>
      </c>
      <c r="E195" s="4" t="s">
        <v>18</v>
      </c>
      <c r="F195" s="10">
        <v>0</v>
      </c>
      <c r="G195" s="10">
        <v>0</v>
      </c>
      <c r="H195" s="10">
        <v>56098</v>
      </c>
      <c r="I195" s="10">
        <v>95205</v>
      </c>
      <c r="J195" s="10">
        <v>39099</v>
      </c>
      <c r="K195" s="10">
        <v>89435</v>
      </c>
      <c r="L195" s="10">
        <v>19023</v>
      </c>
      <c r="M195" s="10">
        <v>15757</v>
      </c>
      <c r="N195" s="10">
        <v>19396</v>
      </c>
      <c r="O195" s="10">
        <v>79475</v>
      </c>
      <c r="P195" s="4">
        <v>6957</v>
      </c>
      <c r="Q195" s="4">
        <v>42783</v>
      </c>
      <c r="R195" s="4">
        <v>28296</v>
      </c>
      <c r="S195" s="24">
        <f>SUM(tblSalesData[[#This Row],[FY 2000]:[FY 2012]])</f>
        <v>491524</v>
      </c>
      <c r="T195" s="11">
        <v>9.99</v>
      </c>
      <c r="U195" s="12">
        <f>tblSalesData[[#This Row],[Total Units 
to Date]]*tblSalesData[[#This Row],[Sell Price]]</f>
        <v>4910324.76</v>
      </c>
      <c r="V195" s="3"/>
      <c r="W195" s="4"/>
    </row>
    <row r="196" spans="1:23" x14ac:dyDescent="0.25">
      <c r="A196" s="4">
        <v>1067</v>
      </c>
      <c r="B196" s="9" t="s">
        <v>373</v>
      </c>
      <c r="C196" s="4" t="s">
        <v>14</v>
      </c>
      <c r="D196" s="4" t="s">
        <v>27</v>
      </c>
      <c r="E196" s="4" t="s">
        <v>18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4">
        <v>0</v>
      </c>
      <c r="Q196" s="4">
        <v>0</v>
      </c>
      <c r="R196" s="4">
        <v>686755</v>
      </c>
      <c r="S196" s="24">
        <f>SUM(tblSalesData[[#This Row],[FY 2000]:[FY 2012]])</f>
        <v>686755</v>
      </c>
      <c r="T196" s="11">
        <v>9.99</v>
      </c>
      <c r="U196" s="12">
        <f>tblSalesData[[#This Row],[Total Units 
to Date]]*tblSalesData[[#This Row],[Sell Price]]</f>
        <v>6860682.4500000002</v>
      </c>
      <c r="V196" s="3"/>
      <c r="W196" s="4"/>
    </row>
    <row r="197" spans="1:23" x14ac:dyDescent="0.25">
      <c r="A197" s="4">
        <v>1008</v>
      </c>
      <c r="B197" s="9" t="s">
        <v>69</v>
      </c>
      <c r="C197" s="4" t="s">
        <v>15</v>
      </c>
      <c r="D197" s="4" t="s">
        <v>27</v>
      </c>
      <c r="E197" s="4" t="s">
        <v>18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4">
        <v>17407</v>
      </c>
      <c r="Q197" s="4">
        <v>14587</v>
      </c>
      <c r="R197" s="4">
        <v>7680</v>
      </c>
      <c r="S197" s="24">
        <f>SUM(tblSalesData[[#This Row],[FY 2000]:[FY 2012]])</f>
        <v>39674</v>
      </c>
      <c r="T197" s="11">
        <v>9.99</v>
      </c>
      <c r="U197" s="12">
        <f>tblSalesData[[#This Row],[Total Units 
to Date]]*tblSalesData[[#This Row],[Sell Price]]</f>
        <v>396343.26</v>
      </c>
      <c r="V197" s="3"/>
      <c r="W197" s="4"/>
    </row>
    <row r="198" spans="1:23" x14ac:dyDescent="0.25">
      <c r="A198" s="4">
        <v>1008</v>
      </c>
      <c r="B198" s="9" t="s">
        <v>75</v>
      </c>
      <c r="C198" s="4" t="s">
        <v>15</v>
      </c>
      <c r="D198" s="4" t="s">
        <v>27</v>
      </c>
      <c r="E198" s="4" t="s">
        <v>18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4">
        <v>0</v>
      </c>
      <c r="Q198" s="4">
        <v>0</v>
      </c>
      <c r="R198" s="4">
        <v>15131</v>
      </c>
      <c r="S198" s="24">
        <f>SUM(tblSalesData[[#This Row],[FY 2000]:[FY 2012]])</f>
        <v>15131</v>
      </c>
      <c r="T198" s="11">
        <v>9.99</v>
      </c>
      <c r="U198" s="12">
        <f>tblSalesData[[#This Row],[Total Units 
to Date]]*tblSalesData[[#This Row],[Sell Price]]</f>
        <v>151158.69</v>
      </c>
      <c r="V198" s="3"/>
      <c r="W198" s="4"/>
    </row>
    <row r="199" spans="1:23" x14ac:dyDescent="0.25">
      <c r="A199" s="4">
        <v>1011</v>
      </c>
      <c r="B199" s="9" t="s">
        <v>84</v>
      </c>
      <c r="C199" s="4" t="s">
        <v>15</v>
      </c>
      <c r="D199" s="4" t="s">
        <v>27</v>
      </c>
      <c r="E199" s="4" t="s">
        <v>19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1604</v>
      </c>
      <c r="M199" s="10">
        <v>1638</v>
      </c>
      <c r="N199" s="10">
        <v>2364</v>
      </c>
      <c r="O199" s="10">
        <v>1993</v>
      </c>
      <c r="P199" s="4">
        <v>1871</v>
      </c>
      <c r="Q199" s="4">
        <v>1422</v>
      </c>
      <c r="R199" s="4">
        <v>893</v>
      </c>
      <c r="S199" s="24">
        <f>SUM(tblSalesData[[#This Row],[FY 2000]:[FY 2012]])</f>
        <v>11785</v>
      </c>
      <c r="T199" s="11">
        <v>15.99</v>
      </c>
      <c r="U199" s="12">
        <f>tblSalesData[[#This Row],[Total Units 
to Date]]*tblSalesData[[#This Row],[Sell Price]]</f>
        <v>188442.15</v>
      </c>
      <c r="V199" s="3"/>
      <c r="W199" s="4"/>
    </row>
    <row r="200" spans="1:23" x14ac:dyDescent="0.25">
      <c r="A200" s="4">
        <v>1011</v>
      </c>
      <c r="B200" s="9" t="s">
        <v>85</v>
      </c>
      <c r="C200" s="4" t="s">
        <v>15</v>
      </c>
      <c r="D200" s="4" t="s">
        <v>27</v>
      </c>
      <c r="E200" s="4" t="s">
        <v>16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1861</v>
      </c>
      <c r="N200" s="10">
        <v>1682</v>
      </c>
      <c r="O200" s="10">
        <v>2023</v>
      </c>
      <c r="P200" s="4">
        <v>1597</v>
      </c>
      <c r="Q200" s="4">
        <v>1576</v>
      </c>
      <c r="R200" s="4">
        <v>1452</v>
      </c>
      <c r="S200" s="24">
        <f>SUM(tblSalesData[[#This Row],[FY 2000]:[FY 2012]])</f>
        <v>10191</v>
      </c>
      <c r="T200" s="11">
        <v>11.99</v>
      </c>
      <c r="U200" s="12">
        <f>tblSalesData[[#This Row],[Total Units 
to Date]]*tblSalesData[[#This Row],[Sell Price]]</f>
        <v>122190.09</v>
      </c>
      <c r="V200" s="3"/>
      <c r="W200" s="4"/>
    </row>
    <row r="201" spans="1:23" x14ac:dyDescent="0.25">
      <c r="A201" s="4">
        <v>1012</v>
      </c>
      <c r="B201" s="9" t="s">
        <v>87</v>
      </c>
      <c r="C201" s="4" t="s">
        <v>15</v>
      </c>
      <c r="D201" s="4" t="s">
        <v>27</v>
      </c>
      <c r="E201" s="4" t="s">
        <v>18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204090</v>
      </c>
      <c r="P201" s="4">
        <v>141378</v>
      </c>
      <c r="Q201" s="4">
        <v>477226</v>
      </c>
      <c r="R201" s="4">
        <v>376281</v>
      </c>
      <c r="S201" s="24">
        <f>SUM(tblSalesData[[#This Row],[FY 2000]:[FY 2012]])</f>
        <v>1198975</v>
      </c>
      <c r="T201" s="11">
        <v>9.99</v>
      </c>
      <c r="U201" s="12">
        <f>tblSalesData[[#This Row],[Total Units 
to Date]]*tblSalesData[[#This Row],[Sell Price]]</f>
        <v>11977760.25</v>
      </c>
      <c r="V201" s="3"/>
      <c r="W201" s="4"/>
    </row>
    <row r="202" spans="1:23" x14ac:dyDescent="0.25">
      <c r="A202" s="4">
        <v>1012</v>
      </c>
      <c r="B202" s="9" t="s">
        <v>91</v>
      </c>
      <c r="C202" s="4" t="s">
        <v>15</v>
      </c>
      <c r="D202" s="4" t="s">
        <v>27</v>
      </c>
      <c r="E202" s="4" t="s">
        <v>18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228176</v>
      </c>
      <c r="P202" s="4">
        <v>228826</v>
      </c>
      <c r="Q202" s="4">
        <v>288703</v>
      </c>
      <c r="R202" s="4">
        <v>297843</v>
      </c>
      <c r="S202" s="24">
        <f>SUM(tblSalesData[[#This Row],[FY 2000]:[FY 2012]])</f>
        <v>1043548</v>
      </c>
      <c r="T202" s="11">
        <v>9.99</v>
      </c>
      <c r="U202" s="12">
        <f>tblSalesData[[#This Row],[Total Units 
to Date]]*tblSalesData[[#This Row],[Sell Price]]</f>
        <v>10425044.52</v>
      </c>
      <c r="V202" s="3"/>
      <c r="W202" s="4"/>
    </row>
    <row r="203" spans="1:23" x14ac:dyDescent="0.25">
      <c r="A203" s="4">
        <v>1013</v>
      </c>
      <c r="B203" s="9" t="s">
        <v>107</v>
      </c>
      <c r="C203" s="4" t="s">
        <v>15</v>
      </c>
      <c r="D203" s="4" t="s">
        <v>27</v>
      </c>
      <c r="E203" s="4" t="s">
        <v>19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2957</v>
      </c>
      <c r="O203" s="10">
        <v>3751</v>
      </c>
      <c r="P203" s="4">
        <v>4321</v>
      </c>
      <c r="Q203" s="4">
        <v>4381</v>
      </c>
      <c r="R203" s="4">
        <v>2528</v>
      </c>
      <c r="S203" s="24">
        <f>SUM(tblSalesData[[#This Row],[FY 2000]:[FY 2012]])</f>
        <v>17938</v>
      </c>
      <c r="T203" s="11">
        <v>15.99</v>
      </c>
      <c r="U203" s="12">
        <f>tblSalesData[[#This Row],[Total Units 
to Date]]*tblSalesData[[#This Row],[Sell Price]]</f>
        <v>286828.62</v>
      </c>
      <c r="V203" s="3"/>
      <c r="W203" s="4"/>
    </row>
    <row r="204" spans="1:23" x14ac:dyDescent="0.25">
      <c r="A204" s="4">
        <v>1013</v>
      </c>
      <c r="B204" s="9" t="s">
        <v>112</v>
      </c>
      <c r="C204" s="4" t="s">
        <v>15</v>
      </c>
      <c r="D204" s="4" t="s">
        <v>27</v>
      </c>
      <c r="E204" s="4" t="s">
        <v>17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3169</v>
      </c>
      <c r="P204" s="4">
        <v>3852</v>
      </c>
      <c r="Q204" s="4">
        <v>4259</v>
      </c>
      <c r="R204" s="4">
        <v>2398</v>
      </c>
      <c r="S204" s="24">
        <f>SUM(tblSalesData[[#This Row],[FY 2000]:[FY 2012]])</f>
        <v>13678</v>
      </c>
      <c r="T204" s="11">
        <v>12.99</v>
      </c>
      <c r="U204" s="12">
        <f>tblSalesData[[#This Row],[Total Units 
to Date]]*tblSalesData[[#This Row],[Sell Price]]</f>
        <v>177677.22</v>
      </c>
      <c r="V204" s="3"/>
      <c r="W204" s="4"/>
    </row>
    <row r="205" spans="1:23" x14ac:dyDescent="0.25">
      <c r="A205" s="4">
        <v>1015</v>
      </c>
      <c r="B205" s="9" t="s">
        <v>118</v>
      </c>
      <c r="C205" s="4" t="s">
        <v>15</v>
      </c>
      <c r="D205" s="4" t="s">
        <v>27</v>
      </c>
      <c r="E205" s="4" t="s">
        <v>16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4">
        <v>68243</v>
      </c>
      <c r="Q205" s="4">
        <v>166494</v>
      </c>
      <c r="R205" s="4">
        <v>165975</v>
      </c>
      <c r="S205" s="24">
        <f>SUM(tblSalesData[[#This Row],[FY 2000]:[FY 2012]])</f>
        <v>400712</v>
      </c>
      <c r="T205" s="11">
        <v>11.99</v>
      </c>
      <c r="U205" s="12">
        <f>tblSalesData[[#This Row],[Total Units 
to Date]]*tblSalesData[[#This Row],[Sell Price]]</f>
        <v>4804536.88</v>
      </c>
      <c r="V205" s="3"/>
      <c r="W205" s="4"/>
    </row>
    <row r="206" spans="1:23" x14ac:dyDescent="0.25">
      <c r="A206" s="4">
        <v>1015</v>
      </c>
      <c r="B206" s="9" t="s">
        <v>123</v>
      </c>
      <c r="C206" s="4" t="s">
        <v>15</v>
      </c>
      <c r="D206" s="4" t="s">
        <v>27</v>
      </c>
      <c r="E206" s="4" t="s">
        <v>18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4">
        <v>0</v>
      </c>
      <c r="Q206" s="4">
        <v>0</v>
      </c>
      <c r="R206" s="4">
        <v>186314</v>
      </c>
      <c r="S206" s="24">
        <f>SUM(tblSalesData[[#This Row],[FY 2000]:[FY 2012]])</f>
        <v>186314</v>
      </c>
      <c r="T206" s="11">
        <v>9.99</v>
      </c>
      <c r="U206" s="12">
        <f>tblSalesData[[#This Row],[Total Units 
to Date]]*tblSalesData[[#This Row],[Sell Price]]</f>
        <v>1861276.86</v>
      </c>
      <c r="V206" s="3"/>
      <c r="W206" s="4"/>
    </row>
    <row r="207" spans="1:23" x14ac:dyDescent="0.25">
      <c r="A207" s="4">
        <v>1033</v>
      </c>
      <c r="B207" s="9" t="s">
        <v>165</v>
      </c>
      <c r="C207" s="4" t="s">
        <v>15</v>
      </c>
      <c r="D207" s="4" t="s">
        <v>27</v>
      </c>
      <c r="E207" s="4" t="s">
        <v>16</v>
      </c>
      <c r="F207" s="10">
        <v>0</v>
      </c>
      <c r="G207" s="10">
        <v>2986</v>
      </c>
      <c r="H207" s="10">
        <v>3386</v>
      </c>
      <c r="I207" s="10">
        <v>4168</v>
      </c>
      <c r="J207" s="10">
        <v>5431</v>
      </c>
      <c r="K207" s="10">
        <v>8773</v>
      </c>
      <c r="L207" s="10">
        <v>11678</v>
      </c>
      <c r="M207" s="10">
        <v>15449</v>
      </c>
      <c r="N207" s="10">
        <v>17664</v>
      </c>
      <c r="O207" s="10">
        <v>28933</v>
      </c>
      <c r="P207" s="4">
        <v>27743</v>
      </c>
      <c r="Q207" s="4">
        <v>35111</v>
      </c>
      <c r="R207" s="4">
        <v>20629</v>
      </c>
      <c r="S207" s="24">
        <f>SUM(tblSalesData[[#This Row],[FY 2000]:[FY 2012]])</f>
        <v>181951</v>
      </c>
      <c r="T207" s="11">
        <v>11.99</v>
      </c>
      <c r="U207" s="12">
        <f>tblSalesData[[#This Row],[Total Units 
to Date]]*tblSalesData[[#This Row],[Sell Price]]</f>
        <v>2181592.4900000002</v>
      </c>
      <c r="V207" s="3"/>
      <c r="W207" s="4"/>
    </row>
    <row r="208" spans="1:23" x14ac:dyDescent="0.25">
      <c r="A208" s="4">
        <v>1033</v>
      </c>
      <c r="B208" s="9" t="s">
        <v>178</v>
      </c>
      <c r="C208" s="4" t="s">
        <v>15</v>
      </c>
      <c r="D208" s="4" t="s">
        <v>27</v>
      </c>
      <c r="E208" s="4" t="s">
        <v>16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16714</v>
      </c>
      <c r="N208" s="10">
        <v>19064</v>
      </c>
      <c r="O208" s="10">
        <v>29361</v>
      </c>
      <c r="P208" s="4">
        <v>28966</v>
      </c>
      <c r="Q208" s="4">
        <v>40796</v>
      </c>
      <c r="R208" s="4">
        <v>25019</v>
      </c>
      <c r="S208" s="24">
        <f>SUM(tblSalesData[[#This Row],[FY 2000]:[FY 2012]])</f>
        <v>159920</v>
      </c>
      <c r="T208" s="11">
        <v>11.99</v>
      </c>
      <c r="U208" s="12">
        <f>tblSalesData[[#This Row],[Total Units 
to Date]]*tblSalesData[[#This Row],[Sell Price]]</f>
        <v>1917440.8</v>
      </c>
      <c r="V208" s="3"/>
      <c r="W208" s="4"/>
    </row>
    <row r="209" spans="1:23" x14ac:dyDescent="0.25">
      <c r="A209" s="4">
        <v>1034</v>
      </c>
      <c r="B209" s="9" t="s">
        <v>187</v>
      </c>
      <c r="C209" s="4" t="s">
        <v>15</v>
      </c>
      <c r="D209" s="4" t="s">
        <v>27</v>
      </c>
      <c r="E209" s="4" t="s">
        <v>17</v>
      </c>
      <c r="F209" s="10">
        <v>0</v>
      </c>
      <c r="G209" s="10">
        <v>0</v>
      </c>
      <c r="H209" s="10">
        <v>694450</v>
      </c>
      <c r="I209" s="10">
        <v>753850</v>
      </c>
      <c r="J209" s="10">
        <v>762557</v>
      </c>
      <c r="K209" s="10">
        <v>776087</v>
      </c>
      <c r="L209" s="10">
        <v>786251</v>
      </c>
      <c r="M209" s="10">
        <v>820706</v>
      </c>
      <c r="N209" s="10">
        <v>826363</v>
      </c>
      <c r="O209" s="10">
        <v>893696</v>
      </c>
      <c r="P209" s="4">
        <v>863650</v>
      </c>
      <c r="Q209" s="4">
        <v>687546</v>
      </c>
      <c r="R209" s="4">
        <v>351642</v>
      </c>
      <c r="S209" s="24">
        <f>SUM(tblSalesData[[#This Row],[FY 2000]:[FY 2012]])</f>
        <v>8216798</v>
      </c>
      <c r="T209" s="11">
        <v>12.99</v>
      </c>
      <c r="U209" s="12">
        <f>tblSalesData[[#This Row],[Total Units 
to Date]]*tblSalesData[[#This Row],[Sell Price]]</f>
        <v>106736206.02</v>
      </c>
      <c r="V209" s="3"/>
      <c r="W209" s="4"/>
    </row>
    <row r="210" spans="1:23" x14ac:dyDescent="0.25">
      <c r="A210" s="4">
        <v>1034</v>
      </c>
      <c r="B210" s="9" t="s">
        <v>188</v>
      </c>
      <c r="C210" s="4" t="s">
        <v>15</v>
      </c>
      <c r="D210" s="4" t="s">
        <v>27</v>
      </c>
      <c r="E210" s="4" t="s">
        <v>19</v>
      </c>
      <c r="F210" s="10">
        <v>0</v>
      </c>
      <c r="G210" s="10">
        <v>0</v>
      </c>
      <c r="H210" s="10">
        <v>603229</v>
      </c>
      <c r="I210" s="10">
        <v>752809</v>
      </c>
      <c r="J210" s="10">
        <v>760729</v>
      </c>
      <c r="K210" s="10">
        <v>779695</v>
      </c>
      <c r="L210" s="10">
        <v>780761</v>
      </c>
      <c r="M210" s="10">
        <v>822764</v>
      </c>
      <c r="N210" s="10">
        <v>831377</v>
      </c>
      <c r="O210" s="10">
        <v>897819</v>
      </c>
      <c r="P210" s="4">
        <v>867515</v>
      </c>
      <c r="Q210" s="4">
        <v>687959</v>
      </c>
      <c r="R210" s="4">
        <v>570585</v>
      </c>
      <c r="S210" s="24">
        <f>SUM(tblSalesData[[#This Row],[FY 2000]:[FY 2012]])</f>
        <v>8355242</v>
      </c>
      <c r="T210" s="11">
        <v>15.99</v>
      </c>
      <c r="U210" s="12">
        <f>tblSalesData[[#This Row],[Total Units 
to Date]]*tblSalesData[[#This Row],[Sell Price]]</f>
        <v>133600319.58</v>
      </c>
      <c r="V210" s="3"/>
      <c r="W210" s="4"/>
    </row>
    <row r="211" spans="1:23" x14ac:dyDescent="0.25">
      <c r="A211" s="4">
        <v>1037</v>
      </c>
      <c r="B211" s="9" t="s">
        <v>202</v>
      </c>
      <c r="C211" s="4" t="s">
        <v>15</v>
      </c>
      <c r="D211" s="4" t="s">
        <v>27</v>
      </c>
      <c r="E211" s="4" t="s">
        <v>16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17685</v>
      </c>
      <c r="L211" s="10">
        <v>31505</v>
      </c>
      <c r="M211" s="10">
        <v>42923</v>
      </c>
      <c r="N211" s="10">
        <v>56711</v>
      </c>
      <c r="O211" s="10">
        <v>82746</v>
      </c>
      <c r="P211" s="4">
        <v>221052</v>
      </c>
      <c r="Q211" s="4">
        <v>216574</v>
      </c>
      <c r="R211" s="4">
        <v>194082</v>
      </c>
      <c r="S211" s="24">
        <f>SUM(tblSalesData[[#This Row],[FY 2000]:[FY 2012]])</f>
        <v>863278</v>
      </c>
      <c r="T211" s="11">
        <v>11.99</v>
      </c>
      <c r="U211" s="12">
        <f>tblSalesData[[#This Row],[Total Units 
to Date]]*tblSalesData[[#This Row],[Sell Price]]</f>
        <v>10350703.220000001</v>
      </c>
      <c r="V211" s="3"/>
      <c r="W211" s="4"/>
    </row>
    <row r="212" spans="1:23" x14ac:dyDescent="0.25">
      <c r="A212" s="4">
        <v>1037</v>
      </c>
      <c r="B212" s="9" t="s">
        <v>210</v>
      </c>
      <c r="C212" s="4" t="s">
        <v>15</v>
      </c>
      <c r="D212" s="4" t="s">
        <v>27</v>
      </c>
      <c r="E212" s="4" t="s">
        <v>17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44841</v>
      </c>
      <c r="N212" s="10">
        <v>61623</v>
      </c>
      <c r="O212" s="10">
        <v>78969</v>
      </c>
      <c r="P212" s="4">
        <v>156641</v>
      </c>
      <c r="Q212" s="4">
        <v>193120</v>
      </c>
      <c r="R212" s="4">
        <v>177995</v>
      </c>
      <c r="S212" s="24">
        <f>SUM(tblSalesData[[#This Row],[FY 2000]:[FY 2012]])</f>
        <v>713189</v>
      </c>
      <c r="T212" s="11">
        <v>12.99</v>
      </c>
      <c r="U212" s="12">
        <f>tblSalesData[[#This Row],[Total Units 
to Date]]*tblSalesData[[#This Row],[Sell Price]]</f>
        <v>9264325.1099999994</v>
      </c>
      <c r="V212" s="3"/>
      <c r="W212" s="4"/>
    </row>
    <row r="213" spans="1:23" x14ac:dyDescent="0.25">
      <c r="A213" s="4">
        <v>1042</v>
      </c>
      <c r="B213" s="9" t="s">
        <v>254</v>
      </c>
      <c r="C213" s="4" t="s">
        <v>15</v>
      </c>
      <c r="D213" s="4" t="s">
        <v>27</v>
      </c>
      <c r="E213" s="4" t="s">
        <v>19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4">
        <v>0</v>
      </c>
      <c r="Q213" s="4">
        <v>0</v>
      </c>
      <c r="R213" s="4">
        <v>15281</v>
      </c>
      <c r="S213" s="24">
        <f>SUM(tblSalesData[[#This Row],[FY 2000]:[FY 2012]])</f>
        <v>15281</v>
      </c>
      <c r="T213" s="11">
        <v>15.99</v>
      </c>
      <c r="U213" s="12">
        <f>tblSalesData[[#This Row],[Total Units 
to Date]]*tblSalesData[[#This Row],[Sell Price]]</f>
        <v>244343.19</v>
      </c>
      <c r="V213" s="3"/>
      <c r="W213" s="4"/>
    </row>
    <row r="214" spans="1:23" x14ac:dyDescent="0.25">
      <c r="A214" s="4">
        <v>1042</v>
      </c>
      <c r="B214" s="9" t="s">
        <v>255</v>
      </c>
      <c r="C214" s="4" t="s">
        <v>15</v>
      </c>
      <c r="D214" s="4" t="s">
        <v>27</v>
      </c>
      <c r="E214" s="4" t="s">
        <v>17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4">
        <v>0</v>
      </c>
      <c r="Q214" s="4">
        <v>0</v>
      </c>
      <c r="R214" s="4">
        <v>16539</v>
      </c>
      <c r="S214" s="24">
        <f>SUM(tblSalesData[[#This Row],[FY 2000]:[FY 2012]])</f>
        <v>16539</v>
      </c>
      <c r="T214" s="11">
        <v>12.99</v>
      </c>
      <c r="U214" s="12">
        <f>tblSalesData[[#This Row],[Total Units 
to Date]]*tblSalesData[[#This Row],[Sell Price]]</f>
        <v>214841.61000000002</v>
      </c>
      <c r="V214" s="3"/>
      <c r="W214" s="4"/>
    </row>
    <row r="215" spans="1:23" x14ac:dyDescent="0.25">
      <c r="A215" s="4">
        <v>1048</v>
      </c>
      <c r="B215" s="9" t="s">
        <v>256</v>
      </c>
      <c r="C215" s="4" t="s">
        <v>15</v>
      </c>
      <c r="D215" s="4" t="s">
        <v>27</v>
      </c>
      <c r="E215" s="4" t="s">
        <v>17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80356</v>
      </c>
      <c r="N215" s="10">
        <v>10921</v>
      </c>
      <c r="O215" s="10">
        <v>77670</v>
      </c>
      <c r="P215" s="4">
        <v>72875</v>
      </c>
      <c r="Q215" s="4">
        <v>64775</v>
      </c>
      <c r="R215" s="4">
        <v>4601</v>
      </c>
      <c r="S215" s="24">
        <f>SUM(tblSalesData[[#This Row],[FY 2000]:[FY 2012]])</f>
        <v>311198</v>
      </c>
      <c r="T215" s="11">
        <v>12.99</v>
      </c>
      <c r="U215" s="12">
        <f>tblSalesData[[#This Row],[Total Units 
to Date]]*tblSalesData[[#This Row],[Sell Price]]</f>
        <v>4042462.02</v>
      </c>
      <c r="V215" s="3"/>
      <c r="W215" s="4"/>
    </row>
    <row r="216" spans="1:23" x14ac:dyDescent="0.25">
      <c r="A216" s="4">
        <v>1048</v>
      </c>
      <c r="B216" s="9" t="s">
        <v>259</v>
      </c>
      <c r="C216" s="4" t="s">
        <v>15</v>
      </c>
      <c r="D216" s="4" t="s">
        <v>27</v>
      </c>
      <c r="E216" s="4" t="s">
        <v>16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34011</v>
      </c>
      <c r="N216" s="10">
        <v>92423</v>
      </c>
      <c r="O216" s="10">
        <v>23247</v>
      </c>
      <c r="P216" s="4">
        <v>33653</v>
      </c>
      <c r="Q216" s="4">
        <v>34570</v>
      </c>
      <c r="R216" s="4">
        <v>31102</v>
      </c>
      <c r="S216" s="24">
        <f>SUM(tblSalesData[[#This Row],[FY 2000]:[FY 2012]])</f>
        <v>249006</v>
      </c>
      <c r="T216" s="11">
        <v>11.99</v>
      </c>
      <c r="U216" s="12">
        <f>tblSalesData[[#This Row],[Total Units 
to Date]]*tblSalesData[[#This Row],[Sell Price]]</f>
        <v>2985581.94</v>
      </c>
      <c r="V216" s="3"/>
      <c r="W216" s="4"/>
    </row>
    <row r="217" spans="1:23" x14ac:dyDescent="0.25">
      <c r="A217" s="4">
        <v>1049</v>
      </c>
      <c r="B217" s="9" t="s">
        <v>267</v>
      </c>
      <c r="C217" s="4" t="s">
        <v>15</v>
      </c>
      <c r="D217" s="4" t="s">
        <v>27</v>
      </c>
      <c r="E217" s="4" t="s">
        <v>16</v>
      </c>
      <c r="F217" s="10">
        <v>0</v>
      </c>
      <c r="G217" s="10">
        <v>0</v>
      </c>
      <c r="H217" s="10">
        <v>48345</v>
      </c>
      <c r="I217" s="10">
        <v>70388</v>
      </c>
      <c r="J217" s="10">
        <v>87739</v>
      </c>
      <c r="K217" s="10">
        <v>119633</v>
      </c>
      <c r="L217" s="10">
        <v>151345</v>
      </c>
      <c r="M217" s="10">
        <v>248962</v>
      </c>
      <c r="N217" s="10">
        <v>326582</v>
      </c>
      <c r="O217" s="10">
        <v>496843</v>
      </c>
      <c r="P217" s="4">
        <v>772739</v>
      </c>
      <c r="Q217" s="4">
        <v>1026452</v>
      </c>
      <c r="R217" s="4">
        <v>608595</v>
      </c>
      <c r="S217" s="24">
        <f>SUM(tblSalesData[[#This Row],[FY 2000]:[FY 2012]])</f>
        <v>3957623</v>
      </c>
      <c r="T217" s="11">
        <v>11.99</v>
      </c>
      <c r="U217" s="12">
        <f>tblSalesData[[#This Row],[Total Units 
to Date]]*tblSalesData[[#This Row],[Sell Price]]</f>
        <v>47451899.770000003</v>
      </c>
      <c r="V217" s="3"/>
      <c r="W217" s="4"/>
    </row>
    <row r="218" spans="1:23" x14ac:dyDescent="0.25">
      <c r="A218" s="4">
        <v>1049</v>
      </c>
      <c r="B218" s="9" t="s">
        <v>271</v>
      </c>
      <c r="C218" s="4" t="s">
        <v>15</v>
      </c>
      <c r="D218" s="4" t="s">
        <v>27</v>
      </c>
      <c r="E218" s="4" t="s">
        <v>19</v>
      </c>
      <c r="F218" s="10">
        <v>0</v>
      </c>
      <c r="G218" s="10">
        <v>0</v>
      </c>
      <c r="H218" s="10">
        <v>46393</v>
      </c>
      <c r="I218" s="10">
        <v>61275</v>
      </c>
      <c r="J218" s="10">
        <v>94756</v>
      </c>
      <c r="K218" s="10">
        <v>128041</v>
      </c>
      <c r="L218" s="10">
        <v>176947</v>
      </c>
      <c r="M218" s="10">
        <v>235774</v>
      </c>
      <c r="N218" s="10">
        <v>296793</v>
      </c>
      <c r="O218" s="10">
        <v>440997</v>
      </c>
      <c r="P218" s="4">
        <v>539627</v>
      </c>
      <c r="Q218" s="4">
        <v>704029</v>
      </c>
      <c r="R218" s="4">
        <v>637771</v>
      </c>
      <c r="S218" s="24">
        <f>SUM(tblSalesData[[#This Row],[FY 2000]:[FY 2012]])</f>
        <v>3362403</v>
      </c>
      <c r="T218" s="11">
        <v>15.99</v>
      </c>
      <c r="U218" s="12">
        <f>tblSalesData[[#This Row],[Total Units 
to Date]]*tblSalesData[[#This Row],[Sell Price]]</f>
        <v>53764823.969999999</v>
      </c>
      <c r="V218" s="3"/>
      <c r="W218" s="4"/>
    </row>
    <row r="219" spans="1:23" x14ac:dyDescent="0.25">
      <c r="A219" s="4">
        <v>1055</v>
      </c>
      <c r="B219" s="9" t="s">
        <v>275</v>
      </c>
      <c r="C219" s="4" t="s">
        <v>15</v>
      </c>
      <c r="D219" s="4" t="s">
        <v>27</v>
      </c>
      <c r="E219" s="4" t="s">
        <v>16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93286</v>
      </c>
      <c r="N219" s="10">
        <v>6568</v>
      </c>
      <c r="O219" s="10">
        <v>92568</v>
      </c>
      <c r="P219" s="4">
        <v>60623</v>
      </c>
      <c r="Q219" s="4">
        <v>49499</v>
      </c>
      <c r="R219" s="4">
        <v>2151</v>
      </c>
      <c r="S219" s="24">
        <f>SUM(tblSalesData[[#This Row],[FY 2000]:[FY 2012]])</f>
        <v>304695</v>
      </c>
      <c r="T219" s="11">
        <v>11.99</v>
      </c>
      <c r="U219" s="12">
        <f>tblSalesData[[#This Row],[Total Units 
to Date]]*tblSalesData[[#This Row],[Sell Price]]</f>
        <v>3653293.0500000003</v>
      </c>
      <c r="V219" s="3"/>
      <c r="W219" s="4"/>
    </row>
    <row r="220" spans="1:23" x14ac:dyDescent="0.25">
      <c r="A220" s="4">
        <v>1056</v>
      </c>
      <c r="B220" s="9" t="s">
        <v>280</v>
      </c>
      <c r="C220" s="4" t="s">
        <v>15</v>
      </c>
      <c r="D220" s="4" t="s">
        <v>27</v>
      </c>
      <c r="E220" s="4" t="s">
        <v>18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4">
        <v>7684</v>
      </c>
      <c r="Q220" s="4">
        <v>55796</v>
      </c>
      <c r="R220" s="4">
        <v>30959</v>
      </c>
      <c r="S220" s="24">
        <f>SUM(tblSalesData[[#This Row],[FY 2000]:[FY 2012]])</f>
        <v>94439</v>
      </c>
      <c r="T220" s="11">
        <v>9.99</v>
      </c>
      <c r="U220" s="12">
        <f>tblSalesData[[#This Row],[Total Units 
to Date]]*tblSalesData[[#This Row],[Sell Price]]</f>
        <v>943445.61</v>
      </c>
      <c r="V220" s="3"/>
      <c r="W220" s="4"/>
    </row>
    <row r="221" spans="1:23" x14ac:dyDescent="0.25">
      <c r="A221" s="4">
        <v>1056</v>
      </c>
      <c r="B221" s="9" t="s">
        <v>280</v>
      </c>
      <c r="C221" s="4" t="s">
        <v>15</v>
      </c>
      <c r="D221" s="4" t="s">
        <v>27</v>
      </c>
      <c r="E221" s="4" t="s">
        <v>17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4">
        <v>23531</v>
      </c>
      <c r="Q221" s="4">
        <v>23457</v>
      </c>
      <c r="R221" s="4">
        <v>16465</v>
      </c>
      <c r="S221" s="24">
        <f>SUM(tblSalesData[[#This Row],[FY 2000]:[FY 2012]])</f>
        <v>63453</v>
      </c>
      <c r="T221" s="11">
        <v>12.99</v>
      </c>
      <c r="U221" s="12">
        <f>tblSalesData[[#This Row],[Total Units 
to Date]]*tblSalesData[[#This Row],[Sell Price]]</f>
        <v>824254.47</v>
      </c>
      <c r="V221" s="3"/>
      <c r="W221" s="4"/>
    </row>
    <row r="222" spans="1:23" x14ac:dyDescent="0.25">
      <c r="A222" s="4">
        <v>1056</v>
      </c>
      <c r="B222" s="9" t="s">
        <v>280</v>
      </c>
      <c r="C222" s="4" t="s">
        <v>15</v>
      </c>
      <c r="D222" s="4" t="s">
        <v>27</v>
      </c>
      <c r="E222" s="4" t="s">
        <v>19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4">
        <v>76164</v>
      </c>
      <c r="Q222" s="4">
        <v>27539</v>
      </c>
      <c r="R222" s="4">
        <v>31113</v>
      </c>
      <c r="S222" s="24">
        <f>SUM(tblSalesData[[#This Row],[FY 2000]:[FY 2012]])</f>
        <v>134816</v>
      </c>
      <c r="T222" s="11">
        <v>15.99</v>
      </c>
      <c r="U222" s="12">
        <f>tblSalesData[[#This Row],[Total Units 
to Date]]*tblSalesData[[#This Row],[Sell Price]]</f>
        <v>2155707.84</v>
      </c>
      <c r="V222" s="3"/>
      <c r="W222" s="4"/>
    </row>
    <row r="223" spans="1:23" x14ac:dyDescent="0.25">
      <c r="A223" s="4">
        <v>1056</v>
      </c>
      <c r="B223" s="9" t="s">
        <v>291</v>
      </c>
      <c r="C223" s="4" t="s">
        <v>15</v>
      </c>
      <c r="D223" s="4" t="s">
        <v>27</v>
      </c>
      <c r="E223" s="4" t="s">
        <v>19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4">
        <v>21325</v>
      </c>
      <c r="Q223" s="4">
        <v>18108</v>
      </c>
      <c r="R223" s="4">
        <v>8659</v>
      </c>
      <c r="S223" s="24">
        <f>SUM(tblSalesData[[#This Row],[FY 2000]:[FY 2012]])</f>
        <v>48092</v>
      </c>
      <c r="T223" s="11">
        <v>15.99</v>
      </c>
      <c r="U223" s="12">
        <f>tblSalesData[[#This Row],[Total Units 
to Date]]*tblSalesData[[#This Row],[Sell Price]]</f>
        <v>768991.08</v>
      </c>
      <c r="V223" s="3"/>
      <c r="W223" s="4"/>
    </row>
    <row r="224" spans="1:23" x14ac:dyDescent="0.25">
      <c r="A224" s="4">
        <v>1057</v>
      </c>
      <c r="B224" s="9" t="s">
        <v>296</v>
      </c>
      <c r="C224" s="4" t="s">
        <v>15</v>
      </c>
      <c r="D224" s="4" t="s">
        <v>27</v>
      </c>
      <c r="E224" s="4" t="s">
        <v>18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4">
        <v>60225</v>
      </c>
      <c r="Q224" s="4">
        <v>11330</v>
      </c>
      <c r="R224" s="4">
        <v>21855</v>
      </c>
      <c r="S224" s="24">
        <f>SUM(tblSalesData[[#This Row],[FY 2000]:[FY 2012]])</f>
        <v>93410</v>
      </c>
      <c r="T224" s="11">
        <v>9.99</v>
      </c>
      <c r="U224" s="12">
        <f>tblSalesData[[#This Row],[Total Units 
to Date]]*tblSalesData[[#This Row],[Sell Price]]</f>
        <v>933165.9</v>
      </c>
      <c r="V224" s="3"/>
      <c r="W224" s="4"/>
    </row>
    <row r="225" spans="1:23" x14ac:dyDescent="0.25">
      <c r="A225" s="4">
        <v>1057</v>
      </c>
      <c r="B225" s="9" t="s">
        <v>302</v>
      </c>
      <c r="C225" s="4" t="s">
        <v>15</v>
      </c>
      <c r="D225" s="4" t="s">
        <v>27</v>
      </c>
      <c r="E225" s="4" t="s">
        <v>16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4">
        <v>0</v>
      </c>
      <c r="Q225" s="4">
        <v>66061</v>
      </c>
      <c r="R225" s="4">
        <v>33983</v>
      </c>
      <c r="S225" s="24">
        <f>SUM(tblSalesData[[#This Row],[FY 2000]:[FY 2012]])</f>
        <v>100044</v>
      </c>
      <c r="T225" s="11">
        <v>11.99</v>
      </c>
      <c r="U225" s="12">
        <f>tblSalesData[[#This Row],[Total Units 
to Date]]*tblSalesData[[#This Row],[Sell Price]]</f>
        <v>1199527.56</v>
      </c>
      <c r="V225" s="3"/>
      <c r="W225" s="4"/>
    </row>
    <row r="226" spans="1:23" x14ac:dyDescent="0.25">
      <c r="A226" s="4">
        <v>1057</v>
      </c>
      <c r="B226" s="9" t="s">
        <v>317</v>
      </c>
      <c r="C226" s="4" t="s">
        <v>15</v>
      </c>
      <c r="D226" s="4" t="s">
        <v>27</v>
      </c>
      <c r="E226" s="4" t="s">
        <v>19</v>
      </c>
      <c r="F226" s="10">
        <v>0</v>
      </c>
      <c r="G226" s="10">
        <v>9297</v>
      </c>
      <c r="H226" s="10">
        <v>51386</v>
      </c>
      <c r="I226" s="10">
        <v>4867</v>
      </c>
      <c r="J226" s="10">
        <v>57793</v>
      </c>
      <c r="K226" s="10">
        <v>13520</v>
      </c>
      <c r="L226" s="10">
        <v>14793</v>
      </c>
      <c r="M226" s="10">
        <v>37548</v>
      </c>
      <c r="N226" s="10">
        <v>55058</v>
      </c>
      <c r="O226" s="10">
        <v>67835</v>
      </c>
      <c r="P226" s="4">
        <v>84088</v>
      </c>
      <c r="Q226" s="4">
        <v>12958</v>
      </c>
      <c r="R226" s="4">
        <v>22980</v>
      </c>
      <c r="S226" s="24">
        <f>SUM(tblSalesData[[#This Row],[FY 2000]:[FY 2012]])</f>
        <v>432123</v>
      </c>
      <c r="T226" s="11">
        <v>15.99</v>
      </c>
      <c r="U226" s="12">
        <f>tblSalesData[[#This Row],[Total Units 
to Date]]*tblSalesData[[#This Row],[Sell Price]]</f>
        <v>6909646.7700000005</v>
      </c>
      <c r="V226" s="3"/>
      <c r="W226" s="4"/>
    </row>
    <row r="227" spans="1:23" x14ac:dyDescent="0.25">
      <c r="A227" s="4">
        <v>1062</v>
      </c>
      <c r="B227" s="9" t="s">
        <v>319</v>
      </c>
      <c r="C227" s="4" t="s">
        <v>15</v>
      </c>
      <c r="D227" s="4" t="s">
        <v>27</v>
      </c>
      <c r="E227" s="4" t="s">
        <v>16</v>
      </c>
      <c r="F227" s="10">
        <v>0</v>
      </c>
      <c r="G227" s="10">
        <v>0</v>
      </c>
      <c r="H227" s="10">
        <v>0</v>
      </c>
      <c r="I227" s="10">
        <v>0</v>
      </c>
      <c r="J227" s="10">
        <v>8595</v>
      </c>
      <c r="K227" s="10">
        <v>40098</v>
      </c>
      <c r="L227" s="10">
        <v>68867</v>
      </c>
      <c r="M227" s="10">
        <v>59595</v>
      </c>
      <c r="N227" s="10">
        <v>8693</v>
      </c>
      <c r="O227" s="10">
        <v>99402</v>
      </c>
      <c r="P227" s="4">
        <v>51050</v>
      </c>
      <c r="Q227" s="4">
        <v>4297</v>
      </c>
      <c r="R227" s="4">
        <v>10457</v>
      </c>
      <c r="S227" s="24">
        <f>SUM(tblSalesData[[#This Row],[FY 2000]:[FY 2012]])</f>
        <v>351054</v>
      </c>
      <c r="T227" s="11">
        <v>11.99</v>
      </c>
      <c r="U227" s="12">
        <f>tblSalesData[[#This Row],[Total Units 
to Date]]*tblSalesData[[#This Row],[Sell Price]]</f>
        <v>4209137.46</v>
      </c>
      <c r="V227" s="3"/>
      <c r="W227" s="4"/>
    </row>
    <row r="228" spans="1:23" x14ac:dyDescent="0.25">
      <c r="A228" s="4">
        <v>1066</v>
      </c>
      <c r="B228" s="9" t="s">
        <v>358</v>
      </c>
      <c r="C228" s="4" t="s">
        <v>15</v>
      </c>
      <c r="D228" s="4" t="s">
        <v>27</v>
      </c>
      <c r="E228" s="4" t="s">
        <v>18</v>
      </c>
      <c r="F228" s="10">
        <v>0</v>
      </c>
      <c r="G228" s="10">
        <v>0</v>
      </c>
      <c r="H228" s="10">
        <v>34269</v>
      </c>
      <c r="I228" s="10">
        <v>42708</v>
      </c>
      <c r="J228" s="10">
        <v>73936</v>
      </c>
      <c r="K228" s="10">
        <v>75986</v>
      </c>
      <c r="L228" s="10">
        <v>80376</v>
      </c>
      <c r="M228" s="10">
        <v>82991</v>
      </c>
      <c r="N228" s="10">
        <v>85997</v>
      </c>
      <c r="O228" s="10">
        <v>86154</v>
      </c>
      <c r="P228" s="4">
        <v>78610</v>
      </c>
      <c r="Q228" s="4">
        <v>62269</v>
      </c>
      <c r="R228" s="4">
        <v>44818</v>
      </c>
      <c r="S228" s="24">
        <f>SUM(tblSalesData[[#This Row],[FY 2000]:[FY 2012]])</f>
        <v>748114</v>
      </c>
      <c r="T228" s="11">
        <v>9.99</v>
      </c>
      <c r="U228" s="12">
        <f>tblSalesData[[#This Row],[Total Units 
to Date]]*tblSalesData[[#This Row],[Sell Price]]</f>
        <v>7473658.8600000003</v>
      </c>
      <c r="V228" s="3"/>
      <c r="W228" s="4"/>
    </row>
    <row r="229" spans="1:23" x14ac:dyDescent="0.25">
      <c r="A229" s="4">
        <v>1067</v>
      </c>
      <c r="B229" s="9" t="s">
        <v>368</v>
      </c>
      <c r="C229" s="4" t="s">
        <v>15</v>
      </c>
      <c r="D229" s="4" t="s">
        <v>27</v>
      </c>
      <c r="E229" s="4" t="s">
        <v>17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4">
        <v>0</v>
      </c>
      <c r="Q229" s="4">
        <v>0</v>
      </c>
      <c r="R229" s="4">
        <v>392483</v>
      </c>
      <c r="S229" s="24">
        <f>SUM(tblSalesData[[#This Row],[FY 2000]:[FY 2012]])</f>
        <v>392483</v>
      </c>
      <c r="T229" s="11">
        <v>12.99</v>
      </c>
      <c r="U229" s="12">
        <f>tblSalesData[[#This Row],[Total Units 
to Date]]*tblSalesData[[#This Row],[Sell Price]]</f>
        <v>5098354.17</v>
      </c>
      <c r="V229" s="3"/>
      <c r="W229" s="4"/>
    </row>
    <row r="230" spans="1:23" x14ac:dyDescent="0.25">
      <c r="A230" s="4">
        <v>1067</v>
      </c>
      <c r="B230" s="9" t="s">
        <v>375</v>
      </c>
      <c r="C230" s="4" t="s">
        <v>15</v>
      </c>
      <c r="D230" s="4" t="s">
        <v>27</v>
      </c>
      <c r="E230" s="4" t="s">
        <v>16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4">
        <v>0</v>
      </c>
      <c r="Q230" s="4">
        <v>0</v>
      </c>
      <c r="R230" s="4">
        <v>663019</v>
      </c>
      <c r="S230" s="24">
        <f>SUM(tblSalesData[[#This Row],[FY 2000]:[FY 2012]])</f>
        <v>663019</v>
      </c>
      <c r="T230" s="11">
        <v>11.99</v>
      </c>
      <c r="U230" s="12">
        <f>tblSalesData[[#This Row],[Total Units 
to Date]]*tblSalesData[[#This Row],[Sell Price]]</f>
        <v>7949597.8100000005</v>
      </c>
      <c r="V230" s="3"/>
      <c r="W230" s="4"/>
    </row>
    <row r="231" spans="1:23" x14ac:dyDescent="0.25">
      <c r="A231" s="4">
        <v>1067</v>
      </c>
      <c r="B231" s="9" t="s">
        <v>376</v>
      </c>
      <c r="C231" s="4" t="s">
        <v>15</v>
      </c>
      <c r="D231" s="4" t="s">
        <v>27</v>
      </c>
      <c r="E231" s="4" t="s">
        <v>18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4">
        <v>0</v>
      </c>
      <c r="Q231" s="4">
        <v>0</v>
      </c>
      <c r="R231" s="4">
        <v>294381</v>
      </c>
      <c r="S231" s="24">
        <f>SUM(tblSalesData[[#This Row],[FY 2000]:[FY 2012]])</f>
        <v>294381</v>
      </c>
      <c r="T231" s="11">
        <v>9.99</v>
      </c>
      <c r="U231" s="12">
        <f>tblSalesData[[#This Row],[Total Units 
to Date]]*tblSalesData[[#This Row],[Sell Price]]</f>
        <v>2940866.19</v>
      </c>
      <c r="V231" s="3"/>
      <c r="W231" s="4"/>
    </row>
    <row r="232" spans="1:23" x14ac:dyDescent="0.25">
      <c r="A232" s="4">
        <v>1067</v>
      </c>
      <c r="B232" s="9" t="s">
        <v>377</v>
      </c>
      <c r="C232" s="4" t="s">
        <v>15</v>
      </c>
      <c r="D232" s="4" t="s">
        <v>27</v>
      </c>
      <c r="E232" s="4" t="s">
        <v>17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4">
        <v>0</v>
      </c>
      <c r="Q232" s="4">
        <v>0</v>
      </c>
      <c r="R232" s="4">
        <v>689140</v>
      </c>
      <c r="S232" s="24">
        <f>SUM(tblSalesData[[#This Row],[FY 2000]:[FY 2012]])</f>
        <v>689140</v>
      </c>
      <c r="T232" s="11">
        <v>12.99</v>
      </c>
      <c r="U232" s="12">
        <f>tblSalesData[[#This Row],[Total Units 
to Date]]*tblSalesData[[#This Row],[Sell Price]]</f>
        <v>8951928.5999999996</v>
      </c>
      <c r="V232" s="3"/>
      <c r="W232" s="4"/>
    </row>
    <row r="233" spans="1:23" x14ac:dyDescent="0.25">
      <c r="A233" s="4">
        <v>1005</v>
      </c>
      <c r="B233" s="9" t="s">
        <v>24</v>
      </c>
      <c r="C233" s="4" t="s">
        <v>26</v>
      </c>
      <c r="D233" s="4" t="s">
        <v>28</v>
      </c>
      <c r="E233" s="4" t="s">
        <v>18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4">
        <v>0</v>
      </c>
      <c r="Q233" s="4">
        <v>0</v>
      </c>
      <c r="R233" s="10">
        <v>11554</v>
      </c>
      <c r="S233" s="24">
        <f>SUM(tblSalesData[[#This Row],[FY 2000]:[FY 2012]])</f>
        <v>11554</v>
      </c>
      <c r="T233" s="11">
        <v>0.99</v>
      </c>
      <c r="U233" s="12">
        <f>tblSalesData[[#This Row],[Total Units 
to Date]]*tblSalesData[[#This Row],[Sell Price]]</f>
        <v>11438.46</v>
      </c>
      <c r="V233" s="3"/>
    </row>
    <row r="234" spans="1:23" x14ac:dyDescent="0.25">
      <c r="A234" s="4">
        <v>1005</v>
      </c>
      <c r="B234" s="9" t="s">
        <v>34</v>
      </c>
      <c r="C234" s="4" t="s">
        <v>26</v>
      </c>
      <c r="D234" s="4" t="s">
        <v>28</v>
      </c>
      <c r="E234" s="4" t="s">
        <v>19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4">
        <v>0</v>
      </c>
      <c r="Q234" s="4">
        <v>1045</v>
      </c>
      <c r="R234" s="10">
        <v>6895</v>
      </c>
      <c r="S234" s="24">
        <f>SUM(tblSalesData[[#This Row],[FY 2000]:[FY 2012]])</f>
        <v>7940</v>
      </c>
      <c r="T234" s="11">
        <v>3.99</v>
      </c>
      <c r="U234" s="12">
        <f>tblSalesData[[#This Row],[Total Units 
to Date]]*tblSalesData[[#This Row],[Sell Price]]</f>
        <v>31680.600000000002</v>
      </c>
      <c r="V234" s="3"/>
    </row>
    <row r="235" spans="1:23" x14ac:dyDescent="0.25">
      <c r="A235" s="4">
        <v>1005</v>
      </c>
      <c r="B235" s="9" t="s">
        <v>35</v>
      </c>
      <c r="C235" s="4" t="s">
        <v>26</v>
      </c>
      <c r="D235" s="4" t="s">
        <v>28</v>
      </c>
      <c r="E235" s="4" t="s">
        <v>18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4">
        <v>0</v>
      </c>
      <c r="Q235" s="4">
        <v>944</v>
      </c>
      <c r="R235" s="10">
        <v>3403</v>
      </c>
      <c r="S235" s="24">
        <f>SUM(tblSalesData[[#This Row],[FY 2000]:[FY 2012]])</f>
        <v>4347</v>
      </c>
      <c r="T235" s="11">
        <v>0.99</v>
      </c>
      <c r="U235" s="12">
        <f>tblSalesData[[#This Row],[Total Units 
to Date]]*tblSalesData[[#This Row],[Sell Price]]</f>
        <v>4303.53</v>
      </c>
      <c r="V235" s="3"/>
    </row>
    <row r="236" spans="1:23" x14ac:dyDescent="0.25">
      <c r="A236" s="4">
        <v>1005</v>
      </c>
      <c r="B236" s="9" t="s">
        <v>55</v>
      </c>
      <c r="C236" s="4" t="s">
        <v>26</v>
      </c>
      <c r="D236" s="4" t="s">
        <v>28</v>
      </c>
      <c r="E236" s="4" t="s">
        <v>16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4">
        <v>0</v>
      </c>
      <c r="Q236" s="4">
        <v>0</v>
      </c>
      <c r="R236" s="10">
        <v>2769</v>
      </c>
      <c r="S236" s="24">
        <f>SUM(tblSalesData[[#This Row],[FY 2000]:[FY 2012]])</f>
        <v>2769</v>
      </c>
      <c r="T236" s="11">
        <v>1.49</v>
      </c>
      <c r="U236" s="12">
        <f>tblSalesData[[#This Row],[Total Units 
to Date]]*tblSalesData[[#This Row],[Sell Price]]</f>
        <v>4125.8100000000004</v>
      </c>
      <c r="V236" s="3"/>
    </row>
    <row r="237" spans="1:23" x14ac:dyDescent="0.25">
      <c r="A237" s="4">
        <v>1005</v>
      </c>
      <c r="B237" s="9" t="s">
        <v>63</v>
      </c>
      <c r="C237" s="4" t="s">
        <v>26</v>
      </c>
      <c r="D237" s="4" t="s">
        <v>28</v>
      </c>
      <c r="E237" s="4" t="s">
        <v>17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4">
        <v>0</v>
      </c>
      <c r="Q237" s="4">
        <v>428</v>
      </c>
      <c r="R237" s="10">
        <v>4888</v>
      </c>
      <c r="S237" s="24">
        <f>SUM(tblSalesData[[#This Row],[FY 2000]:[FY 2012]])</f>
        <v>5316</v>
      </c>
      <c r="T237" s="11">
        <v>1.99</v>
      </c>
      <c r="U237" s="12">
        <f>tblSalesData[[#This Row],[Total Units 
to Date]]*tblSalesData[[#This Row],[Sell Price]]</f>
        <v>10578.84</v>
      </c>
      <c r="V237" s="3"/>
    </row>
    <row r="238" spans="1:23" x14ac:dyDescent="0.25">
      <c r="A238" s="4">
        <v>1008</v>
      </c>
      <c r="B238" s="9" t="s">
        <v>72</v>
      </c>
      <c r="C238" s="4" t="s">
        <v>26</v>
      </c>
      <c r="D238" s="4" t="s">
        <v>28</v>
      </c>
      <c r="E238" s="4" t="s">
        <v>17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4">
        <v>0</v>
      </c>
      <c r="Q238" s="4">
        <v>110547</v>
      </c>
      <c r="R238" s="10">
        <v>142011</v>
      </c>
      <c r="S238" s="24">
        <f>SUM(tblSalesData[[#This Row],[FY 2000]:[FY 2012]])</f>
        <v>252558</v>
      </c>
      <c r="T238" s="11">
        <v>1.99</v>
      </c>
      <c r="U238" s="12">
        <f>tblSalesData[[#This Row],[Total Units 
to Date]]*tblSalesData[[#This Row],[Sell Price]]</f>
        <v>502590.42</v>
      </c>
      <c r="V238" s="3"/>
    </row>
    <row r="239" spans="1:23" x14ac:dyDescent="0.25">
      <c r="A239" s="4">
        <v>1008</v>
      </c>
      <c r="B239" s="9" t="s">
        <v>76</v>
      </c>
      <c r="C239" s="4" t="s">
        <v>26</v>
      </c>
      <c r="D239" s="4" t="s">
        <v>28</v>
      </c>
      <c r="E239" s="4" t="s">
        <v>17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4">
        <v>0</v>
      </c>
      <c r="Q239" s="4">
        <v>0</v>
      </c>
      <c r="R239" s="10">
        <v>35537</v>
      </c>
      <c r="S239" s="24">
        <f>SUM(tblSalesData[[#This Row],[FY 2000]:[FY 2012]])</f>
        <v>35537</v>
      </c>
      <c r="T239" s="11">
        <v>1.99</v>
      </c>
      <c r="U239" s="12">
        <f>tblSalesData[[#This Row],[Total Units 
to Date]]*tblSalesData[[#This Row],[Sell Price]]</f>
        <v>70718.63</v>
      </c>
      <c r="V239" s="3"/>
    </row>
    <row r="240" spans="1:23" x14ac:dyDescent="0.25">
      <c r="A240" s="4">
        <v>1013</v>
      </c>
      <c r="B240" s="9" t="s">
        <v>95</v>
      </c>
      <c r="C240" s="4" t="s">
        <v>26</v>
      </c>
      <c r="D240" s="4" t="s">
        <v>28</v>
      </c>
      <c r="E240" s="4" t="s">
        <v>16</v>
      </c>
      <c r="F240" s="10">
        <v>0</v>
      </c>
      <c r="G240" s="10">
        <v>0</v>
      </c>
      <c r="H240" s="10">
        <v>0</v>
      </c>
      <c r="I240" s="10">
        <v>131</v>
      </c>
      <c r="J240" s="10">
        <v>969</v>
      </c>
      <c r="K240" s="10">
        <v>1364</v>
      </c>
      <c r="L240" s="10">
        <v>1609</v>
      </c>
      <c r="M240" s="10">
        <v>2325</v>
      </c>
      <c r="N240" s="10">
        <v>2722</v>
      </c>
      <c r="O240" s="10">
        <v>3244</v>
      </c>
      <c r="P240" s="4">
        <v>4138</v>
      </c>
      <c r="Q240" s="4">
        <v>5107</v>
      </c>
      <c r="R240" s="10">
        <v>5541</v>
      </c>
      <c r="S240" s="24">
        <f>SUM(tblSalesData[[#This Row],[FY 2000]:[FY 2012]])</f>
        <v>27150</v>
      </c>
      <c r="T240" s="11">
        <v>1.49</v>
      </c>
      <c r="U240" s="12">
        <f>tblSalesData[[#This Row],[Total Units 
to Date]]*tblSalesData[[#This Row],[Sell Price]]</f>
        <v>40453.5</v>
      </c>
      <c r="V240" s="3"/>
    </row>
    <row r="241" spans="1:22" x14ac:dyDescent="0.25">
      <c r="A241" s="4">
        <v>1013</v>
      </c>
      <c r="B241" s="9" t="s">
        <v>98</v>
      </c>
      <c r="C241" s="4" t="s">
        <v>26</v>
      </c>
      <c r="D241" s="4" t="s">
        <v>28</v>
      </c>
      <c r="E241" s="4" t="s">
        <v>19</v>
      </c>
      <c r="F241" s="10">
        <v>0</v>
      </c>
      <c r="G241" s="10">
        <v>0</v>
      </c>
      <c r="H241" s="10">
        <v>0</v>
      </c>
      <c r="I241" s="10">
        <v>0</v>
      </c>
      <c r="J241" s="10">
        <v>921</v>
      </c>
      <c r="K241" s="10">
        <v>1331</v>
      </c>
      <c r="L241" s="10">
        <v>1884</v>
      </c>
      <c r="M241" s="10">
        <v>2202</v>
      </c>
      <c r="N241" s="10">
        <v>2995</v>
      </c>
      <c r="O241" s="10">
        <v>3248</v>
      </c>
      <c r="P241" s="4">
        <v>3946</v>
      </c>
      <c r="Q241" s="4">
        <v>5024</v>
      </c>
      <c r="R241" s="10">
        <v>5974</v>
      </c>
      <c r="S241" s="24">
        <f>SUM(tblSalesData[[#This Row],[FY 2000]:[FY 2012]])</f>
        <v>27525</v>
      </c>
      <c r="T241" s="11">
        <v>3.99</v>
      </c>
      <c r="U241" s="12">
        <f>tblSalesData[[#This Row],[Total Units 
to Date]]*tblSalesData[[#This Row],[Sell Price]]</f>
        <v>109824.75</v>
      </c>
      <c r="V241" s="3"/>
    </row>
    <row r="242" spans="1:22" x14ac:dyDescent="0.25">
      <c r="A242" s="4">
        <v>1015</v>
      </c>
      <c r="B242" s="9" t="s">
        <v>120</v>
      </c>
      <c r="C242" s="4" t="s">
        <v>26</v>
      </c>
      <c r="D242" s="4" t="s">
        <v>28</v>
      </c>
      <c r="E242" s="4" t="s">
        <v>18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4">
        <v>3423</v>
      </c>
      <c r="Q242" s="4">
        <v>4552</v>
      </c>
      <c r="R242" s="10">
        <v>6257</v>
      </c>
      <c r="S242" s="24">
        <f>SUM(tblSalesData[[#This Row],[FY 2000]:[FY 2012]])</f>
        <v>14232</v>
      </c>
      <c r="T242" s="11">
        <v>0.99</v>
      </c>
      <c r="U242" s="12">
        <f>tblSalesData[[#This Row],[Total Units 
to Date]]*tblSalesData[[#This Row],[Sell Price]]</f>
        <v>14089.68</v>
      </c>
      <c r="V242" s="3"/>
    </row>
    <row r="243" spans="1:22" x14ac:dyDescent="0.25">
      <c r="A243" s="4">
        <v>1015</v>
      </c>
      <c r="B243" s="9" t="s">
        <v>122</v>
      </c>
      <c r="C243" s="4" t="s">
        <v>26</v>
      </c>
      <c r="D243" s="4" t="s">
        <v>28</v>
      </c>
      <c r="E243" s="4" t="s">
        <v>16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4">
        <v>0</v>
      </c>
      <c r="Q243" s="4">
        <v>56833</v>
      </c>
      <c r="R243" s="10">
        <v>31063</v>
      </c>
      <c r="S243" s="24">
        <f>SUM(tblSalesData[[#This Row],[FY 2000]:[FY 2012]])</f>
        <v>87896</v>
      </c>
      <c r="T243" s="11">
        <v>1.49</v>
      </c>
      <c r="U243" s="12">
        <f>tblSalesData[[#This Row],[Total Units 
to Date]]*tblSalesData[[#This Row],[Sell Price]]</f>
        <v>130965.04</v>
      </c>
      <c r="V243" s="3"/>
    </row>
    <row r="244" spans="1:22" x14ac:dyDescent="0.25">
      <c r="A244" s="4">
        <v>1016</v>
      </c>
      <c r="B244" s="9" t="s">
        <v>126</v>
      </c>
      <c r="C244" s="4" t="s">
        <v>26</v>
      </c>
      <c r="D244" s="4" t="s">
        <v>28</v>
      </c>
      <c r="E244" s="4" t="s">
        <v>18</v>
      </c>
      <c r="F244" s="10">
        <v>95</v>
      </c>
      <c r="G244" s="10">
        <v>107</v>
      </c>
      <c r="H244" s="10">
        <v>1195</v>
      </c>
      <c r="I244" s="10">
        <v>3362</v>
      </c>
      <c r="J244" s="10">
        <v>4939</v>
      </c>
      <c r="K244" s="10">
        <v>10938</v>
      </c>
      <c r="L244" s="10">
        <v>14223</v>
      </c>
      <c r="M244" s="10">
        <v>17633</v>
      </c>
      <c r="N244" s="10">
        <v>32860</v>
      </c>
      <c r="O244" s="10">
        <v>57407</v>
      </c>
      <c r="P244" s="4">
        <v>103227</v>
      </c>
      <c r="Q244" s="4">
        <v>283367</v>
      </c>
      <c r="R244" s="10">
        <v>544166</v>
      </c>
      <c r="S244" s="24">
        <f>SUM(tblSalesData[[#This Row],[FY 2000]:[FY 2012]])</f>
        <v>1073519</v>
      </c>
      <c r="T244" s="11">
        <v>0.99</v>
      </c>
      <c r="U244" s="12">
        <f>tblSalesData[[#This Row],[Total Units 
to Date]]*tblSalesData[[#This Row],[Sell Price]]</f>
        <v>1062783.81</v>
      </c>
      <c r="V244" s="3"/>
    </row>
    <row r="245" spans="1:22" x14ac:dyDescent="0.25">
      <c r="A245" s="4">
        <v>1016</v>
      </c>
      <c r="B245" s="9" t="s">
        <v>127</v>
      </c>
      <c r="C245" s="4" t="s">
        <v>26</v>
      </c>
      <c r="D245" s="4" t="s">
        <v>28</v>
      </c>
      <c r="E245" s="4" t="s">
        <v>17</v>
      </c>
      <c r="F245" s="10">
        <v>0</v>
      </c>
      <c r="G245" s="10">
        <v>0</v>
      </c>
      <c r="H245" s="10">
        <v>1321</v>
      </c>
      <c r="I245" s="10">
        <v>2857</v>
      </c>
      <c r="J245" s="10">
        <v>6911</v>
      </c>
      <c r="K245" s="10">
        <v>9803</v>
      </c>
      <c r="L245" s="10">
        <v>11474</v>
      </c>
      <c r="M245" s="10">
        <v>17403</v>
      </c>
      <c r="N245" s="10">
        <v>41885</v>
      </c>
      <c r="O245" s="10">
        <v>68039</v>
      </c>
      <c r="P245" s="4">
        <v>87367</v>
      </c>
      <c r="Q245" s="4">
        <v>186408</v>
      </c>
      <c r="R245" s="10">
        <v>646451</v>
      </c>
      <c r="S245" s="24">
        <f>SUM(tblSalesData[[#This Row],[FY 2000]:[FY 2012]])</f>
        <v>1079919</v>
      </c>
      <c r="T245" s="11">
        <v>1.99</v>
      </c>
      <c r="U245" s="12">
        <f>tblSalesData[[#This Row],[Total Units 
to Date]]*tblSalesData[[#This Row],[Sell Price]]</f>
        <v>2149038.81</v>
      </c>
      <c r="V245" s="3"/>
    </row>
    <row r="246" spans="1:22" x14ac:dyDescent="0.25">
      <c r="A246" s="4">
        <v>1016</v>
      </c>
      <c r="B246" s="9" t="s">
        <v>129</v>
      </c>
      <c r="C246" s="4" t="s">
        <v>26</v>
      </c>
      <c r="D246" s="4" t="s">
        <v>28</v>
      </c>
      <c r="E246" s="4" t="s">
        <v>18</v>
      </c>
      <c r="F246" s="10">
        <v>0</v>
      </c>
      <c r="G246" s="10">
        <v>0</v>
      </c>
      <c r="H246" s="10">
        <v>0</v>
      </c>
      <c r="I246" s="10">
        <v>0</v>
      </c>
      <c r="J246" s="10">
        <v>4404</v>
      </c>
      <c r="K246" s="10">
        <v>10069</v>
      </c>
      <c r="L246" s="10">
        <v>12311</v>
      </c>
      <c r="M246" s="10">
        <v>20224</v>
      </c>
      <c r="N246" s="10">
        <v>38941</v>
      </c>
      <c r="O246" s="10">
        <v>50741</v>
      </c>
      <c r="P246" s="4">
        <v>106658</v>
      </c>
      <c r="Q246" s="4">
        <v>261233</v>
      </c>
      <c r="R246" s="10">
        <v>869685</v>
      </c>
      <c r="S246" s="24">
        <f>SUM(tblSalesData[[#This Row],[FY 2000]:[FY 2012]])</f>
        <v>1374266</v>
      </c>
      <c r="T246" s="11">
        <v>0.99</v>
      </c>
      <c r="U246" s="12">
        <f>tblSalesData[[#This Row],[Total Units 
to Date]]*tblSalesData[[#This Row],[Sell Price]]</f>
        <v>1360523.34</v>
      </c>
      <c r="V246" s="3"/>
    </row>
    <row r="247" spans="1:22" x14ac:dyDescent="0.25">
      <c r="A247" s="4">
        <v>1016</v>
      </c>
      <c r="B247" s="9" t="s">
        <v>130</v>
      </c>
      <c r="C247" s="4" t="s">
        <v>26</v>
      </c>
      <c r="D247" s="4" t="s">
        <v>28</v>
      </c>
      <c r="E247" s="4" t="s">
        <v>18</v>
      </c>
      <c r="F247" s="10">
        <v>0</v>
      </c>
      <c r="G247" s="10">
        <v>0</v>
      </c>
      <c r="H247" s="10">
        <v>0</v>
      </c>
      <c r="I247" s="10">
        <v>0</v>
      </c>
      <c r="J247" s="10">
        <v>4662</v>
      </c>
      <c r="K247" s="10">
        <v>9478</v>
      </c>
      <c r="L247" s="10">
        <v>12207</v>
      </c>
      <c r="M247" s="10">
        <v>23454</v>
      </c>
      <c r="N247" s="10">
        <v>27979</v>
      </c>
      <c r="O247" s="10">
        <v>48865</v>
      </c>
      <c r="P247" s="4">
        <v>103954</v>
      </c>
      <c r="Q247" s="4">
        <v>278512</v>
      </c>
      <c r="R247" s="10">
        <v>533990</v>
      </c>
      <c r="S247" s="24">
        <f>SUM(tblSalesData[[#This Row],[FY 2000]:[FY 2012]])</f>
        <v>1043101</v>
      </c>
      <c r="T247" s="11">
        <v>0.99</v>
      </c>
      <c r="U247" s="12">
        <f>tblSalesData[[#This Row],[Total Units 
to Date]]*tblSalesData[[#This Row],[Sell Price]]</f>
        <v>1032669.99</v>
      </c>
      <c r="V247" s="3"/>
    </row>
    <row r="248" spans="1:22" x14ac:dyDescent="0.25">
      <c r="A248" s="4">
        <v>1016</v>
      </c>
      <c r="B248" s="9" t="s">
        <v>131</v>
      </c>
      <c r="C248" s="4" t="s">
        <v>26</v>
      </c>
      <c r="D248" s="4" t="s">
        <v>28</v>
      </c>
      <c r="E248" s="4" t="s">
        <v>19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10257</v>
      </c>
      <c r="L248" s="10">
        <v>12506</v>
      </c>
      <c r="M248" s="10">
        <v>22667</v>
      </c>
      <c r="N248" s="10">
        <v>36344</v>
      </c>
      <c r="O248" s="10">
        <v>62704</v>
      </c>
      <c r="P248" s="4">
        <v>98539</v>
      </c>
      <c r="Q248" s="4">
        <v>216129</v>
      </c>
      <c r="R248" s="10">
        <v>850598</v>
      </c>
      <c r="S248" s="24">
        <f>SUM(tblSalesData[[#This Row],[FY 2000]:[FY 2012]])</f>
        <v>1309744</v>
      </c>
      <c r="T248" s="11">
        <v>3.99</v>
      </c>
      <c r="U248" s="12">
        <f>tblSalesData[[#This Row],[Total Units 
to Date]]*tblSalesData[[#This Row],[Sell Price]]</f>
        <v>5225878.5600000005</v>
      </c>
      <c r="V248" s="3"/>
    </row>
    <row r="249" spans="1:22" x14ac:dyDescent="0.25">
      <c r="A249" s="4">
        <v>1016</v>
      </c>
      <c r="B249" s="9" t="s">
        <v>133</v>
      </c>
      <c r="C249" s="4" t="s">
        <v>26</v>
      </c>
      <c r="D249" s="4" t="s">
        <v>28</v>
      </c>
      <c r="E249" s="4" t="s">
        <v>19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12904</v>
      </c>
      <c r="M249" s="10">
        <v>17816</v>
      </c>
      <c r="N249" s="10">
        <v>27234</v>
      </c>
      <c r="O249" s="10">
        <v>65954</v>
      </c>
      <c r="P249" s="4">
        <v>92622</v>
      </c>
      <c r="Q249" s="4">
        <v>207343</v>
      </c>
      <c r="R249" s="10">
        <v>327854</v>
      </c>
      <c r="S249" s="24">
        <f>SUM(tblSalesData[[#This Row],[FY 2000]:[FY 2012]])</f>
        <v>751727</v>
      </c>
      <c r="T249" s="11">
        <v>3.99</v>
      </c>
      <c r="U249" s="12">
        <f>tblSalesData[[#This Row],[Total Units 
to Date]]*tblSalesData[[#This Row],[Sell Price]]</f>
        <v>2999390.73</v>
      </c>
      <c r="V249" s="3"/>
    </row>
    <row r="250" spans="1:22" x14ac:dyDescent="0.25">
      <c r="A250" s="4">
        <v>1016</v>
      </c>
      <c r="B250" s="9" t="s">
        <v>134</v>
      </c>
      <c r="C250" s="4" t="s">
        <v>26</v>
      </c>
      <c r="D250" s="4" t="s">
        <v>28</v>
      </c>
      <c r="E250" s="4" t="s">
        <v>19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16348</v>
      </c>
      <c r="N250" s="10">
        <v>41673</v>
      </c>
      <c r="O250" s="10">
        <v>57070</v>
      </c>
      <c r="P250" s="4">
        <v>98772</v>
      </c>
      <c r="Q250" s="4">
        <v>199364</v>
      </c>
      <c r="R250" s="10">
        <v>201632</v>
      </c>
      <c r="S250" s="24">
        <f>SUM(tblSalesData[[#This Row],[FY 2000]:[FY 2012]])</f>
        <v>614859</v>
      </c>
      <c r="T250" s="11">
        <v>3.99</v>
      </c>
      <c r="U250" s="12">
        <f>tblSalesData[[#This Row],[Total Units 
to Date]]*tblSalesData[[#This Row],[Sell Price]]</f>
        <v>2453287.41</v>
      </c>
      <c r="V250" s="3"/>
    </row>
    <row r="251" spans="1:22" x14ac:dyDescent="0.25">
      <c r="A251" s="4">
        <v>1016</v>
      </c>
      <c r="B251" s="9" t="s">
        <v>138</v>
      </c>
      <c r="C251" s="4" t="s">
        <v>26</v>
      </c>
      <c r="D251" s="4" t="s">
        <v>28</v>
      </c>
      <c r="E251" s="4" t="s">
        <v>17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71039</v>
      </c>
      <c r="P251" s="4">
        <v>103757</v>
      </c>
      <c r="Q251" s="4">
        <v>225359</v>
      </c>
      <c r="R251" s="10">
        <v>293938</v>
      </c>
      <c r="S251" s="24">
        <f>SUM(tblSalesData[[#This Row],[FY 2000]:[FY 2012]])</f>
        <v>694093</v>
      </c>
      <c r="T251" s="11">
        <v>1.99</v>
      </c>
      <c r="U251" s="12">
        <f>tblSalesData[[#This Row],[Total Units 
to Date]]*tblSalesData[[#This Row],[Sell Price]]</f>
        <v>1381245.07</v>
      </c>
      <c r="V251" s="3"/>
    </row>
    <row r="252" spans="1:22" x14ac:dyDescent="0.25">
      <c r="A252" s="4">
        <v>1016</v>
      </c>
      <c r="B252" s="9" t="s">
        <v>139</v>
      </c>
      <c r="C252" s="4" t="s">
        <v>26</v>
      </c>
      <c r="D252" s="4" t="s">
        <v>28</v>
      </c>
      <c r="E252" s="4" t="s">
        <v>18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4">
        <v>86247</v>
      </c>
      <c r="Q252" s="4">
        <v>176450</v>
      </c>
      <c r="R252" s="10">
        <v>517115</v>
      </c>
      <c r="S252" s="24">
        <f>SUM(tblSalesData[[#This Row],[FY 2000]:[FY 2012]])</f>
        <v>779812</v>
      </c>
      <c r="T252" s="11">
        <v>0.99</v>
      </c>
      <c r="U252" s="12">
        <f>tblSalesData[[#This Row],[Total Units 
to Date]]*tblSalesData[[#This Row],[Sell Price]]</f>
        <v>772013.88</v>
      </c>
      <c r="V252" s="3"/>
    </row>
    <row r="253" spans="1:22" x14ac:dyDescent="0.25">
      <c r="A253" s="4">
        <v>1017</v>
      </c>
      <c r="B253" s="9" t="s">
        <v>143</v>
      </c>
      <c r="C253" s="4" t="s">
        <v>26</v>
      </c>
      <c r="D253" s="4" t="s">
        <v>28</v>
      </c>
      <c r="E253" s="4" t="s">
        <v>17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4">
        <v>0</v>
      </c>
      <c r="Q253" s="4">
        <v>103487</v>
      </c>
      <c r="R253" s="10">
        <v>71345</v>
      </c>
      <c r="S253" s="24">
        <f>SUM(tblSalesData[[#This Row],[FY 2000]:[FY 2012]])</f>
        <v>174832</v>
      </c>
      <c r="T253" s="11">
        <v>1.99</v>
      </c>
      <c r="U253" s="12">
        <f>tblSalesData[[#This Row],[Total Units 
to Date]]*tblSalesData[[#This Row],[Sell Price]]</f>
        <v>347915.68</v>
      </c>
      <c r="V253" s="3"/>
    </row>
    <row r="254" spans="1:22" x14ac:dyDescent="0.25">
      <c r="A254" s="4">
        <v>1029</v>
      </c>
      <c r="B254" s="9" t="s">
        <v>148</v>
      </c>
      <c r="C254" s="4" t="s">
        <v>26</v>
      </c>
      <c r="D254" s="4" t="s">
        <v>28</v>
      </c>
      <c r="E254" s="4" t="s">
        <v>19</v>
      </c>
      <c r="F254" s="10">
        <v>0</v>
      </c>
      <c r="G254" s="10">
        <v>0</v>
      </c>
      <c r="H254" s="10">
        <v>79945</v>
      </c>
      <c r="I254" s="10">
        <v>15647</v>
      </c>
      <c r="J254" s="10">
        <v>66705</v>
      </c>
      <c r="K254" s="10">
        <v>42157</v>
      </c>
      <c r="L254" s="10">
        <v>69162</v>
      </c>
      <c r="M254" s="10">
        <v>88104</v>
      </c>
      <c r="N254" s="10">
        <v>90289</v>
      </c>
      <c r="O254" s="10">
        <v>84541</v>
      </c>
      <c r="P254" s="4">
        <v>2396</v>
      </c>
      <c r="Q254" s="4">
        <v>32140</v>
      </c>
      <c r="R254" s="10">
        <v>76673</v>
      </c>
      <c r="S254" s="24">
        <f>SUM(tblSalesData[[#This Row],[FY 2000]:[FY 2012]])</f>
        <v>647759</v>
      </c>
      <c r="T254" s="11">
        <v>3.99</v>
      </c>
      <c r="U254" s="12">
        <f>tblSalesData[[#This Row],[Total Units 
to Date]]*tblSalesData[[#This Row],[Sell Price]]</f>
        <v>2584558.41</v>
      </c>
      <c r="V254" s="3"/>
    </row>
    <row r="255" spans="1:22" x14ac:dyDescent="0.25">
      <c r="A255" s="4">
        <v>1029</v>
      </c>
      <c r="B255" s="9" t="s">
        <v>152</v>
      </c>
      <c r="C255" s="4" t="s">
        <v>26</v>
      </c>
      <c r="D255" s="4" t="s">
        <v>28</v>
      </c>
      <c r="E255" s="4" t="s">
        <v>18</v>
      </c>
      <c r="F255" s="10">
        <v>0</v>
      </c>
      <c r="G255" s="10">
        <v>0</v>
      </c>
      <c r="H255" s="10">
        <v>39700</v>
      </c>
      <c r="I255" s="10">
        <v>55875</v>
      </c>
      <c r="J255" s="10">
        <v>55169</v>
      </c>
      <c r="K255" s="10">
        <v>33705</v>
      </c>
      <c r="L255" s="10">
        <v>66210</v>
      </c>
      <c r="M255" s="10">
        <v>17406</v>
      </c>
      <c r="N255" s="10">
        <v>88602</v>
      </c>
      <c r="O255" s="10">
        <v>87707</v>
      </c>
      <c r="P255" s="4">
        <v>27006</v>
      </c>
      <c r="Q255" s="4">
        <v>56513</v>
      </c>
      <c r="R255" s="10">
        <v>55155</v>
      </c>
      <c r="S255" s="24">
        <f>SUM(tblSalesData[[#This Row],[FY 2000]:[FY 2012]])</f>
        <v>583048</v>
      </c>
      <c r="T255" s="11">
        <v>0.99</v>
      </c>
      <c r="U255" s="12">
        <f>tblSalesData[[#This Row],[Total Units 
to Date]]*tblSalesData[[#This Row],[Sell Price]]</f>
        <v>577217.52</v>
      </c>
      <c r="V255" s="3"/>
    </row>
    <row r="256" spans="1:22" x14ac:dyDescent="0.25">
      <c r="A256" s="4">
        <v>1033</v>
      </c>
      <c r="B256" s="9" t="s">
        <v>166</v>
      </c>
      <c r="C256" s="4" t="s">
        <v>26</v>
      </c>
      <c r="D256" s="4" t="s">
        <v>28</v>
      </c>
      <c r="E256" s="4" t="s">
        <v>16</v>
      </c>
      <c r="F256" s="10">
        <v>0</v>
      </c>
      <c r="G256" s="10">
        <v>0</v>
      </c>
      <c r="H256" s="10">
        <v>0</v>
      </c>
      <c r="I256" s="10">
        <v>4689</v>
      </c>
      <c r="J256" s="10">
        <v>5574</v>
      </c>
      <c r="K256" s="10">
        <v>9926</v>
      </c>
      <c r="L256" s="10">
        <v>14173</v>
      </c>
      <c r="M256" s="10">
        <v>16302</v>
      </c>
      <c r="N256" s="10">
        <v>19609</v>
      </c>
      <c r="O256" s="10">
        <v>29950</v>
      </c>
      <c r="P256" s="4">
        <v>37525</v>
      </c>
      <c r="Q256" s="4">
        <v>59263</v>
      </c>
      <c r="R256" s="10">
        <v>71167</v>
      </c>
      <c r="S256" s="24">
        <f>SUM(tblSalesData[[#This Row],[FY 2000]:[FY 2012]])</f>
        <v>268178</v>
      </c>
      <c r="T256" s="11">
        <v>1.49</v>
      </c>
      <c r="U256" s="12">
        <f>tblSalesData[[#This Row],[Total Units 
to Date]]*tblSalesData[[#This Row],[Sell Price]]</f>
        <v>399585.22</v>
      </c>
      <c r="V256" s="3"/>
    </row>
    <row r="257" spans="1:22" x14ac:dyDescent="0.25">
      <c r="A257" s="4">
        <v>1033</v>
      </c>
      <c r="B257" s="9" t="s">
        <v>171</v>
      </c>
      <c r="C257" s="4" t="s">
        <v>26</v>
      </c>
      <c r="D257" s="4" t="s">
        <v>28</v>
      </c>
      <c r="E257" s="4" t="s">
        <v>19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9021</v>
      </c>
      <c r="L257" s="10">
        <v>13148</v>
      </c>
      <c r="M257" s="10">
        <v>15187</v>
      </c>
      <c r="N257" s="10">
        <v>18205</v>
      </c>
      <c r="O257" s="10">
        <v>26326</v>
      </c>
      <c r="P257" s="4">
        <v>36762</v>
      </c>
      <c r="Q257" s="4">
        <v>66209</v>
      </c>
      <c r="R257" s="10">
        <v>60325</v>
      </c>
      <c r="S257" s="24">
        <f>SUM(tblSalesData[[#This Row],[FY 2000]:[FY 2012]])</f>
        <v>245183</v>
      </c>
      <c r="T257" s="11">
        <v>3.99</v>
      </c>
      <c r="U257" s="12">
        <f>tblSalesData[[#This Row],[Total Units 
to Date]]*tblSalesData[[#This Row],[Sell Price]]</f>
        <v>978280.17</v>
      </c>
      <c r="V257" s="3"/>
    </row>
    <row r="258" spans="1:22" x14ac:dyDescent="0.25">
      <c r="A258" s="4">
        <v>1033</v>
      </c>
      <c r="B258" s="9" t="s">
        <v>173</v>
      </c>
      <c r="C258" s="4" t="s">
        <v>26</v>
      </c>
      <c r="D258" s="4" t="s">
        <v>28</v>
      </c>
      <c r="E258" s="4" t="s">
        <v>18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10062</v>
      </c>
      <c r="M258" s="10">
        <v>15425</v>
      </c>
      <c r="N258" s="10">
        <v>17304</v>
      </c>
      <c r="O258" s="10">
        <v>25440</v>
      </c>
      <c r="P258" s="4">
        <v>37480</v>
      </c>
      <c r="Q258" s="4">
        <v>60833</v>
      </c>
      <c r="R258" s="10">
        <v>69629</v>
      </c>
      <c r="S258" s="24">
        <f>SUM(tblSalesData[[#This Row],[FY 2000]:[FY 2012]])</f>
        <v>236173</v>
      </c>
      <c r="T258" s="11">
        <v>0.99</v>
      </c>
      <c r="U258" s="12">
        <f>tblSalesData[[#This Row],[Total Units 
to Date]]*tblSalesData[[#This Row],[Sell Price]]</f>
        <v>233811.27</v>
      </c>
      <c r="V258" s="3"/>
    </row>
    <row r="259" spans="1:22" x14ac:dyDescent="0.25">
      <c r="A259" s="4">
        <v>1033</v>
      </c>
      <c r="B259" s="9" t="s">
        <v>174</v>
      </c>
      <c r="C259" s="4" t="s">
        <v>26</v>
      </c>
      <c r="D259" s="4" t="s">
        <v>28</v>
      </c>
      <c r="E259" s="4" t="s">
        <v>16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12492</v>
      </c>
      <c r="M259" s="10">
        <v>15818</v>
      </c>
      <c r="N259" s="10">
        <v>17484</v>
      </c>
      <c r="O259" s="10">
        <v>29841</v>
      </c>
      <c r="P259" s="4">
        <v>40700</v>
      </c>
      <c r="Q259" s="4">
        <v>56286</v>
      </c>
      <c r="R259" s="10">
        <v>60912</v>
      </c>
      <c r="S259" s="24">
        <f>SUM(tblSalesData[[#This Row],[FY 2000]:[FY 2012]])</f>
        <v>233533</v>
      </c>
      <c r="T259" s="11">
        <v>1.49</v>
      </c>
      <c r="U259" s="12">
        <f>tblSalesData[[#This Row],[Total Units 
to Date]]*tblSalesData[[#This Row],[Sell Price]]</f>
        <v>347964.17</v>
      </c>
      <c r="V259" s="3"/>
    </row>
    <row r="260" spans="1:22" x14ac:dyDescent="0.25">
      <c r="A260" s="4">
        <v>1033</v>
      </c>
      <c r="B260" s="9" t="s">
        <v>179</v>
      </c>
      <c r="C260" s="4" t="s">
        <v>26</v>
      </c>
      <c r="D260" s="4" t="s">
        <v>28</v>
      </c>
      <c r="E260" s="4" t="s">
        <v>16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18398</v>
      </c>
      <c r="O260" s="10">
        <v>28403</v>
      </c>
      <c r="P260" s="4">
        <v>43804</v>
      </c>
      <c r="Q260" s="4">
        <v>51534</v>
      </c>
      <c r="R260" s="10">
        <v>70316</v>
      </c>
      <c r="S260" s="24">
        <f>SUM(tblSalesData[[#This Row],[FY 2000]:[FY 2012]])</f>
        <v>212455</v>
      </c>
      <c r="T260" s="11">
        <v>1.49</v>
      </c>
      <c r="U260" s="12">
        <f>tblSalesData[[#This Row],[Total Units 
to Date]]*tblSalesData[[#This Row],[Sell Price]]</f>
        <v>316557.95</v>
      </c>
      <c r="V260" s="3"/>
    </row>
    <row r="261" spans="1:22" x14ac:dyDescent="0.25">
      <c r="A261" s="4">
        <v>1033</v>
      </c>
      <c r="B261" s="9" t="s">
        <v>179</v>
      </c>
      <c r="C261" s="4" t="s">
        <v>26</v>
      </c>
      <c r="D261" s="4" t="s">
        <v>28</v>
      </c>
      <c r="E261" s="4" t="s">
        <v>18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15404</v>
      </c>
      <c r="N261" s="10">
        <v>19588</v>
      </c>
      <c r="O261" s="10">
        <v>26779</v>
      </c>
      <c r="P261" s="4">
        <v>41409</v>
      </c>
      <c r="Q261" s="4">
        <v>64098</v>
      </c>
      <c r="R261" s="10">
        <v>69657</v>
      </c>
      <c r="S261" s="24">
        <f>SUM(tblSalesData[[#This Row],[FY 2000]:[FY 2012]])</f>
        <v>236935</v>
      </c>
      <c r="T261" s="11">
        <v>0.99</v>
      </c>
      <c r="U261" s="12">
        <f>tblSalesData[[#This Row],[Total Units 
to Date]]*tblSalesData[[#This Row],[Sell Price]]</f>
        <v>234565.65</v>
      </c>
      <c r="V261" s="3"/>
    </row>
    <row r="262" spans="1:22" x14ac:dyDescent="0.25">
      <c r="A262" s="4">
        <v>1033</v>
      </c>
      <c r="B262" s="9" t="s">
        <v>179</v>
      </c>
      <c r="C262" s="4" t="s">
        <v>26</v>
      </c>
      <c r="D262" s="4" t="s">
        <v>28</v>
      </c>
      <c r="E262" s="4" t="s">
        <v>17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16117</v>
      </c>
      <c r="N262" s="10">
        <v>17432</v>
      </c>
      <c r="O262" s="10">
        <v>27953</v>
      </c>
      <c r="P262" s="4">
        <v>38243</v>
      </c>
      <c r="Q262" s="4">
        <v>65757</v>
      </c>
      <c r="R262" s="10">
        <v>67076</v>
      </c>
      <c r="S262" s="24">
        <f>SUM(tblSalesData[[#This Row],[FY 2000]:[FY 2012]])</f>
        <v>232578</v>
      </c>
      <c r="T262" s="11">
        <v>1.99</v>
      </c>
      <c r="U262" s="12">
        <f>tblSalesData[[#This Row],[Total Units 
to Date]]*tblSalesData[[#This Row],[Sell Price]]</f>
        <v>462830.22</v>
      </c>
      <c r="V262" s="3"/>
    </row>
    <row r="263" spans="1:22" x14ac:dyDescent="0.25">
      <c r="A263" s="4">
        <v>1033</v>
      </c>
      <c r="B263" s="9" t="s">
        <v>181</v>
      </c>
      <c r="C263" s="4" t="s">
        <v>26</v>
      </c>
      <c r="D263" s="4" t="s">
        <v>28</v>
      </c>
      <c r="E263" s="4" t="s">
        <v>19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18970</v>
      </c>
      <c r="O263" s="10">
        <v>27041</v>
      </c>
      <c r="P263" s="4">
        <v>43604</v>
      </c>
      <c r="Q263" s="4">
        <v>51218</v>
      </c>
      <c r="R263" s="10">
        <v>68416</v>
      </c>
      <c r="S263" s="24">
        <f>SUM(tblSalesData[[#This Row],[FY 2000]:[FY 2012]])</f>
        <v>209249</v>
      </c>
      <c r="T263" s="11">
        <v>3.99</v>
      </c>
      <c r="U263" s="12">
        <f>tblSalesData[[#This Row],[Total Units 
to Date]]*tblSalesData[[#This Row],[Sell Price]]</f>
        <v>834903.51</v>
      </c>
      <c r="V263" s="3"/>
    </row>
    <row r="264" spans="1:22" x14ac:dyDescent="0.25">
      <c r="A264" s="4">
        <v>1033</v>
      </c>
      <c r="B264" s="9" t="s">
        <v>186</v>
      </c>
      <c r="C264" s="4" t="s">
        <v>26</v>
      </c>
      <c r="D264" s="4" t="s">
        <v>28</v>
      </c>
      <c r="E264" s="4" t="s">
        <v>16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4">
        <v>35847</v>
      </c>
      <c r="Q264" s="4">
        <v>53032</v>
      </c>
      <c r="R264" s="10">
        <v>65920</v>
      </c>
      <c r="S264" s="24">
        <f>SUM(tblSalesData[[#This Row],[FY 2000]:[FY 2012]])</f>
        <v>154799</v>
      </c>
      <c r="T264" s="11">
        <v>1.49</v>
      </c>
      <c r="U264" s="12">
        <f>tblSalesData[[#This Row],[Total Units 
to Date]]*tblSalesData[[#This Row],[Sell Price]]</f>
        <v>230650.51</v>
      </c>
      <c r="V264" s="3"/>
    </row>
    <row r="265" spans="1:22" x14ac:dyDescent="0.25">
      <c r="A265" s="4">
        <v>1033</v>
      </c>
      <c r="B265" s="9" t="s">
        <v>186</v>
      </c>
      <c r="C265" s="4" t="s">
        <v>26</v>
      </c>
      <c r="D265" s="4" t="s">
        <v>28</v>
      </c>
      <c r="E265" s="4" t="s">
        <v>18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4">
        <v>36256</v>
      </c>
      <c r="Q265" s="4">
        <v>57192</v>
      </c>
      <c r="R265" s="10">
        <v>60963</v>
      </c>
      <c r="S265" s="24">
        <f>SUM(tblSalesData[[#This Row],[FY 2000]:[FY 2012]])</f>
        <v>154411</v>
      </c>
      <c r="T265" s="11">
        <v>0.99</v>
      </c>
      <c r="U265" s="12">
        <f>tblSalesData[[#This Row],[Total Units 
to Date]]*tblSalesData[[#This Row],[Sell Price]]</f>
        <v>152866.88999999998</v>
      </c>
      <c r="V265" s="3"/>
    </row>
    <row r="266" spans="1:22" x14ac:dyDescent="0.25">
      <c r="A266" s="4">
        <v>1034</v>
      </c>
      <c r="B266" s="9" t="s">
        <v>194</v>
      </c>
      <c r="C266" s="4" t="s">
        <v>26</v>
      </c>
      <c r="D266" s="4" t="s">
        <v>28</v>
      </c>
      <c r="E266" s="4" t="s">
        <v>16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4">
        <v>23826</v>
      </c>
      <c r="Q266" s="4">
        <v>31638</v>
      </c>
      <c r="R266" s="10">
        <v>40105</v>
      </c>
      <c r="S266" s="24">
        <f>SUM(tblSalesData[[#This Row],[FY 2000]:[FY 2012]])</f>
        <v>95569</v>
      </c>
      <c r="T266" s="11">
        <v>1.49</v>
      </c>
      <c r="U266" s="12">
        <f>tblSalesData[[#This Row],[Total Units 
to Date]]*tblSalesData[[#This Row],[Sell Price]]</f>
        <v>142397.81</v>
      </c>
      <c r="V266" s="3"/>
    </row>
    <row r="267" spans="1:22" x14ac:dyDescent="0.25">
      <c r="A267" s="4">
        <v>1037</v>
      </c>
      <c r="B267" s="9" t="s">
        <v>209</v>
      </c>
      <c r="C267" s="4" t="s">
        <v>26</v>
      </c>
      <c r="D267" s="4" t="s">
        <v>28</v>
      </c>
      <c r="E267" s="4" t="s">
        <v>17</v>
      </c>
      <c r="F267" s="10">
        <v>93794</v>
      </c>
      <c r="G267" s="10">
        <v>802</v>
      </c>
      <c r="H267" s="10">
        <v>3281</v>
      </c>
      <c r="I267" s="10">
        <v>5898</v>
      </c>
      <c r="J267" s="10">
        <v>13175</v>
      </c>
      <c r="K267" s="10">
        <v>16631</v>
      </c>
      <c r="L267" s="10">
        <v>34620</v>
      </c>
      <c r="M267" s="10">
        <v>41977</v>
      </c>
      <c r="N267" s="10">
        <v>54695</v>
      </c>
      <c r="O267" s="10">
        <v>94555</v>
      </c>
      <c r="P267" s="4">
        <v>245086</v>
      </c>
      <c r="Q267" s="4">
        <v>316199</v>
      </c>
      <c r="R267" s="10">
        <v>545318</v>
      </c>
      <c r="S267" s="24">
        <f>SUM(tblSalesData[[#This Row],[FY 2000]:[FY 2012]])</f>
        <v>1466031</v>
      </c>
      <c r="T267" s="11">
        <v>1.99</v>
      </c>
      <c r="U267" s="12">
        <f>tblSalesData[[#This Row],[Total Units 
to Date]]*tblSalesData[[#This Row],[Sell Price]]</f>
        <v>2917401.69</v>
      </c>
      <c r="V267" s="3"/>
    </row>
    <row r="268" spans="1:22" x14ac:dyDescent="0.25">
      <c r="A268" s="4">
        <v>1038</v>
      </c>
      <c r="B268" s="9" t="s">
        <v>211</v>
      </c>
      <c r="C268" s="4" t="s">
        <v>26</v>
      </c>
      <c r="D268" s="4" t="s">
        <v>28</v>
      </c>
      <c r="E268" s="4" t="s">
        <v>16</v>
      </c>
      <c r="F268" s="10">
        <v>0</v>
      </c>
      <c r="G268" s="10">
        <v>0</v>
      </c>
      <c r="H268" s="10">
        <v>124782</v>
      </c>
      <c r="I268" s="10">
        <v>133052</v>
      </c>
      <c r="J268" s="10">
        <v>136403</v>
      </c>
      <c r="K268" s="10">
        <v>170642</v>
      </c>
      <c r="L268" s="10">
        <v>213068</v>
      </c>
      <c r="M268" s="10">
        <v>292711</v>
      </c>
      <c r="N268" s="10">
        <v>301985</v>
      </c>
      <c r="O268" s="10">
        <v>550810</v>
      </c>
      <c r="P268" s="4">
        <v>765172</v>
      </c>
      <c r="Q268" s="4">
        <v>1119838</v>
      </c>
      <c r="R268" s="10">
        <v>1974488</v>
      </c>
      <c r="S268" s="24">
        <f>SUM(tblSalesData[[#This Row],[FY 2000]:[FY 2012]])</f>
        <v>5782951</v>
      </c>
      <c r="T268" s="11">
        <v>1.49</v>
      </c>
      <c r="U268" s="12">
        <f>tblSalesData[[#This Row],[Total Units 
to Date]]*tblSalesData[[#This Row],[Sell Price]]</f>
        <v>8616596.9900000002</v>
      </c>
      <c r="V268" s="3"/>
    </row>
    <row r="269" spans="1:22" x14ac:dyDescent="0.25">
      <c r="A269" s="4">
        <v>1042</v>
      </c>
      <c r="B269" s="9" t="s">
        <v>247</v>
      </c>
      <c r="C269" s="4" t="s">
        <v>26</v>
      </c>
      <c r="D269" s="4" t="s">
        <v>28</v>
      </c>
      <c r="E269" s="4" t="s">
        <v>16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415</v>
      </c>
      <c r="O269" s="10">
        <v>552</v>
      </c>
      <c r="P269" s="4">
        <v>958</v>
      </c>
      <c r="Q269" s="4">
        <v>1272</v>
      </c>
      <c r="R269" s="10">
        <v>1544</v>
      </c>
      <c r="S269" s="24">
        <f>SUM(tblSalesData[[#This Row],[FY 2000]:[FY 2012]])</f>
        <v>4741</v>
      </c>
      <c r="T269" s="11">
        <v>1.49</v>
      </c>
      <c r="U269" s="12">
        <f>tblSalesData[[#This Row],[Total Units 
to Date]]*tblSalesData[[#This Row],[Sell Price]]</f>
        <v>7064.09</v>
      </c>
      <c r="V269" s="3"/>
    </row>
    <row r="270" spans="1:22" x14ac:dyDescent="0.25">
      <c r="A270" s="4">
        <v>1042</v>
      </c>
      <c r="B270" s="9" t="s">
        <v>248</v>
      </c>
      <c r="C270" s="4" t="s">
        <v>26</v>
      </c>
      <c r="D270" s="4" t="s">
        <v>28</v>
      </c>
      <c r="E270" s="4" t="s">
        <v>18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547</v>
      </c>
      <c r="P270" s="4">
        <v>935</v>
      </c>
      <c r="Q270" s="4">
        <v>1240</v>
      </c>
      <c r="R270" s="10">
        <v>1672</v>
      </c>
      <c r="S270" s="24">
        <f>SUM(tblSalesData[[#This Row],[FY 2000]:[FY 2012]])</f>
        <v>4394</v>
      </c>
      <c r="T270" s="11">
        <v>0.99</v>
      </c>
      <c r="U270" s="12">
        <f>tblSalesData[[#This Row],[Total Units 
to Date]]*tblSalesData[[#This Row],[Sell Price]]</f>
        <v>4350.0600000000004</v>
      </c>
      <c r="V270" s="3"/>
    </row>
    <row r="271" spans="1:22" x14ac:dyDescent="0.25">
      <c r="A271" s="4">
        <v>1042</v>
      </c>
      <c r="B271" s="9" t="s">
        <v>251</v>
      </c>
      <c r="C271" s="4" t="s">
        <v>26</v>
      </c>
      <c r="D271" s="4" t="s">
        <v>28</v>
      </c>
      <c r="E271" s="4" t="s">
        <v>17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735</v>
      </c>
      <c r="P271" s="4">
        <v>851</v>
      </c>
      <c r="Q271" s="4">
        <v>1265</v>
      </c>
      <c r="R271" s="10">
        <v>1574</v>
      </c>
      <c r="S271" s="24">
        <f>SUM(tblSalesData[[#This Row],[FY 2000]:[FY 2012]])</f>
        <v>4425</v>
      </c>
      <c r="T271" s="11">
        <v>1.99</v>
      </c>
      <c r="U271" s="12">
        <f>tblSalesData[[#This Row],[Total Units 
to Date]]*tblSalesData[[#This Row],[Sell Price]]</f>
        <v>8805.75</v>
      </c>
      <c r="V271" s="3"/>
    </row>
    <row r="272" spans="1:22" x14ac:dyDescent="0.25">
      <c r="A272" s="4">
        <v>1048</v>
      </c>
      <c r="B272" s="9" t="s">
        <v>262</v>
      </c>
      <c r="C272" s="4" t="s">
        <v>26</v>
      </c>
      <c r="D272" s="4" t="s">
        <v>28</v>
      </c>
      <c r="E272" s="4" t="s">
        <v>19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83569</v>
      </c>
      <c r="N272" s="10">
        <v>37132</v>
      </c>
      <c r="O272" s="10">
        <v>39085</v>
      </c>
      <c r="P272" s="4">
        <v>10991</v>
      </c>
      <c r="Q272" s="4">
        <v>102229</v>
      </c>
      <c r="R272" s="10">
        <v>52834</v>
      </c>
      <c r="S272" s="24">
        <f>SUM(tblSalesData[[#This Row],[FY 2000]:[FY 2012]])</f>
        <v>325840</v>
      </c>
      <c r="T272" s="11">
        <v>3.99</v>
      </c>
      <c r="U272" s="12">
        <f>tblSalesData[[#This Row],[Total Units 
to Date]]*tblSalesData[[#This Row],[Sell Price]]</f>
        <v>1300101.6000000001</v>
      </c>
      <c r="V272" s="3"/>
    </row>
    <row r="273" spans="1:22" x14ac:dyDescent="0.25">
      <c r="A273" s="4">
        <v>1048</v>
      </c>
      <c r="B273" s="9" t="s">
        <v>264</v>
      </c>
      <c r="C273" s="4" t="s">
        <v>26</v>
      </c>
      <c r="D273" s="4" t="s">
        <v>28</v>
      </c>
      <c r="E273" s="4" t="s">
        <v>19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33226</v>
      </c>
      <c r="P273" s="4">
        <v>3677</v>
      </c>
      <c r="Q273" s="4">
        <v>100915</v>
      </c>
      <c r="R273" s="10">
        <v>83414</v>
      </c>
      <c r="S273" s="24">
        <f>SUM(tblSalesData[[#This Row],[FY 2000]:[FY 2012]])</f>
        <v>221232</v>
      </c>
      <c r="T273" s="11">
        <v>3.99</v>
      </c>
      <c r="U273" s="12">
        <f>tblSalesData[[#This Row],[Total Units 
to Date]]*tblSalesData[[#This Row],[Sell Price]]</f>
        <v>882715.68</v>
      </c>
      <c r="V273" s="3"/>
    </row>
    <row r="274" spans="1:22" x14ac:dyDescent="0.25">
      <c r="A274" s="4">
        <v>1048</v>
      </c>
      <c r="B274" s="9" t="s">
        <v>265</v>
      </c>
      <c r="C274" s="4" t="s">
        <v>26</v>
      </c>
      <c r="D274" s="4" t="s">
        <v>28</v>
      </c>
      <c r="E274" s="4" t="s">
        <v>18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4">
        <v>6441</v>
      </c>
      <c r="Q274" s="4">
        <v>45404</v>
      </c>
      <c r="R274" s="10">
        <v>70616</v>
      </c>
      <c r="S274" s="24">
        <f>SUM(tblSalesData[[#This Row],[FY 2000]:[FY 2012]])</f>
        <v>122461</v>
      </c>
      <c r="T274" s="11">
        <v>0.99</v>
      </c>
      <c r="U274" s="12">
        <f>tblSalesData[[#This Row],[Total Units 
to Date]]*tblSalesData[[#This Row],[Sell Price]]</f>
        <v>121236.39</v>
      </c>
      <c r="V274" s="3"/>
    </row>
    <row r="275" spans="1:22" x14ac:dyDescent="0.25">
      <c r="A275" s="4">
        <v>1055</v>
      </c>
      <c r="B275" s="9" t="s">
        <v>274</v>
      </c>
      <c r="C275" s="4" t="s">
        <v>26</v>
      </c>
      <c r="D275" s="4" t="s">
        <v>28</v>
      </c>
      <c r="E275" s="4" t="s">
        <v>16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31993</v>
      </c>
      <c r="N275" s="10">
        <v>6817</v>
      </c>
      <c r="O275" s="10">
        <v>62842</v>
      </c>
      <c r="P275" s="4">
        <v>107905</v>
      </c>
      <c r="Q275" s="4">
        <v>88608</v>
      </c>
      <c r="R275" s="10">
        <v>66213</v>
      </c>
      <c r="S275" s="24">
        <f>SUM(tblSalesData[[#This Row],[FY 2000]:[FY 2012]])</f>
        <v>364378</v>
      </c>
      <c r="T275" s="11">
        <v>1.49</v>
      </c>
      <c r="U275" s="12">
        <f>tblSalesData[[#This Row],[Total Units 
to Date]]*tblSalesData[[#This Row],[Sell Price]]</f>
        <v>542923.22</v>
      </c>
      <c r="V275" s="3"/>
    </row>
    <row r="276" spans="1:22" x14ac:dyDescent="0.25">
      <c r="A276" s="4">
        <v>1055</v>
      </c>
      <c r="B276" s="9" t="s">
        <v>274</v>
      </c>
      <c r="C276" s="4" t="s">
        <v>26</v>
      </c>
      <c r="D276" s="4" t="s">
        <v>28</v>
      </c>
      <c r="E276" s="4" t="s">
        <v>18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4250</v>
      </c>
      <c r="N276" s="10">
        <v>26423</v>
      </c>
      <c r="O276" s="10">
        <v>97958</v>
      </c>
      <c r="P276" s="4">
        <v>9684</v>
      </c>
      <c r="Q276" s="4">
        <v>11175</v>
      </c>
      <c r="R276" s="10">
        <v>74430</v>
      </c>
      <c r="S276" s="24">
        <f>SUM(tblSalesData[[#This Row],[FY 2000]:[FY 2012]])</f>
        <v>223920</v>
      </c>
      <c r="T276" s="11">
        <v>0.99</v>
      </c>
      <c r="U276" s="12">
        <f>tblSalesData[[#This Row],[Total Units 
to Date]]*tblSalesData[[#This Row],[Sell Price]]</f>
        <v>221680.8</v>
      </c>
      <c r="V276" s="3"/>
    </row>
    <row r="277" spans="1:22" x14ac:dyDescent="0.25">
      <c r="A277" s="4">
        <v>1056</v>
      </c>
      <c r="B277" s="9" t="s">
        <v>283</v>
      </c>
      <c r="C277" s="4" t="s">
        <v>26</v>
      </c>
      <c r="D277" s="4" t="s">
        <v>28</v>
      </c>
      <c r="E277" s="4" t="s">
        <v>19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4">
        <v>41651</v>
      </c>
      <c r="Q277" s="4">
        <v>1232</v>
      </c>
      <c r="R277" s="10">
        <v>82445</v>
      </c>
      <c r="S277" s="24">
        <f>SUM(tblSalesData[[#This Row],[FY 2000]:[FY 2012]])</f>
        <v>125328</v>
      </c>
      <c r="T277" s="11">
        <v>3.99</v>
      </c>
      <c r="U277" s="12">
        <f>tblSalesData[[#This Row],[Total Units 
to Date]]*tblSalesData[[#This Row],[Sell Price]]</f>
        <v>500058.72000000003</v>
      </c>
      <c r="V277" s="3"/>
    </row>
    <row r="278" spans="1:22" x14ac:dyDescent="0.25">
      <c r="A278" s="4">
        <v>1056</v>
      </c>
      <c r="B278" s="9" t="s">
        <v>290</v>
      </c>
      <c r="C278" s="4" t="s">
        <v>26</v>
      </c>
      <c r="D278" s="4" t="s">
        <v>28</v>
      </c>
      <c r="E278" s="4" t="s">
        <v>18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4">
        <v>83108</v>
      </c>
      <c r="Q278" s="4">
        <v>70935</v>
      </c>
      <c r="R278" s="10">
        <v>21992</v>
      </c>
      <c r="S278" s="24">
        <f>SUM(tblSalesData[[#This Row],[FY 2000]:[FY 2012]])</f>
        <v>176035</v>
      </c>
      <c r="T278" s="11">
        <v>0.99</v>
      </c>
      <c r="U278" s="12">
        <f>tblSalesData[[#This Row],[Total Units 
to Date]]*tblSalesData[[#This Row],[Sell Price]]</f>
        <v>174274.65</v>
      </c>
      <c r="V278" s="3"/>
    </row>
    <row r="279" spans="1:22" x14ac:dyDescent="0.25">
      <c r="A279" s="4">
        <v>1056</v>
      </c>
      <c r="B279" s="9" t="s">
        <v>292</v>
      </c>
      <c r="C279" s="4" t="s">
        <v>26</v>
      </c>
      <c r="D279" s="4" t="s">
        <v>28</v>
      </c>
      <c r="E279" s="4" t="s">
        <v>19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4">
        <v>48513</v>
      </c>
      <c r="Q279" s="4">
        <v>82197</v>
      </c>
      <c r="R279" s="10">
        <v>3608</v>
      </c>
      <c r="S279" s="24">
        <f>SUM(tblSalesData[[#This Row],[FY 2000]:[FY 2012]])</f>
        <v>134318</v>
      </c>
      <c r="T279" s="11">
        <v>3.99</v>
      </c>
      <c r="U279" s="12">
        <f>tblSalesData[[#This Row],[Total Units 
to Date]]*tblSalesData[[#This Row],[Sell Price]]</f>
        <v>535928.82000000007</v>
      </c>
      <c r="V279" s="3"/>
    </row>
    <row r="280" spans="1:22" x14ac:dyDescent="0.25">
      <c r="A280" s="4">
        <v>1057</v>
      </c>
      <c r="B280" s="9" t="s">
        <v>297</v>
      </c>
      <c r="C280" s="4" t="s">
        <v>26</v>
      </c>
      <c r="D280" s="4" t="s">
        <v>28</v>
      </c>
      <c r="E280" s="4" t="s">
        <v>16</v>
      </c>
      <c r="F280" s="10">
        <v>15632</v>
      </c>
      <c r="G280" s="10">
        <v>16785</v>
      </c>
      <c r="H280" s="10">
        <v>17845</v>
      </c>
      <c r="I280" s="10">
        <v>19865</v>
      </c>
      <c r="J280" s="10">
        <v>20134</v>
      </c>
      <c r="K280" s="10">
        <v>22709</v>
      </c>
      <c r="L280" s="10">
        <v>24670</v>
      </c>
      <c r="M280" s="10">
        <v>25797</v>
      </c>
      <c r="N280" s="10">
        <v>26190</v>
      </c>
      <c r="O280" s="10">
        <v>28833</v>
      </c>
      <c r="P280" s="4">
        <v>29803</v>
      </c>
      <c r="Q280" s="4">
        <v>30147</v>
      </c>
      <c r="R280" s="10">
        <v>31246</v>
      </c>
      <c r="S280" s="24">
        <f>SUM(tblSalesData[[#This Row],[FY 2000]:[FY 2012]])</f>
        <v>309656</v>
      </c>
      <c r="T280" s="11">
        <v>1.49</v>
      </c>
      <c r="U280" s="12">
        <f>tblSalesData[[#This Row],[Total Units 
to Date]]*tblSalesData[[#This Row],[Sell Price]]</f>
        <v>461387.44</v>
      </c>
      <c r="V280" s="3"/>
    </row>
    <row r="281" spans="1:22" x14ac:dyDescent="0.25">
      <c r="A281" s="4">
        <v>1057</v>
      </c>
      <c r="B281" s="9" t="s">
        <v>299</v>
      </c>
      <c r="C281" s="4" t="s">
        <v>26</v>
      </c>
      <c r="D281" s="4" t="s">
        <v>28</v>
      </c>
      <c r="E281" s="4" t="s">
        <v>16</v>
      </c>
      <c r="F281" s="10">
        <v>2764</v>
      </c>
      <c r="G281" s="10">
        <v>47732</v>
      </c>
      <c r="H281" s="10">
        <v>38941</v>
      </c>
      <c r="I281" s="10">
        <v>8431</v>
      </c>
      <c r="J281" s="10">
        <v>23137</v>
      </c>
      <c r="K281" s="10">
        <v>51158</v>
      </c>
      <c r="L281" s="10">
        <v>88513</v>
      </c>
      <c r="M281" s="10">
        <v>33002</v>
      </c>
      <c r="N281" s="10">
        <v>39235</v>
      </c>
      <c r="O281" s="10">
        <v>12453</v>
      </c>
      <c r="P281" s="4">
        <v>37770</v>
      </c>
      <c r="Q281" s="4">
        <v>69546</v>
      </c>
      <c r="R281" s="10">
        <v>91587</v>
      </c>
      <c r="S281" s="24">
        <f>SUM(tblSalesData[[#This Row],[FY 2000]:[FY 2012]])</f>
        <v>544269</v>
      </c>
      <c r="T281" s="11">
        <v>1.49</v>
      </c>
      <c r="U281" s="12">
        <f>tblSalesData[[#This Row],[Total Units 
to Date]]*tblSalesData[[#This Row],[Sell Price]]</f>
        <v>810960.80999999994</v>
      </c>
      <c r="V281" s="3"/>
    </row>
    <row r="282" spans="1:22" x14ac:dyDescent="0.25">
      <c r="A282" s="4">
        <v>1057</v>
      </c>
      <c r="B282" s="9" t="s">
        <v>301</v>
      </c>
      <c r="C282" s="4" t="s">
        <v>26</v>
      </c>
      <c r="D282" s="4" t="s">
        <v>28</v>
      </c>
      <c r="E282" s="4" t="s">
        <v>18</v>
      </c>
      <c r="F282" s="10">
        <v>53896</v>
      </c>
      <c r="G282" s="10">
        <v>79436</v>
      </c>
      <c r="H282" s="10">
        <v>57726</v>
      </c>
      <c r="I282" s="10">
        <v>17394</v>
      </c>
      <c r="J282" s="10">
        <v>47222</v>
      </c>
      <c r="K282" s="10">
        <v>6494</v>
      </c>
      <c r="L282" s="10">
        <v>76910</v>
      </c>
      <c r="M282" s="10">
        <v>46946</v>
      </c>
      <c r="N282" s="10">
        <v>1453</v>
      </c>
      <c r="O282" s="10">
        <v>3007</v>
      </c>
      <c r="P282" s="4">
        <v>32971</v>
      </c>
      <c r="Q282" s="4">
        <v>89708</v>
      </c>
      <c r="R282" s="10">
        <v>33980</v>
      </c>
      <c r="S282" s="24">
        <f>SUM(tblSalesData[[#This Row],[FY 2000]:[FY 2012]])</f>
        <v>547143</v>
      </c>
      <c r="T282" s="11">
        <v>0.99</v>
      </c>
      <c r="U282" s="12">
        <f>tblSalesData[[#This Row],[Total Units 
to Date]]*tblSalesData[[#This Row],[Sell Price]]</f>
        <v>541671.56999999995</v>
      </c>
      <c r="V282" s="3"/>
    </row>
    <row r="283" spans="1:22" x14ac:dyDescent="0.25">
      <c r="A283" s="4">
        <v>1057</v>
      </c>
      <c r="B283" s="9" t="s">
        <v>316</v>
      </c>
      <c r="C283" s="4" t="s">
        <v>26</v>
      </c>
      <c r="D283" s="4" t="s">
        <v>28</v>
      </c>
      <c r="E283" s="4" t="s">
        <v>17</v>
      </c>
      <c r="F283" s="10">
        <v>0</v>
      </c>
      <c r="G283" s="10">
        <v>29695</v>
      </c>
      <c r="H283" s="10">
        <v>22492</v>
      </c>
      <c r="I283" s="10">
        <v>16166</v>
      </c>
      <c r="J283" s="10">
        <v>46644</v>
      </c>
      <c r="K283" s="10">
        <v>43629</v>
      </c>
      <c r="L283" s="10">
        <v>19299</v>
      </c>
      <c r="M283" s="10">
        <v>94652</v>
      </c>
      <c r="N283" s="10">
        <v>30304</v>
      </c>
      <c r="O283" s="10">
        <v>15559</v>
      </c>
      <c r="P283" s="4">
        <v>101478</v>
      </c>
      <c r="Q283" s="4">
        <v>36104</v>
      </c>
      <c r="R283" s="10">
        <v>92747</v>
      </c>
      <c r="S283" s="24">
        <f>SUM(tblSalesData[[#This Row],[FY 2000]:[FY 2012]])</f>
        <v>548769</v>
      </c>
      <c r="T283" s="11">
        <v>1.99</v>
      </c>
      <c r="U283" s="12">
        <f>tblSalesData[[#This Row],[Total Units 
to Date]]*tblSalesData[[#This Row],[Sell Price]]</f>
        <v>1092050.31</v>
      </c>
      <c r="V283" s="3"/>
    </row>
    <row r="284" spans="1:22" x14ac:dyDescent="0.25">
      <c r="A284" s="4">
        <v>1066</v>
      </c>
      <c r="B284" s="9" t="s">
        <v>360</v>
      </c>
      <c r="C284" s="4" t="s">
        <v>26</v>
      </c>
      <c r="D284" s="4" t="s">
        <v>28</v>
      </c>
      <c r="E284" s="4" t="s">
        <v>19</v>
      </c>
      <c r="F284" s="10">
        <v>0</v>
      </c>
      <c r="G284" s="10">
        <v>0</v>
      </c>
      <c r="H284" s="10">
        <v>76387</v>
      </c>
      <c r="I284" s="10">
        <v>26339</v>
      </c>
      <c r="J284" s="10">
        <v>91243</v>
      </c>
      <c r="K284" s="10">
        <v>17250</v>
      </c>
      <c r="L284" s="10">
        <v>47768</v>
      </c>
      <c r="M284" s="10">
        <v>10761</v>
      </c>
      <c r="N284" s="10">
        <v>49649</v>
      </c>
      <c r="O284" s="10">
        <v>89925</v>
      </c>
      <c r="P284" s="4">
        <v>97100</v>
      </c>
      <c r="Q284" s="4">
        <v>54189</v>
      </c>
      <c r="R284" s="10">
        <v>20898</v>
      </c>
      <c r="S284" s="24">
        <f>SUM(tblSalesData[[#This Row],[FY 2000]:[FY 2012]])</f>
        <v>581509</v>
      </c>
      <c r="T284" s="11">
        <v>3.99</v>
      </c>
      <c r="U284" s="12">
        <f>tblSalesData[[#This Row],[Total Units 
to Date]]*tblSalesData[[#This Row],[Sell Price]]</f>
        <v>2320220.91</v>
      </c>
      <c r="V284" s="3"/>
    </row>
    <row r="285" spans="1:22" x14ac:dyDescent="0.25">
      <c r="A285" s="4">
        <v>1067</v>
      </c>
      <c r="B285" s="9" t="s">
        <v>367</v>
      </c>
      <c r="C285" s="4" t="s">
        <v>26</v>
      </c>
      <c r="D285" s="4" t="s">
        <v>28</v>
      </c>
      <c r="E285" s="4" t="s">
        <v>17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4">
        <v>0</v>
      </c>
      <c r="Q285" s="4">
        <v>0</v>
      </c>
      <c r="R285" s="10">
        <v>933101</v>
      </c>
      <c r="S285" s="24">
        <f>SUM(tblSalesData[[#This Row],[FY 2000]:[FY 2012]])</f>
        <v>933101</v>
      </c>
      <c r="T285" s="11">
        <v>1.99</v>
      </c>
      <c r="U285" s="12">
        <f>tblSalesData[[#This Row],[Total Units 
to Date]]*tblSalesData[[#This Row],[Sell Price]]</f>
        <v>1856870.99</v>
      </c>
      <c r="V285" s="3"/>
    </row>
    <row r="286" spans="1:22" x14ac:dyDescent="0.25">
      <c r="A286" s="4">
        <v>1067</v>
      </c>
      <c r="B286" s="9" t="s">
        <v>379</v>
      </c>
      <c r="C286" s="4" t="s">
        <v>26</v>
      </c>
      <c r="D286" s="4" t="s">
        <v>28</v>
      </c>
      <c r="E286" s="4" t="s">
        <v>19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4">
        <v>0</v>
      </c>
      <c r="Q286" s="4">
        <v>0</v>
      </c>
      <c r="R286" s="10">
        <v>1897792</v>
      </c>
      <c r="S286" s="24">
        <f>SUM(tblSalesData[[#This Row],[FY 2000]:[FY 2012]])</f>
        <v>1897792</v>
      </c>
      <c r="T286" s="11">
        <v>3.99</v>
      </c>
      <c r="U286" s="12">
        <f>tblSalesData[[#This Row],[Total Units 
to Date]]*tblSalesData[[#This Row],[Sell Price]]</f>
        <v>7572190.0800000001</v>
      </c>
      <c r="V286" s="3"/>
    </row>
    <row r="287" spans="1:22" x14ac:dyDescent="0.25">
      <c r="A287" s="4">
        <v>1008</v>
      </c>
      <c r="B287" s="9" t="s">
        <v>74</v>
      </c>
      <c r="C287" s="4" t="s">
        <v>13</v>
      </c>
      <c r="D287" s="4" t="s">
        <v>28</v>
      </c>
      <c r="E287" s="4" t="s">
        <v>18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4">
        <v>0</v>
      </c>
      <c r="Q287" s="4">
        <v>0</v>
      </c>
      <c r="R287" s="10">
        <v>15312</v>
      </c>
      <c r="S287" s="24">
        <f>SUM(tblSalesData[[#This Row],[FY 2000]:[FY 2012]])</f>
        <v>15312</v>
      </c>
      <c r="T287" s="11">
        <v>0.99</v>
      </c>
      <c r="U287" s="12">
        <f>tblSalesData[[#This Row],[Total Units 
to Date]]*tblSalesData[[#This Row],[Sell Price]]</f>
        <v>15158.88</v>
      </c>
      <c r="V287" s="3"/>
    </row>
    <row r="288" spans="1:22" x14ac:dyDescent="0.25">
      <c r="A288" s="4">
        <v>1011</v>
      </c>
      <c r="B288" s="9" t="s">
        <v>82</v>
      </c>
      <c r="C288" s="4" t="s">
        <v>13</v>
      </c>
      <c r="D288" s="4" t="s">
        <v>28</v>
      </c>
      <c r="E288" s="4" t="s">
        <v>18</v>
      </c>
      <c r="F288" s="10">
        <v>0</v>
      </c>
      <c r="G288" s="10">
        <v>181</v>
      </c>
      <c r="H288" s="10">
        <v>814</v>
      </c>
      <c r="I288" s="10">
        <v>994</v>
      </c>
      <c r="J288" s="10">
        <v>1041</v>
      </c>
      <c r="K288" s="10">
        <v>1776</v>
      </c>
      <c r="L288" s="10">
        <v>1517</v>
      </c>
      <c r="M288" s="10">
        <v>1962</v>
      </c>
      <c r="N288" s="10">
        <v>1982</v>
      </c>
      <c r="O288" s="10">
        <v>1994</v>
      </c>
      <c r="P288" s="4">
        <v>2007</v>
      </c>
      <c r="Q288" s="4">
        <v>3037</v>
      </c>
      <c r="R288" s="10">
        <v>3831</v>
      </c>
      <c r="S288" s="24">
        <f>SUM(tblSalesData[[#This Row],[FY 2000]:[FY 2012]])</f>
        <v>21136</v>
      </c>
      <c r="T288" s="11">
        <v>0.99</v>
      </c>
      <c r="U288" s="12">
        <f>tblSalesData[[#This Row],[Total Units 
to Date]]*tblSalesData[[#This Row],[Sell Price]]</f>
        <v>20924.64</v>
      </c>
      <c r="V288" s="3"/>
    </row>
    <row r="289" spans="1:22" x14ac:dyDescent="0.25">
      <c r="A289" s="4">
        <v>1015</v>
      </c>
      <c r="B289" s="9" t="s">
        <v>119</v>
      </c>
      <c r="C289" s="4" t="s">
        <v>13</v>
      </c>
      <c r="D289" s="4" t="s">
        <v>28</v>
      </c>
      <c r="E289" s="4" t="s">
        <v>18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4">
        <v>204</v>
      </c>
      <c r="Q289" s="4">
        <v>200</v>
      </c>
      <c r="R289" s="10">
        <v>29</v>
      </c>
      <c r="S289" s="24">
        <f>SUM(tblSalesData[[#This Row],[FY 2000]:[FY 2012]])</f>
        <v>433</v>
      </c>
      <c r="T289" s="11">
        <v>0.99</v>
      </c>
      <c r="U289" s="12">
        <f>tblSalesData[[#This Row],[Total Units 
to Date]]*tblSalesData[[#This Row],[Sell Price]]</f>
        <v>428.67</v>
      </c>
      <c r="V289" s="3"/>
    </row>
    <row r="290" spans="1:22" x14ac:dyDescent="0.25">
      <c r="A290" s="4">
        <v>1032</v>
      </c>
      <c r="B290" s="9" t="s">
        <v>159</v>
      </c>
      <c r="C290" s="4" t="s">
        <v>13</v>
      </c>
      <c r="D290" s="4" t="s">
        <v>28</v>
      </c>
      <c r="E290" s="4" t="s">
        <v>18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80719</v>
      </c>
      <c r="M290" s="10">
        <v>45080</v>
      </c>
      <c r="N290" s="10">
        <v>18957</v>
      </c>
      <c r="O290" s="10">
        <v>13365</v>
      </c>
      <c r="P290" s="4">
        <v>2484</v>
      </c>
      <c r="Q290" s="4">
        <v>113817</v>
      </c>
      <c r="R290" s="10">
        <v>39643</v>
      </c>
      <c r="S290" s="24">
        <f>SUM(tblSalesData[[#This Row],[FY 2000]:[FY 2012]])</f>
        <v>314065</v>
      </c>
      <c r="T290" s="11">
        <v>0.99</v>
      </c>
      <c r="U290" s="12">
        <f>tblSalesData[[#This Row],[Total Units 
to Date]]*tblSalesData[[#This Row],[Sell Price]]</f>
        <v>310924.34999999998</v>
      </c>
      <c r="V290" s="3"/>
    </row>
    <row r="291" spans="1:22" x14ac:dyDescent="0.25">
      <c r="A291" s="4">
        <v>1032</v>
      </c>
      <c r="B291" s="9" t="s">
        <v>160</v>
      </c>
      <c r="C291" s="4" t="s">
        <v>13</v>
      </c>
      <c r="D291" s="4" t="s">
        <v>28</v>
      </c>
      <c r="E291" s="4" t="s">
        <v>18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91743</v>
      </c>
      <c r="M291" s="10">
        <v>71807</v>
      </c>
      <c r="N291" s="10">
        <v>10844</v>
      </c>
      <c r="O291" s="10">
        <v>63295</v>
      </c>
      <c r="P291" s="4">
        <v>103279</v>
      </c>
      <c r="Q291" s="4">
        <v>36000</v>
      </c>
      <c r="R291" s="10">
        <v>92427</v>
      </c>
      <c r="S291" s="24">
        <f>SUM(tblSalesData[[#This Row],[FY 2000]:[FY 2012]])</f>
        <v>469395</v>
      </c>
      <c r="T291" s="11">
        <v>0.99</v>
      </c>
      <c r="U291" s="12">
        <f>tblSalesData[[#This Row],[Total Units 
to Date]]*tblSalesData[[#This Row],[Sell Price]]</f>
        <v>464701.05</v>
      </c>
      <c r="V291" s="3"/>
    </row>
    <row r="292" spans="1:22" x14ac:dyDescent="0.25">
      <c r="A292" s="4">
        <v>1037</v>
      </c>
      <c r="B292" s="9" t="s">
        <v>199</v>
      </c>
      <c r="C292" s="4" t="s">
        <v>13</v>
      </c>
      <c r="D292" s="4" t="s">
        <v>28</v>
      </c>
      <c r="E292" s="4" t="s">
        <v>18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6062</v>
      </c>
      <c r="N292" s="10">
        <v>13091</v>
      </c>
      <c r="O292" s="10">
        <v>17547</v>
      </c>
      <c r="P292" s="4">
        <v>34585</v>
      </c>
      <c r="Q292" s="4">
        <v>49021</v>
      </c>
      <c r="R292" s="10">
        <v>83921</v>
      </c>
      <c r="S292" s="24">
        <f>SUM(tblSalesData[[#This Row],[FY 2000]:[FY 2012]])</f>
        <v>204227</v>
      </c>
      <c r="T292" s="11">
        <v>0.99</v>
      </c>
      <c r="U292" s="12">
        <f>tblSalesData[[#This Row],[Total Units 
to Date]]*tblSalesData[[#This Row],[Sell Price]]</f>
        <v>202184.73</v>
      </c>
      <c r="V292" s="3"/>
    </row>
    <row r="293" spans="1:22" x14ac:dyDescent="0.25">
      <c r="A293" s="4">
        <v>1038</v>
      </c>
      <c r="B293" s="9" t="s">
        <v>225</v>
      </c>
      <c r="C293" s="4" t="s">
        <v>13</v>
      </c>
      <c r="D293" s="4" t="s">
        <v>28</v>
      </c>
      <c r="E293" s="4" t="s">
        <v>18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168251</v>
      </c>
      <c r="L293" s="10">
        <v>204334</v>
      </c>
      <c r="M293" s="10">
        <v>282078</v>
      </c>
      <c r="N293" s="10">
        <v>361071</v>
      </c>
      <c r="O293" s="10">
        <v>501941</v>
      </c>
      <c r="P293" s="4">
        <v>691466</v>
      </c>
      <c r="Q293" s="4">
        <v>1004096</v>
      </c>
      <c r="R293" s="10">
        <v>1370185</v>
      </c>
      <c r="S293" s="24">
        <f>SUM(tblSalesData[[#This Row],[FY 2000]:[FY 2012]])</f>
        <v>4583422</v>
      </c>
      <c r="T293" s="11">
        <v>0.99</v>
      </c>
      <c r="U293" s="12">
        <f>tblSalesData[[#This Row],[Total Units 
to Date]]*tblSalesData[[#This Row],[Sell Price]]</f>
        <v>4537587.78</v>
      </c>
      <c r="V293" s="3"/>
    </row>
    <row r="294" spans="1:22" x14ac:dyDescent="0.25">
      <c r="A294" s="4">
        <v>1038</v>
      </c>
      <c r="B294" s="9" t="s">
        <v>231</v>
      </c>
      <c r="C294" s="4" t="s">
        <v>13</v>
      </c>
      <c r="D294" s="4" t="s">
        <v>28</v>
      </c>
      <c r="E294" s="4" t="s">
        <v>18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313437</v>
      </c>
      <c r="O294" s="10">
        <v>513413</v>
      </c>
      <c r="P294" s="4">
        <v>782846</v>
      </c>
      <c r="Q294" s="4">
        <v>1117757</v>
      </c>
      <c r="R294" s="10">
        <v>1427822</v>
      </c>
      <c r="S294" s="24">
        <f>SUM(tblSalesData[[#This Row],[FY 2000]:[FY 2012]])</f>
        <v>4155275</v>
      </c>
      <c r="T294" s="11">
        <v>0.99</v>
      </c>
      <c r="U294" s="12">
        <f>tblSalesData[[#This Row],[Total Units 
to Date]]*tblSalesData[[#This Row],[Sell Price]]</f>
        <v>4113722.25</v>
      </c>
      <c r="V294" s="3"/>
    </row>
    <row r="295" spans="1:22" x14ac:dyDescent="0.25">
      <c r="A295" s="4">
        <v>1056</v>
      </c>
      <c r="B295" s="9" t="s">
        <v>289</v>
      </c>
      <c r="C295" s="4" t="s">
        <v>13</v>
      </c>
      <c r="D295" s="4" t="s">
        <v>28</v>
      </c>
      <c r="E295" s="4" t="s">
        <v>18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4">
        <v>106398</v>
      </c>
      <c r="Q295" s="4">
        <v>112855</v>
      </c>
      <c r="R295" s="10">
        <v>41092</v>
      </c>
      <c r="S295" s="24">
        <f>SUM(tblSalesData[[#This Row],[FY 2000]:[FY 2012]])</f>
        <v>260345</v>
      </c>
      <c r="T295" s="11">
        <v>0.99</v>
      </c>
      <c r="U295" s="12">
        <f>tblSalesData[[#This Row],[Total Units 
to Date]]*tblSalesData[[#This Row],[Sell Price]]</f>
        <v>257741.55</v>
      </c>
      <c r="V295" s="3"/>
    </row>
    <row r="296" spans="1:22" x14ac:dyDescent="0.25">
      <c r="A296" s="4">
        <v>1006</v>
      </c>
      <c r="B296" s="9" t="s">
        <v>64</v>
      </c>
      <c r="C296" s="4" t="s">
        <v>13</v>
      </c>
      <c r="D296" s="4" t="s">
        <v>28</v>
      </c>
      <c r="E296" s="4" t="s">
        <v>16</v>
      </c>
      <c r="F296" s="10">
        <v>47</v>
      </c>
      <c r="G296" s="10">
        <v>275</v>
      </c>
      <c r="H296" s="10">
        <v>1025</v>
      </c>
      <c r="I296" s="10">
        <v>1430</v>
      </c>
      <c r="J296" s="10">
        <v>2836</v>
      </c>
      <c r="K296" s="10">
        <v>3821</v>
      </c>
      <c r="L296" s="10">
        <v>1686</v>
      </c>
      <c r="M296" s="10">
        <v>5498</v>
      </c>
      <c r="N296" s="10">
        <v>2071</v>
      </c>
      <c r="O296" s="10">
        <v>3754</v>
      </c>
      <c r="P296" s="4">
        <v>2494</v>
      </c>
      <c r="Q296" s="4">
        <v>9088</v>
      </c>
      <c r="R296" s="10">
        <v>8775</v>
      </c>
      <c r="S296" s="24">
        <f>SUM(tblSalesData[[#This Row],[FY 2000]:[FY 2012]])</f>
        <v>42800</v>
      </c>
      <c r="T296" s="11">
        <v>1.49</v>
      </c>
      <c r="U296" s="12">
        <f>tblSalesData[[#This Row],[Total Units 
to Date]]*tblSalesData[[#This Row],[Sell Price]]</f>
        <v>63772</v>
      </c>
      <c r="V296" s="3"/>
    </row>
    <row r="297" spans="1:22" x14ac:dyDescent="0.25">
      <c r="A297" s="4">
        <v>1008</v>
      </c>
      <c r="B297" s="9" t="s">
        <v>71</v>
      </c>
      <c r="C297" s="4" t="s">
        <v>13</v>
      </c>
      <c r="D297" s="4" t="s">
        <v>28</v>
      </c>
      <c r="E297" s="4" t="s">
        <v>19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4">
        <v>0</v>
      </c>
      <c r="Q297" s="4">
        <v>20161</v>
      </c>
      <c r="R297" s="10">
        <v>13370</v>
      </c>
      <c r="S297" s="24">
        <f>SUM(tblSalesData[[#This Row],[FY 2000]:[FY 2012]])</f>
        <v>33531</v>
      </c>
      <c r="T297" s="11">
        <v>3.99</v>
      </c>
      <c r="U297" s="12">
        <f>tblSalesData[[#This Row],[Total Units 
to Date]]*tblSalesData[[#This Row],[Sell Price]]</f>
        <v>133788.69</v>
      </c>
      <c r="V297" s="3"/>
    </row>
    <row r="298" spans="1:22" x14ac:dyDescent="0.25">
      <c r="A298" s="4">
        <v>1062</v>
      </c>
      <c r="B298" s="9" t="s">
        <v>321</v>
      </c>
      <c r="C298" s="4" t="s">
        <v>13</v>
      </c>
      <c r="D298" s="4" t="s">
        <v>28</v>
      </c>
      <c r="E298" s="4" t="s">
        <v>18</v>
      </c>
      <c r="F298" s="10">
        <v>0</v>
      </c>
      <c r="G298" s="10">
        <v>0</v>
      </c>
      <c r="H298" s="10">
        <v>0</v>
      </c>
      <c r="I298" s="10">
        <v>0</v>
      </c>
      <c r="J298" s="10">
        <v>42371</v>
      </c>
      <c r="K298" s="10">
        <v>63608</v>
      </c>
      <c r="L298" s="10">
        <v>13222</v>
      </c>
      <c r="M298" s="10">
        <v>91219</v>
      </c>
      <c r="N298" s="10">
        <v>61028</v>
      </c>
      <c r="O298" s="10">
        <v>36826</v>
      </c>
      <c r="P298" s="4">
        <v>24216</v>
      </c>
      <c r="Q298" s="4">
        <v>29772</v>
      </c>
      <c r="R298" s="10">
        <v>97344</v>
      </c>
      <c r="S298" s="24">
        <f>SUM(tblSalesData[[#This Row],[FY 2000]:[FY 2012]])</f>
        <v>459606</v>
      </c>
      <c r="T298" s="11">
        <v>0.99</v>
      </c>
      <c r="U298" s="12">
        <f>tblSalesData[[#This Row],[Total Units 
to Date]]*tblSalesData[[#This Row],[Sell Price]]</f>
        <v>455009.94</v>
      </c>
      <c r="V298" s="3"/>
    </row>
    <row r="299" spans="1:22" x14ac:dyDescent="0.25">
      <c r="A299" s="4">
        <v>1011</v>
      </c>
      <c r="B299" s="9" t="s">
        <v>77</v>
      </c>
      <c r="C299" s="4" t="s">
        <v>13</v>
      </c>
      <c r="D299" s="4" t="s">
        <v>28</v>
      </c>
      <c r="E299" s="4" t="s">
        <v>19</v>
      </c>
      <c r="F299" s="10">
        <v>0</v>
      </c>
      <c r="G299" s="10">
        <v>186</v>
      </c>
      <c r="H299" s="10">
        <v>993</v>
      </c>
      <c r="I299" s="10">
        <v>1120</v>
      </c>
      <c r="J299" s="10">
        <v>1617</v>
      </c>
      <c r="K299" s="10">
        <v>1511</v>
      </c>
      <c r="L299" s="10">
        <v>1781</v>
      </c>
      <c r="M299" s="10">
        <v>2207</v>
      </c>
      <c r="N299" s="10">
        <v>2409</v>
      </c>
      <c r="O299" s="10">
        <v>2407</v>
      </c>
      <c r="P299" s="4">
        <v>1948</v>
      </c>
      <c r="Q299" s="4">
        <v>2855</v>
      </c>
      <c r="R299" s="10">
        <v>4473</v>
      </c>
      <c r="S299" s="24">
        <f>SUM(tblSalesData[[#This Row],[FY 2000]:[FY 2012]])</f>
        <v>23507</v>
      </c>
      <c r="T299" s="11">
        <v>3.99</v>
      </c>
      <c r="U299" s="12">
        <f>tblSalesData[[#This Row],[Total Units 
to Date]]*tblSalesData[[#This Row],[Sell Price]]</f>
        <v>93792.930000000008</v>
      </c>
      <c r="V299" s="3"/>
    </row>
    <row r="300" spans="1:22" x14ac:dyDescent="0.25">
      <c r="A300" s="4">
        <v>1011</v>
      </c>
      <c r="B300" s="9" t="s">
        <v>80</v>
      </c>
      <c r="C300" s="4" t="s">
        <v>13</v>
      </c>
      <c r="D300" s="4" t="s">
        <v>28</v>
      </c>
      <c r="E300" s="4" t="s">
        <v>19</v>
      </c>
      <c r="F300" s="10">
        <v>0</v>
      </c>
      <c r="G300" s="10">
        <v>441</v>
      </c>
      <c r="H300" s="10">
        <v>536</v>
      </c>
      <c r="I300" s="10">
        <v>1418</v>
      </c>
      <c r="J300" s="10">
        <v>1194</v>
      </c>
      <c r="K300" s="10">
        <v>1317</v>
      </c>
      <c r="L300" s="10">
        <v>2024</v>
      </c>
      <c r="M300" s="10">
        <v>1640</v>
      </c>
      <c r="N300" s="10">
        <v>1659</v>
      </c>
      <c r="O300" s="10">
        <v>1729</v>
      </c>
      <c r="P300" s="4">
        <v>2247</v>
      </c>
      <c r="Q300" s="4">
        <v>3184</v>
      </c>
      <c r="R300" s="10">
        <v>3837</v>
      </c>
      <c r="S300" s="24">
        <f>SUM(tblSalesData[[#This Row],[FY 2000]:[FY 2012]])</f>
        <v>21226</v>
      </c>
      <c r="T300" s="11">
        <v>3.99</v>
      </c>
      <c r="U300" s="12">
        <f>tblSalesData[[#This Row],[Total Units 
to Date]]*tblSalesData[[#This Row],[Sell Price]]</f>
        <v>84691.74</v>
      </c>
      <c r="V300" s="3"/>
    </row>
    <row r="301" spans="1:22" x14ac:dyDescent="0.25">
      <c r="A301" s="4">
        <v>1066</v>
      </c>
      <c r="B301" s="9" t="s">
        <v>354</v>
      </c>
      <c r="C301" s="4" t="s">
        <v>13</v>
      </c>
      <c r="D301" s="4" t="s">
        <v>28</v>
      </c>
      <c r="E301" s="4" t="s">
        <v>18</v>
      </c>
      <c r="F301" s="10">
        <v>0</v>
      </c>
      <c r="G301" s="10">
        <v>0</v>
      </c>
      <c r="H301" s="10">
        <v>52763</v>
      </c>
      <c r="I301" s="10">
        <v>25158</v>
      </c>
      <c r="J301" s="10">
        <v>72281</v>
      </c>
      <c r="K301" s="10">
        <v>35933</v>
      </c>
      <c r="L301" s="10">
        <v>28682</v>
      </c>
      <c r="M301" s="10">
        <v>37902</v>
      </c>
      <c r="N301" s="10">
        <v>23895</v>
      </c>
      <c r="O301" s="10">
        <v>9742</v>
      </c>
      <c r="P301" s="4">
        <v>75848</v>
      </c>
      <c r="Q301" s="4">
        <v>114809</v>
      </c>
      <c r="R301" s="10">
        <v>4172</v>
      </c>
      <c r="S301" s="24">
        <f>SUM(tblSalesData[[#This Row],[FY 2000]:[FY 2012]])</f>
        <v>481185</v>
      </c>
      <c r="T301" s="11">
        <v>0.99</v>
      </c>
      <c r="U301" s="12">
        <f>tblSalesData[[#This Row],[Total Units 
to Date]]*tblSalesData[[#This Row],[Sell Price]]</f>
        <v>476373.15</v>
      </c>
      <c r="V301" s="3"/>
    </row>
    <row r="302" spans="1:22" x14ac:dyDescent="0.25">
      <c r="A302" s="4">
        <v>1011</v>
      </c>
      <c r="B302" s="9" t="s">
        <v>83</v>
      </c>
      <c r="C302" s="4" t="s">
        <v>13</v>
      </c>
      <c r="D302" s="4" t="s">
        <v>28</v>
      </c>
      <c r="E302" s="4" t="s">
        <v>19</v>
      </c>
      <c r="F302" s="10">
        <v>0</v>
      </c>
      <c r="G302" s="10">
        <v>25</v>
      </c>
      <c r="H302" s="10">
        <v>757</v>
      </c>
      <c r="I302" s="10">
        <v>850</v>
      </c>
      <c r="J302" s="10">
        <v>1549</v>
      </c>
      <c r="K302" s="10">
        <v>1914</v>
      </c>
      <c r="L302" s="10">
        <v>1510</v>
      </c>
      <c r="M302" s="10">
        <v>1514</v>
      </c>
      <c r="N302" s="10">
        <v>1709</v>
      </c>
      <c r="O302" s="10">
        <v>2510</v>
      </c>
      <c r="P302" s="4">
        <v>2163</v>
      </c>
      <c r="Q302" s="4">
        <v>2566</v>
      </c>
      <c r="R302" s="10">
        <v>2535</v>
      </c>
      <c r="S302" s="24">
        <f>SUM(tblSalesData[[#This Row],[FY 2000]:[FY 2012]])</f>
        <v>19602</v>
      </c>
      <c r="T302" s="11">
        <v>3.99</v>
      </c>
      <c r="U302" s="12">
        <f>tblSalesData[[#This Row],[Total Units 
to Date]]*tblSalesData[[#This Row],[Sell Price]]</f>
        <v>78211.98000000001</v>
      </c>
      <c r="V302" s="3"/>
    </row>
    <row r="303" spans="1:22" x14ac:dyDescent="0.25">
      <c r="A303" s="4">
        <v>1013</v>
      </c>
      <c r="B303" s="9" t="s">
        <v>101</v>
      </c>
      <c r="C303" s="4" t="s">
        <v>13</v>
      </c>
      <c r="D303" s="4" t="s">
        <v>28</v>
      </c>
      <c r="E303" s="4" t="s">
        <v>16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30269</v>
      </c>
      <c r="M303" s="10">
        <v>37098</v>
      </c>
      <c r="N303" s="10">
        <v>39151</v>
      </c>
      <c r="O303" s="10">
        <v>46470</v>
      </c>
      <c r="P303" s="4">
        <v>54900</v>
      </c>
      <c r="Q303" s="4">
        <v>63012</v>
      </c>
      <c r="R303" s="10">
        <v>63954</v>
      </c>
      <c r="S303" s="24">
        <f>SUM(tblSalesData[[#This Row],[FY 2000]:[FY 2012]])</f>
        <v>334854</v>
      </c>
      <c r="T303" s="11">
        <v>1.49</v>
      </c>
      <c r="U303" s="12">
        <f>tblSalesData[[#This Row],[Total Units 
to Date]]*tblSalesData[[#This Row],[Sell Price]]</f>
        <v>498932.46</v>
      </c>
      <c r="V303" s="3"/>
    </row>
    <row r="304" spans="1:22" x14ac:dyDescent="0.25">
      <c r="A304" s="4">
        <v>1013</v>
      </c>
      <c r="B304" s="9" t="s">
        <v>102</v>
      </c>
      <c r="C304" s="4" t="s">
        <v>13</v>
      </c>
      <c r="D304" s="4" t="s">
        <v>28</v>
      </c>
      <c r="E304" s="4" t="s">
        <v>16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30875</v>
      </c>
      <c r="M304" s="10">
        <v>36665</v>
      </c>
      <c r="N304" s="10">
        <v>37782</v>
      </c>
      <c r="O304" s="10">
        <v>45232</v>
      </c>
      <c r="P304" s="4">
        <v>55271</v>
      </c>
      <c r="Q304" s="4">
        <v>59196</v>
      </c>
      <c r="R304" s="10">
        <v>61066</v>
      </c>
      <c r="S304" s="24">
        <f>SUM(tblSalesData[[#This Row],[FY 2000]:[FY 2012]])</f>
        <v>326087</v>
      </c>
      <c r="T304" s="11">
        <v>1.49</v>
      </c>
      <c r="U304" s="12">
        <f>tblSalesData[[#This Row],[Total Units 
to Date]]*tblSalesData[[#This Row],[Sell Price]]</f>
        <v>485869.63</v>
      </c>
      <c r="V304" s="3"/>
    </row>
    <row r="305" spans="1:22" x14ac:dyDescent="0.25">
      <c r="A305" s="4">
        <v>1013</v>
      </c>
      <c r="B305" s="9" t="s">
        <v>105</v>
      </c>
      <c r="C305" s="4" t="s">
        <v>13</v>
      </c>
      <c r="D305" s="4" t="s">
        <v>28</v>
      </c>
      <c r="E305" s="4" t="s">
        <v>17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35553</v>
      </c>
      <c r="N305" s="10">
        <v>41846</v>
      </c>
      <c r="O305" s="10">
        <v>45943</v>
      </c>
      <c r="P305" s="4">
        <v>54163</v>
      </c>
      <c r="Q305" s="4">
        <v>60088</v>
      </c>
      <c r="R305" s="10">
        <v>62228</v>
      </c>
      <c r="S305" s="24">
        <f>SUM(tblSalesData[[#This Row],[FY 2000]:[FY 2012]])</f>
        <v>299821</v>
      </c>
      <c r="T305" s="11">
        <v>1.99</v>
      </c>
      <c r="U305" s="12">
        <f>tblSalesData[[#This Row],[Total Units 
to Date]]*tblSalesData[[#This Row],[Sell Price]]</f>
        <v>596643.79</v>
      </c>
      <c r="V305" s="3"/>
    </row>
    <row r="306" spans="1:22" x14ac:dyDescent="0.25">
      <c r="A306" s="4">
        <v>1013</v>
      </c>
      <c r="B306" s="9" t="s">
        <v>113</v>
      </c>
      <c r="C306" s="4" t="s">
        <v>13</v>
      </c>
      <c r="D306" s="4" t="s">
        <v>28</v>
      </c>
      <c r="E306" s="4" t="s">
        <v>16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46673</v>
      </c>
      <c r="P306" s="4">
        <v>53025</v>
      </c>
      <c r="Q306" s="4">
        <v>60132</v>
      </c>
      <c r="R306" s="10">
        <v>60312</v>
      </c>
      <c r="S306" s="24">
        <f>SUM(tblSalesData[[#This Row],[FY 2000]:[FY 2012]])</f>
        <v>220142</v>
      </c>
      <c r="T306" s="11">
        <v>1.49</v>
      </c>
      <c r="U306" s="12">
        <f>tblSalesData[[#This Row],[Total Units 
to Date]]*tblSalesData[[#This Row],[Sell Price]]</f>
        <v>328011.58</v>
      </c>
      <c r="V306" s="3"/>
    </row>
    <row r="307" spans="1:22" x14ac:dyDescent="0.25">
      <c r="A307" s="4">
        <v>1005</v>
      </c>
      <c r="B307" s="9" t="s">
        <v>60</v>
      </c>
      <c r="C307" s="4" t="s">
        <v>14</v>
      </c>
      <c r="D307" s="4" t="s">
        <v>28</v>
      </c>
      <c r="E307" s="4" t="s">
        <v>18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4">
        <v>0</v>
      </c>
      <c r="Q307" s="4">
        <v>54</v>
      </c>
      <c r="R307" s="10">
        <v>7303</v>
      </c>
      <c r="S307" s="24">
        <f>SUM(tblSalesData[[#This Row],[FY 2000]:[FY 2012]])</f>
        <v>7357</v>
      </c>
      <c r="T307" s="11">
        <v>0.99</v>
      </c>
      <c r="U307" s="12">
        <f>tblSalesData[[#This Row],[Total Units 
to Date]]*tblSalesData[[#This Row],[Sell Price]]</f>
        <v>7283.43</v>
      </c>
      <c r="V307" s="3"/>
    </row>
    <row r="308" spans="1:22" x14ac:dyDescent="0.25">
      <c r="A308" s="4">
        <v>1015</v>
      </c>
      <c r="B308" s="9" t="s">
        <v>119</v>
      </c>
      <c r="C308" s="4" t="s">
        <v>13</v>
      </c>
      <c r="D308" s="4" t="s">
        <v>28</v>
      </c>
      <c r="E308" s="4" t="s">
        <v>19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4">
        <v>96</v>
      </c>
      <c r="Q308" s="4">
        <v>62</v>
      </c>
      <c r="R308" s="10">
        <v>42</v>
      </c>
      <c r="S308" s="24">
        <f>SUM(tblSalesData[[#This Row],[FY 2000]:[FY 2012]])</f>
        <v>200</v>
      </c>
      <c r="T308" s="11">
        <v>3.99</v>
      </c>
      <c r="U308" s="12">
        <f>tblSalesData[[#This Row],[Total Units 
to Date]]*tblSalesData[[#This Row],[Sell Price]]</f>
        <v>798</v>
      </c>
      <c r="V308" s="3"/>
    </row>
    <row r="309" spans="1:22" x14ac:dyDescent="0.25">
      <c r="A309" s="4">
        <v>1017</v>
      </c>
      <c r="B309" s="9" t="s">
        <v>146</v>
      </c>
      <c r="C309" s="4" t="s">
        <v>13</v>
      </c>
      <c r="D309" s="4" t="s">
        <v>28</v>
      </c>
      <c r="E309" s="4" t="s">
        <v>16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4">
        <v>0</v>
      </c>
      <c r="Q309" s="4">
        <v>75200</v>
      </c>
      <c r="R309" s="10">
        <v>77111</v>
      </c>
      <c r="S309" s="24">
        <f>SUM(tblSalesData[[#This Row],[FY 2000]:[FY 2012]])</f>
        <v>152311</v>
      </c>
      <c r="T309" s="11">
        <v>1.49</v>
      </c>
      <c r="U309" s="12">
        <f>tblSalesData[[#This Row],[Total Units 
to Date]]*tblSalesData[[#This Row],[Sell Price]]</f>
        <v>226943.38999999998</v>
      </c>
      <c r="V309" s="3"/>
    </row>
    <row r="310" spans="1:22" x14ac:dyDescent="0.25">
      <c r="A310" s="4">
        <v>1029</v>
      </c>
      <c r="B310" s="9" t="s">
        <v>150</v>
      </c>
      <c r="C310" s="4" t="s">
        <v>13</v>
      </c>
      <c r="D310" s="4" t="s">
        <v>28</v>
      </c>
      <c r="E310" s="4" t="s">
        <v>16</v>
      </c>
      <c r="F310" s="10">
        <v>0</v>
      </c>
      <c r="G310" s="10">
        <v>0</v>
      </c>
      <c r="H310" s="10">
        <v>26879</v>
      </c>
      <c r="I310" s="10">
        <v>27698</v>
      </c>
      <c r="J310" s="10">
        <v>32822</v>
      </c>
      <c r="K310" s="10">
        <v>38924</v>
      </c>
      <c r="L310" s="10">
        <v>77141</v>
      </c>
      <c r="M310" s="10">
        <v>78069</v>
      </c>
      <c r="N310" s="10">
        <v>20159</v>
      </c>
      <c r="O310" s="10">
        <v>87667</v>
      </c>
      <c r="P310" s="4">
        <v>10058</v>
      </c>
      <c r="Q310" s="4">
        <v>92022</v>
      </c>
      <c r="R310" s="10">
        <v>97171</v>
      </c>
      <c r="S310" s="24">
        <f>SUM(tblSalesData[[#This Row],[FY 2000]:[FY 2012]])</f>
        <v>588610</v>
      </c>
      <c r="T310" s="11">
        <v>1.49</v>
      </c>
      <c r="U310" s="12">
        <f>tblSalesData[[#This Row],[Total Units 
to Date]]*tblSalesData[[#This Row],[Sell Price]]</f>
        <v>877028.9</v>
      </c>
      <c r="V310" s="3"/>
    </row>
    <row r="311" spans="1:22" x14ac:dyDescent="0.25">
      <c r="A311" s="4">
        <v>1029</v>
      </c>
      <c r="B311" s="9" t="s">
        <v>150</v>
      </c>
      <c r="C311" s="4" t="s">
        <v>13</v>
      </c>
      <c r="D311" s="4" t="s">
        <v>28</v>
      </c>
      <c r="E311" s="4" t="s">
        <v>19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89830</v>
      </c>
      <c r="M311" s="10">
        <v>14047</v>
      </c>
      <c r="N311" s="10">
        <v>28385</v>
      </c>
      <c r="O311" s="10">
        <v>74230</v>
      </c>
      <c r="P311" s="4">
        <v>101559</v>
      </c>
      <c r="Q311" s="4">
        <v>83743</v>
      </c>
      <c r="R311" s="10">
        <v>34827</v>
      </c>
      <c r="S311" s="24">
        <f>SUM(tblSalesData[[#This Row],[FY 2000]:[FY 2012]])</f>
        <v>426621</v>
      </c>
      <c r="T311" s="11">
        <v>3.99</v>
      </c>
      <c r="U311" s="12">
        <f>tblSalesData[[#This Row],[Total Units 
to Date]]*tblSalesData[[#This Row],[Sell Price]]</f>
        <v>1702217.79</v>
      </c>
      <c r="V311" s="3"/>
    </row>
    <row r="312" spans="1:22" x14ac:dyDescent="0.25">
      <c r="A312" s="4">
        <v>1032</v>
      </c>
      <c r="B312" s="9" t="s">
        <v>157</v>
      </c>
      <c r="C312" s="4" t="s">
        <v>13</v>
      </c>
      <c r="D312" s="4" t="s">
        <v>28</v>
      </c>
      <c r="E312" s="4" t="s">
        <v>17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91919</v>
      </c>
      <c r="M312" s="10">
        <v>58524</v>
      </c>
      <c r="N312" s="10">
        <v>45061</v>
      </c>
      <c r="O312" s="10">
        <v>80018</v>
      </c>
      <c r="P312" s="4">
        <v>58831</v>
      </c>
      <c r="Q312" s="4">
        <v>66666</v>
      </c>
      <c r="R312" s="10">
        <v>33377</v>
      </c>
      <c r="S312" s="24">
        <f>SUM(tblSalesData[[#This Row],[FY 2000]:[FY 2012]])</f>
        <v>434396</v>
      </c>
      <c r="T312" s="11">
        <v>1.99</v>
      </c>
      <c r="U312" s="12">
        <f>tblSalesData[[#This Row],[Total Units 
to Date]]*tblSalesData[[#This Row],[Sell Price]]</f>
        <v>864448.04</v>
      </c>
      <c r="V312" s="3"/>
    </row>
    <row r="313" spans="1:22" x14ac:dyDescent="0.25">
      <c r="A313" s="4">
        <v>1017</v>
      </c>
      <c r="B313" s="9" t="s">
        <v>147</v>
      </c>
      <c r="C313" s="4" t="s">
        <v>14</v>
      </c>
      <c r="D313" s="4" t="s">
        <v>28</v>
      </c>
      <c r="E313" s="4" t="s">
        <v>18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4">
        <v>0</v>
      </c>
      <c r="Q313" s="4">
        <v>114616</v>
      </c>
      <c r="R313" s="10">
        <v>74409</v>
      </c>
      <c r="S313" s="24">
        <f>SUM(tblSalesData[[#This Row],[FY 2000]:[FY 2012]])</f>
        <v>189025</v>
      </c>
      <c r="T313" s="11">
        <v>0.99</v>
      </c>
      <c r="U313" s="12">
        <f>tblSalesData[[#This Row],[Total Units 
to Date]]*tblSalesData[[#This Row],[Sell Price]]</f>
        <v>187134.75</v>
      </c>
      <c r="V313" s="3"/>
    </row>
    <row r="314" spans="1:22" x14ac:dyDescent="0.25">
      <c r="A314" s="4">
        <v>1034</v>
      </c>
      <c r="B314" s="9" t="s">
        <v>193</v>
      </c>
      <c r="C314" s="4" t="s">
        <v>14</v>
      </c>
      <c r="D314" s="4" t="s">
        <v>28</v>
      </c>
      <c r="E314" s="4" t="s">
        <v>18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4">
        <v>27842</v>
      </c>
      <c r="Q314" s="4">
        <v>30607</v>
      </c>
      <c r="R314" s="10">
        <v>35266</v>
      </c>
      <c r="S314" s="24">
        <f>SUM(tblSalesData[[#This Row],[FY 2000]:[FY 2012]])</f>
        <v>93715</v>
      </c>
      <c r="T314" s="11">
        <v>0.99</v>
      </c>
      <c r="U314" s="12">
        <f>tblSalesData[[#This Row],[Total Units 
to Date]]*tblSalesData[[#This Row],[Sell Price]]</f>
        <v>92777.85</v>
      </c>
      <c r="V314" s="3"/>
    </row>
    <row r="315" spans="1:22" x14ac:dyDescent="0.25">
      <c r="A315" s="4">
        <v>1032</v>
      </c>
      <c r="B315" s="9" t="s">
        <v>161</v>
      </c>
      <c r="C315" s="4" t="s">
        <v>13</v>
      </c>
      <c r="D315" s="4" t="s">
        <v>28</v>
      </c>
      <c r="E315" s="4" t="s">
        <v>17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26332</v>
      </c>
      <c r="M315" s="10">
        <v>1613</v>
      </c>
      <c r="N315" s="10">
        <v>71488</v>
      </c>
      <c r="O315" s="10">
        <v>46267</v>
      </c>
      <c r="P315" s="4">
        <v>84489</v>
      </c>
      <c r="Q315" s="4">
        <v>33510</v>
      </c>
      <c r="R315" s="10">
        <v>22786</v>
      </c>
      <c r="S315" s="24">
        <f>SUM(tblSalesData[[#This Row],[FY 2000]:[FY 2012]])</f>
        <v>286485</v>
      </c>
      <c r="T315" s="11">
        <v>1.99</v>
      </c>
      <c r="U315" s="12">
        <f>tblSalesData[[#This Row],[Total Units 
to Date]]*tblSalesData[[#This Row],[Sell Price]]</f>
        <v>570105.15</v>
      </c>
      <c r="V315" s="3"/>
    </row>
    <row r="316" spans="1:22" x14ac:dyDescent="0.25">
      <c r="A316" s="4">
        <v>1032</v>
      </c>
      <c r="B316" s="9" t="s">
        <v>163</v>
      </c>
      <c r="C316" s="4" t="s">
        <v>13</v>
      </c>
      <c r="D316" s="4" t="s">
        <v>28</v>
      </c>
      <c r="E316" s="4" t="s">
        <v>17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41493</v>
      </c>
      <c r="M316" s="10">
        <v>94075</v>
      </c>
      <c r="N316" s="10">
        <v>16134</v>
      </c>
      <c r="O316" s="10">
        <v>87712</v>
      </c>
      <c r="P316" s="4">
        <v>102373</v>
      </c>
      <c r="Q316" s="4">
        <v>100308</v>
      </c>
      <c r="R316" s="10">
        <v>63501</v>
      </c>
      <c r="S316" s="24">
        <f>SUM(tblSalesData[[#This Row],[FY 2000]:[FY 2012]])</f>
        <v>505596</v>
      </c>
      <c r="T316" s="11">
        <v>1.99</v>
      </c>
      <c r="U316" s="12">
        <f>tblSalesData[[#This Row],[Total Units 
to Date]]*tblSalesData[[#This Row],[Sell Price]]</f>
        <v>1006136.04</v>
      </c>
      <c r="V316" s="3"/>
    </row>
    <row r="317" spans="1:22" x14ac:dyDescent="0.25">
      <c r="A317" s="4">
        <v>1033</v>
      </c>
      <c r="B317" s="9" t="s">
        <v>170</v>
      </c>
      <c r="C317" s="4" t="s">
        <v>13</v>
      </c>
      <c r="D317" s="4" t="s">
        <v>28</v>
      </c>
      <c r="E317" s="4" t="s">
        <v>19</v>
      </c>
      <c r="F317" s="10">
        <v>0</v>
      </c>
      <c r="G317" s="10">
        <v>0</v>
      </c>
      <c r="H317" s="10">
        <v>0</v>
      </c>
      <c r="I317" s="10">
        <v>0</v>
      </c>
      <c r="J317" s="10">
        <v>5951</v>
      </c>
      <c r="K317" s="10">
        <v>9276</v>
      </c>
      <c r="L317" s="10">
        <v>12254</v>
      </c>
      <c r="M317" s="10">
        <v>16140</v>
      </c>
      <c r="N317" s="10">
        <v>18543</v>
      </c>
      <c r="O317" s="10">
        <v>25037</v>
      </c>
      <c r="P317" s="4">
        <v>38614</v>
      </c>
      <c r="Q317" s="4">
        <v>51691</v>
      </c>
      <c r="R317" s="10">
        <v>64237</v>
      </c>
      <c r="S317" s="24">
        <f>SUM(tblSalesData[[#This Row],[FY 2000]:[FY 2012]])</f>
        <v>241743</v>
      </c>
      <c r="T317" s="11">
        <v>3.99</v>
      </c>
      <c r="U317" s="12">
        <f>tblSalesData[[#This Row],[Total Units 
to Date]]*tblSalesData[[#This Row],[Sell Price]]</f>
        <v>964554.57000000007</v>
      </c>
      <c r="V317" s="3"/>
    </row>
    <row r="318" spans="1:22" x14ac:dyDescent="0.25">
      <c r="A318" s="4">
        <v>1033</v>
      </c>
      <c r="B318" s="9" t="s">
        <v>175</v>
      </c>
      <c r="C318" s="4" t="s">
        <v>13</v>
      </c>
      <c r="D318" s="4" t="s">
        <v>28</v>
      </c>
      <c r="E318" s="4" t="s">
        <v>16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12255</v>
      </c>
      <c r="M318" s="10">
        <v>16542</v>
      </c>
      <c r="N318" s="10">
        <v>18867</v>
      </c>
      <c r="O318" s="10">
        <v>27431</v>
      </c>
      <c r="P318" s="4">
        <v>42484</v>
      </c>
      <c r="Q318" s="4">
        <v>52979</v>
      </c>
      <c r="R318" s="10">
        <v>64934</v>
      </c>
      <c r="S318" s="24">
        <f>SUM(tblSalesData[[#This Row],[FY 2000]:[FY 2012]])</f>
        <v>235492</v>
      </c>
      <c r="T318" s="11">
        <v>1.49</v>
      </c>
      <c r="U318" s="12">
        <f>tblSalesData[[#This Row],[Total Units 
to Date]]*tblSalesData[[#This Row],[Sell Price]]</f>
        <v>350883.08</v>
      </c>
      <c r="V318" s="3"/>
    </row>
    <row r="319" spans="1:22" x14ac:dyDescent="0.25">
      <c r="A319" s="4">
        <v>1034</v>
      </c>
      <c r="B319" s="9" t="s">
        <v>189</v>
      </c>
      <c r="C319" s="4" t="s">
        <v>13</v>
      </c>
      <c r="D319" s="4" t="s">
        <v>28</v>
      </c>
      <c r="E319" s="4" t="s">
        <v>17</v>
      </c>
      <c r="F319" s="10">
        <v>0</v>
      </c>
      <c r="G319" s="10">
        <v>0</v>
      </c>
      <c r="H319" s="10">
        <v>1071</v>
      </c>
      <c r="I319" s="10">
        <v>2925</v>
      </c>
      <c r="J319" s="10">
        <v>3996</v>
      </c>
      <c r="K319" s="10">
        <v>4740</v>
      </c>
      <c r="L319" s="10">
        <v>5516</v>
      </c>
      <c r="M319" s="10">
        <v>7043</v>
      </c>
      <c r="N319" s="10">
        <v>9992</v>
      </c>
      <c r="O319" s="10">
        <v>17866</v>
      </c>
      <c r="P319" s="4">
        <v>24831</v>
      </c>
      <c r="Q319" s="4">
        <v>31991</v>
      </c>
      <c r="R319" s="10">
        <v>43200</v>
      </c>
      <c r="S319" s="24">
        <f>SUM(tblSalesData[[#This Row],[FY 2000]:[FY 2012]])</f>
        <v>153171</v>
      </c>
      <c r="T319" s="11">
        <v>1.99</v>
      </c>
      <c r="U319" s="12">
        <f>tblSalesData[[#This Row],[Total Units 
to Date]]*tblSalesData[[#This Row],[Sell Price]]</f>
        <v>304810.28999999998</v>
      </c>
      <c r="V319" s="3"/>
    </row>
    <row r="320" spans="1:22" x14ac:dyDescent="0.25">
      <c r="A320" s="4">
        <v>1034</v>
      </c>
      <c r="B320" s="9" t="s">
        <v>192</v>
      </c>
      <c r="C320" s="4" t="s">
        <v>13</v>
      </c>
      <c r="D320" s="4" t="s">
        <v>28</v>
      </c>
      <c r="E320" s="4" t="s">
        <v>17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19140</v>
      </c>
      <c r="P320" s="4">
        <v>22442</v>
      </c>
      <c r="Q320" s="4">
        <v>32780</v>
      </c>
      <c r="R320" s="10">
        <v>38627</v>
      </c>
      <c r="S320" s="24">
        <f>SUM(tblSalesData[[#This Row],[FY 2000]:[FY 2012]])</f>
        <v>112989</v>
      </c>
      <c r="T320" s="11">
        <v>1.99</v>
      </c>
      <c r="U320" s="12">
        <f>tblSalesData[[#This Row],[Total Units 
to Date]]*tblSalesData[[#This Row],[Sell Price]]</f>
        <v>224848.11</v>
      </c>
      <c r="V320" s="3"/>
    </row>
    <row r="321" spans="1:22" x14ac:dyDescent="0.25">
      <c r="A321" s="4">
        <v>1039</v>
      </c>
      <c r="B321" s="9" t="s">
        <v>235</v>
      </c>
      <c r="C321" s="4" t="s">
        <v>14</v>
      </c>
      <c r="D321" s="4" t="s">
        <v>28</v>
      </c>
      <c r="E321" s="4" t="s">
        <v>18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283030</v>
      </c>
      <c r="M321" s="10">
        <v>354472</v>
      </c>
      <c r="N321" s="10">
        <v>413938</v>
      </c>
      <c r="O321" s="10">
        <v>252135</v>
      </c>
      <c r="P321" s="4">
        <v>513436</v>
      </c>
      <c r="Q321" s="4">
        <v>335890</v>
      </c>
      <c r="R321" s="10">
        <v>385396</v>
      </c>
      <c r="S321" s="24">
        <f>SUM(tblSalesData[[#This Row],[FY 2000]:[FY 2012]])</f>
        <v>2538297</v>
      </c>
      <c r="T321" s="11">
        <v>0.99</v>
      </c>
      <c r="U321" s="12">
        <f>tblSalesData[[#This Row],[Total Units 
to Date]]*tblSalesData[[#This Row],[Sell Price]]</f>
        <v>2512914.0299999998</v>
      </c>
      <c r="V321" s="3"/>
    </row>
    <row r="322" spans="1:22" x14ac:dyDescent="0.25">
      <c r="A322" s="4">
        <v>1037</v>
      </c>
      <c r="B322" s="9" t="s">
        <v>203</v>
      </c>
      <c r="C322" s="4" t="s">
        <v>13</v>
      </c>
      <c r="D322" s="4" t="s">
        <v>28</v>
      </c>
      <c r="E322" s="4" t="s">
        <v>19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5508</v>
      </c>
      <c r="O322" s="10">
        <v>13123</v>
      </c>
      <c r="P322" s="4">
        <v>20480</v>
      </c>
      <c r="Q322" s="4">
        <v>38561</v>
      </c>
      <c r="R322" s="10">
        <v>43345</v>
      </c>
      <c r="S322" s="24">
        <f>SUM(tblSalesData[[#This Row],[FY 2000]:[FY 2012]])</f>
        <v>121017</v>
      </c>
      <c r="T322" s="11">
        <v>3.99</v>
      </c>
      <c r="U322" s="12">
        <f>tblSalesData[[#This Row],[Total Units 
to Date]]*tblSalesData[[#This Row],[Sell Price]]</f>
        <v>482857.83</v>
      </c>
      <c r="V322" s="3"/>
    </row>
    <row r="323" spans="1:22" x14ac:dyDescent="0.25">
      <c r="A323" s="4">
        <v>1037</v>
      </c>
      <c r="B323" s="9" t="s">
        <v>207</v>
      </c>
      <c r="C323" s="4" t="s">
        <v>13</v>
      </c>
      <c r="D323" s="4" t="s">
        <v>28</v>
      </c>
      <c r="E323" s="4" t="s">
        <v>17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32879</v>
      </c>
      <c r="P323" s="4">
        <v>49723</v>
      </c>
      <c r="Q323" s="4">
        <v>62711</v>
      </c>
      <c r="R323" s="10">
        <v>76378</v>
      </c>
      <c r="S323" s="24">
        <f>SUM(tblSalesData[[#This Row],[FY 2000]:[FY 2012]])</f>
        <v>221691</v>
      </c>
      <c r="T323" s="11">
        <v>1.99</v>
      </c>
      <c r="U323" s="12">
        <f>tblSalesData[[#This Row],[Total Units 
to Date]]*tblSalesData[[#This Row],[Sell Price]]</f>
        <v>441165.09</v>
      </c>
      <c r="V323" s="3"/>
    </row>
    <row r="324" spans="1:22" x14ac:dyDescent="0.25">
      <c r="A324" s="4">
        <v>1038</v>
      </c>
      <c r="B324" s="9" t="s">
        <v>213</v>
      </c>
      <c r="C324" s="4" t="s">
        <v>13</v>
      </c>
      <c r="D324" s="4" t="s">
        <v>28</v>
      </c>
      <c r="E324" s="4" t="s">
        <v>19</v>
      </c>
      <c r="F324" s="10">
        <v>0</v>
      </c>
      <c r="G324" s="10">
        <v>0</v>
      </c>
      <c r="H324" s="10">
        <v>114456</v>
      </c>
      <c r="I324" s="10">
        <v>129719</v>
      </c>
      <c r="J324" s="10">
        <v>143142</v>
      </c>
      <c r="K324" s="10">
        <v>150346</v>
      </c>
      <c r="L324" s="10">
        <v>222733</v>
      </c>
      <c r="M324" s="10">
        <v>287357</v>
      </c>
      <c r="N324" s="10">
        <v>313384</v>
      </c>
      <c r="O324" s="10">
        <v>500970</v>
      </c>
      <c r="P324" s="4">
        <v>672617</v>
      </c>
      <c r="Q324" s="4">
        <v>996904</v>
      </c>
      <c r="R324" s="10">
        <v>1139103</v>
      </c>
      <c r="S324" s="24">
        <f>SUM(tblSalesData[[#This Row],[FY 2000]:[FY 2012]])</f>
        <v>4670731</v>
      </c>
      <c r="T324" s="11">
        <v>3.99</v>
      </c>
      <c r="U324" s="12">
        <f>tblSalesData[[#This Row],[Total Units 
to Date]]*tblSalesData[[#This Row],[Sell Price]]</f>
        <v>18636216.690000001</v>
      </c>
      <c r="V324" s="3"/>
    </row>
    <row r="325" spans="1:22" x14ac:dyDescent="0.25">
      <c r="A325" s="4">
        <v>1038</v>
      </c>
      <c r="B325" s="9" t="s">
        <v>214</v>
      </c>
      <c r="C325" s="4" t="s">
        <v>13</v>
      </c>
      <c r="D325" s="4" t="s">
        <v>28</v>
      </c>
      <c r="E325" s="4" t="s">
        <v>17</v>
      </c>
      <c r="F325" s="10">
        <v>0</v>
      </c>
      <c r="G325" s="10">
        <v>0</v>
      </c>
      <c r="H325" s="10">
        <v>107906</v>
      </c>
      <c r="I325" s="10">
        <v>125545</v>
      </c>
      <c r="J325" s="10">
        <v>139058</v>
      </c>
      <c r="K325" s="10">
        <v>171302</v>
      </c>
      <c r="L325" s="10">
        <v>220264</v>
      </c>
      <c r="M325" s="10">
        <v>282981</v>
      </c>
      <c r="N325" s="10">
        <v>341082</v>
      </c>
      <c r="O325" s="10">
        <v>494346</v>
      </c>
      <c r="P325" s="4">
        <v>707358</v>
      </c>
      <c r="Q325" s="4">
        <v>898803</v>
      </c>
      <c r="R325" s="10">
        <v>1293079</v>
      </c>
      <c r="S325" s="24">
        <f>SUM(tblSalesData[[#This Row],[FY 2000]:[FY 2012]])</f>
        <v>4781724</v>
      </c>
      <c r="T325" s="11">
        <v>1.99</v>
      </c>
      <c r="U325" s="12">
        <f>tblSalesData[[#This Row],[Total Units 
to Date]]*tblSalesData[[#This Row],[Sell Price]]</f>
        <v>9515630.7599999998</v>
      </c>
      <c r="V325" s="3"/>
    </row>
    <row r="326" spans="1:22" x14ac:dyDescent="0.25">
      <c r="A326" s="4">
        <v>1038</v>
      </c>
      <c r="B326" s="9" t="s">
        <v>216</v>
      </c>
      <c r="C326" s="4" t="s">
        <v>13</v>
      </c>
      <c r="D326" s="4" t="s">
        <v>28</v>
      </c>
      <c r="E326" s="4" t="s">
        <v>19</v>
      </c>
      <c r="F326" s="10">
        <v>0</v>
      </c>
      <c r="G326" s="10">
        <v>0</v>
      </c>
      <c r="H326" s="10">
        <v>0</v>
      </c>
      <c r="I326" s="10">
        <v>132250</v>
      </c>
      <c r="J326" s="10">
        <v>140056</v>
      </c>
      <c r="K326" s="10">
        <v>145651</v>
      </c>
      <c r="L326" s="10">
        <v>239186</v>
      </c>
      <c r="M326" s="10">
        <v>297237</v>
      </c>
      <c r="N326" s="10">
        <v>380548</v>
      </c>
      <c r="O326" s="10">
        <v>478798</v>
      </c>
      <c r="P326" s="4">
        <v>795256</v>
      </c>
      <c r="Q326" s="4">
        <v>997880</v>
      </c>
      <c r="R326" s="10">
        <v>1996972</v>
      </c>
      <c r="S326" s="24">
        <f>SUM(tblSalesData[[#This Row],[FY 2000]:[FY 2012]])</f>
        <v>5603834</v>
      </c>
      <c r="T326" s="11">
        <v>3.99</v>
      </c>
      <c r="U326" s="12">
        <f>tblSalesData[[#This Row],[Total Units 
to Date]]*tblSalesData[[#This Row],[Sell Price]]</f>
        <v>22359297.66</v>
      </c>
      <c r="V326" s="3"/>
    </row>
    <row r="327" spans="1:22" x14ac:dyDescent="0.25">
      <c r="A327" s="4">
        <v>1038</v>
      </c>
      <c r="B327" s="9" t="s">
        <v>217</v>
      </c>
      <c r="C327" s="4" t="s">
        <v>13</v>
      </c>
      <c r="D327" s="4" t="s">
        <v>28</v>
      </c>
      <c r="E327" s="4" t="s">
        <v>19</v>
      </c>
      <c r="F327" s="10">
        <v>0</v>
      </c>
      <c r="G327" s="10">
        <v>0</v>
      </c>
      <c r="H327" s="10">
        <v>0</v>
      </c>
      <c r="I327" s="10">
        <v>125424</v>
      </c>
      <c r="J327" s="10">
        <v>142609</v>
      </c>
      <c r="K327" s="10">
        <v>170790</v>
      </c>
      <c r="L327" s="10">
        <v>238804</v>
      </c>
      <c r="M327" s="10">
        <v>277575</v>
      </c>
      <c r="N327" s="10">
        <v>356558</v>
      </c>
      <c r="O327" s="10">
        <v>515509</v>
      </c>
      <c r="P327" s="4">
        <v>798902</v>
      </c>
      <c r="Q327" s="4">
        <v>1021499</v>
      </c>
      <c r="R327" s="10">
        <v>1025423</v>
      </c>
      <c r="S327" s="24">
        <f>SUM(tblSalesData[[#This Row],[FY 2000]:[FY 2012]])</f>
        <v>4673093</v>
      </c>
      <c r="T327" s="11">
        <v>3.99</v>
      </c>
      <c r="U327" s="12">
        <f>tblSalesData[[#This Row],[Total Units 
to Date]]*tblSalesData[[#This Row],[Sell Price]]</f>
        <v>18645641.07</v>
      </c>
      <c r="V327" s="3"/>
    </row>
    <row r="328" spans="1:22" x14ac:dyDescent="0.25">
      <c r="A328" s="4">
        <v>1038</v>
      </c>
      <c r="B328" s="9" t="s">
        <v>220</v>
      </c>
      <c r="C328" s="4" t="s">
        <v>13</v>
      </c>
      <c r="D328" s="4" t="s">
        <v>28</v>
      </c>
      <c r="E328" s="4" t="s">
        <v>17</v>
      </c>
      <c r="F328" s="10">
        <v>0</v>
      </c>
      <c r="G328" s="10">
        <v>0</v>
      </c>
      <c r="H328" s="10">
        <v>0</v>
      </c>
      <c r="I328" s="10">
        <v>0</v>
      </c>
      <c r="J328" s="10">
        <v>139849</v>
      </c>
      <c r="K328" s="10">
        <v>150055</v>
      </c>
      <c r="L328" s="10">
        <v>245965</v>
      </c>
      <c r="M328" s="10">
        <v>292712</v>
      </c>
      <c r="N328" s="10">
        <v>395843</v>
      </c>
      <c r="O328" s="10">
        <v>532904</v>
      </c>
      <c r="P328" s="4">
        <v>691088</v>
      </c>
      <c r="Q328" s="4">
        <v>872908</v>
      </c>
      <c r="R328" s="10">
        <v>1081698</v>
      </c>
      <c r="S328" s="24">
        <f>SUM(tblSalesData[[#This Row],[FY 2000]:[FY 2012]])</f>
        <v>4403022</v>
      </c>
      <c r="T328" s="11">
        <v>1.99</v>
      </c>
      <c r="U328" s="12">
        <f>tblSalesData[[#This Row],[Total Units 
to Date]]*tblSalesData[[#This Row],[Sell Price]]</f>
        <v>8762013.7799999993</v>
      </c>
      <c r="V328" s="3"/>
    </row>
    <row r="329" spans="1:22" x14ac:dyDescent="0.25">
      <c r="A329" s="4">
        <v>1038</v>
      </c>
      <c r="B329" s="9" t="s">
        <v>223</v>
      </c>
      <c r="C329" s="4" t="s">
        <v>13</v>
      </c>
      <c r="D329" s="4" t="s">
        <v>28</v>
      </c>
      <c r="E329" s="4" t="s">
        <v>19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157260</v>
      </c>
      <c r="L329" s="10">
        <v>187533</v>
      </c>
      <c r="M329" s="10">
        <v>281710</v>
      </c>
      <c r="N329" s="10">
        <v>376093</v>
      </c>
      <c r="O329" s="10">
        <v>527579</v>
      </c>
      <c r="P329" s="4">
        <v>804990</v>
      </c>
      <c r="Q329" s="4">
        <v>1059179</v>
      </c>
      <c r="R329" s="10">
        <v>1203461</v>
      </c>
      <c r="S329" s="24">
        <f>SUM(tblSalesData[[#This Row],[FY 2000]:[FY 2012]])</f>
        <v>4597805</v>
      </c>
      <c r="T329" s="11">
        <v>3.99</v>
      </c>
      <c r="U329" s="12">
        <f>tblSalesData[[#This Row],[Total Units 
to Date]]*tblSalesData[[#This Row],[Sell Price]]</f>
        <v>18345241.949999999</v>
      </c>
      <c r="V329" s="3"/>
    </row>
    <row r="330" spans="1:22" x14ac:dyDescent="0.25">
      <c r="A330" s="4">
        <v>1038</v>
      </c>
      <c r="B330" s="9" t="s">
        <v>224</v>
      </c>
      <c r="C330" s="4" t="s">
        <v>13</v>
      </c>
      <c r="D330" s="4" t="s">
        <v>28</v>
      </c>
      <c r="E330" s="4" t="s">
        <v>19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159928</v>
      </c>
      <c r="L330" s="10">
        <v>214030</v>
      </c>
      <c r="M330" s="10">
        <v>287372</v>
      </c>
      <c r="N330" s="10">
        <v>351060</v>
      </c>
      <c r="O330" s="10">
        <v>554083</v>
      </c>
      <c r="P330" s="4">
        <v>677345</v>
      </c>
      <c r="Q330" s="4">
        <v>876796</v>
      </c>
      <c r="R330" s="10">
        <v>1976084</v>
      </c>
      <c r="S330" s="24">
        <f>SUM(tblSalesData[[#This Row],[FY 2000]:[FY 2012]])</f>
        <v>5096698</v>
      </c>
      <c r="T330" s="11">
        <v>3.99</v>
      </c>
      <c r="U330" s="12">
        <f>tblSalesData[[#This Row],[Total Units 
to Date]]*tblSalesData[[#This Row],[Sell Price]]</f>
        <v>20335825.02</v>
      </c>
      <c r="V330" s="3"/>
    </row>
    <row r="331" spans="1:22" x14ac:dyDescent="0.25">
      <c r="A331" s="4">
        <v>1039</v>
      </c>
      <c r="B331" s="9" t="s">
        <v>237</v>
      </c>
      <c r="C331" s="4" t="s">
        <v>14</v>
      </c>
      <c r="D331" s="4" t="s">
        <v>28</v>
      </c>
      <c r="E331" s="4" t="s">
        <v>18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392065</v>
      </c>
      <c r="P331" s="4">
        <v>414207</v>
      </c>
      <c r="Q331" s="4">
        <v>297090</v>
      </c>
      <c r="R331" s="10">
        <v>295238</v>
      </c>
      <c r="S331" s="24">
        <f>SUM(tblSalesData[[#This Row],[FY 2000]:[FY 2012]])</f>
        <v>1398600</v>
      </c>
      <c r="T331" s="11">
        <v>0.99</v>
      </c>
      <c r="U331" s="12">
        <f>tblSalesData[[#This Row],[Total Units 
to Date]]*tblSalesData[[#This Row],[Sell Price]]</f>
        <v>1384614</v>
      </c>
      <c r="V331" s="3"/>
    </row>
    <row r="332" spans="1:22" x14ac:dyDescent="0.25">
      <c r="A332" s="4">
        <v>1038</v>
      </c>
      <c r="B332" s="9" t="s">
        <v>227</v>
      </c>
      <c r="C332" s="4" t="s">
        <v>13</v>
      </c>
      <c r="D332" s="4" t="s">
        <v>28</v>
      </c>
      <c r="E332" s="4" t="s">
        <v>19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180163</v>
      </c>
      <c r="M332" s="10">
        <v>299517</v>
      </c>
      <c r="N332" s="10">
        <v>325268</v>
      </c>
      <c r="O332" s="10">
        <v>490993</v>
      </c>
      <c r="P332" s="4">
        <v>815684</v>
      </c>
      <c r="Q332" s="4">
        <v>972951</v>
      </c>
      <c r="R332" s="10">
        <v>1449026</v>
      </c>
      <c r="S332" s="24">
        <f>SUM(tblSalesData[[#This Row],[FY 2000]:[FY 2012]])</f>
        <v>4533602</v>
      </c>
      <c r="T332" s="11">
        <v>3.99</v>
      </c>
      <c r="U332" s="12">
        <f>tblSalesData[[#This Row],[Total Units 
to Date]]*tblSalesData[[#This Row],[Sell Price]]</f>
        <v>18089071.98</v>
      </c>
      <c r="V332" s="3"/>
    </row>
    <row r="333" spans="1:22" x14ac:dyDescent="0.25">
      <c r="A333" s="4">
        <v>1057</v>
      </c>
      <c r="B333" s="9" t="s">
        <v>294</v>
      </c>
      <c r="C333" s="4" t="s">
        <v>14</v>
      </c>
      <c r="D333" s="4" t="s">
        <v>28</v>
      </c>
      <c r="E333" s="4" t="s">
        <v>18</v>
      </c>
      <c r="F333" s="10">
        <v>0</v>
      </c>
      <c r="G333" s="10">
        <v>0</v>
      </c>
      <c r="H333" s="10">
        <v>0</v>
      </c>
      <c r="I333" s="10">
        <v>0</v>
      </c>
      <c r="J333" s="10">
        <v>23540</v>
      </c>
      <c r="K333" s="10">
        <v>22959</v>
      </c>
      <c r="L333" s="10">
        <v>52784</v>
      </c>
      <c r="M333" s="10">
        <v>31679</v>
      </c>
      <c r="N333" s="10">
        <v>24145</v>
      </c>
      <c r="O333" s="10">
        <v>89525</v>
      </c>
      <c r="P333" s="4">
        <v>14373</v>
      </c>
      <c r="Q333" s="4">
        <v>51318</v>
      </c>
      <c r="R333" s="10">
        <v>97602</v>
      </c>
      <c r="S333" s="24">
        <f>SUM(tblSalesData[[#This Row],[FY 2000]:[FY 2012]])</f>
        <v>407925</v>
      </c>
      <c r="T333" s="11">
        <v>0.99</v>
      </c>
      <c r="U333" s="12">
        <f>tblSalesData[[#This Row],[Total Units 
to Date]]*tblSalesData[[#This Row],[Sell Price]]</f>
        <v>403845.75</v>
      </c>
      <c r="V333" s="3"/>
    </row>
    <row r="334" spans="1:22" x14ac:dyDescent="0.25">
      <c r="A334" s="4">
        <v>1038</v>
      </c>
      <c r="B334" s="9" t="s">
        <v>233</v>
      </c>
      <c r="C334" s="4" t="s">
        <v>13</v>
      </c>
      <c r="D334" s="4" t="s">
        <v>28</v>
      </c>
      <c r="E334" s="4" t="s">
        <v>19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4">
        <v>767899</v>
      </c>
      <c r="Q334" s="4">
        <v>984050</v>
      </c>
      <c r="R334" s="10">
        <v>1581156</v>
      </c>
      <c r="S334" s="24">
        <f>SUM(tblSalesData[[#This Row],[FY 2000]:[FY 2012]])</f>
        <v>3333105</v>
      </c>
      <c r="T334" s="11">
        <v>3.99</v>
      </c>
      <c r="U334" s="12">
        <f>tblSalesData[[#This Row],[Total Units 
to Date]]*tblSalesData[[#This Row],[Sell Price]]</f>
        <v>13299088.950000001</v>
      </c>
      <c r="V334" s="3"/>
    </row>
    <row r="335" spans="1:22" x14ac:dyDescent="0.25">
      <c r="A335" s="4">
        <v>1040</v>
      </c>
      <c r="B335" s="9" t="s">
        <v>241</v>
      </c>
      <c r="C335" s="4" t="s">
        <v>13</v>
      </c>
      <c r="D335" s="4" t="s">
        <v>28</v>
      </c>
      <c r="E335" s="4" t="s">
        <v>19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4">
        <v>384823</v>
      </c>
      <c r="Q335" s="4">
        <v>491096</v>
      </c>
      <c r="R335" s="10">
        <v>436679</v>
      </c>
      <c r="S335" s="24">
        <f>SUM(tblSalesData[[#This Row],[FY 2000]:[FY 2012]])</f>
        <v>1312598</v>
      </c>
      <c r="T335" s="11">
        <v>3.99</v>
      </c>
      <c r="U335" s="12">
        <f>tblSalesData[[#This Row],[Total Units 
to Date]]*tblSalesData[[#This Row],[Sell Price]]</f>
        <v>5237266.0200000005</v>
      </c>
      <c r="V335" s="3"/>
    </row>
    <row r="336" spans="1:22" x14ac:dyDescent="0.25">
      <c r="A336" s="4">
        <v>1048</v>
      </c>
      <c r="B336" s="9" t="s">
        <v>260</v>
      </c>
      <c r="C336" s="4" t="s">
        <v>13</v>
      </c>
      <c r="D336" s="4" t="s">
        <v>28</v>
      </c>
      <c r="E336" s="4" t="s">
        <v>16</v>
      </c>
      <c r="F336" s="10">
        <v>0</v>
      </c>
      <c r="G336" s="10">
        <v>36202</v>
      </c>
      <c r="H336" s="10">
        <v>90535</v>
      </c>
      <c r="I336" s="10">
        <v>42433</v>
      </c>
      <c r="J336" s="10">
        <v>85229</v>
      </c>
      <c r="K336" s="10">
        <v>85920</v>
      </c>
      <c r="L336" s="10">
        <v>60924</v>
      </c>
      <c r="M336" s="10">
        <v>18086</v>
      </c>
      <c r="N336" s="10">
        <v>89452</v>
      </c>
      <c r="O336" s="10">
        <v>2599</v>
      </c>
      <c r="P336" s="4">
        <v>35458</v>
      </c>
      <c r="Q336" s="4">
        <v>63761</v>
      </c>
      <c r="R336" s="10">
        <v>55525</v>
      </c>
      <c r="S336" s="24">
        <f>SUM(tblSalesData[[#This Row],[FY 2000]:[FY 2012]])</f>
        <v>666124</v>
      </c>
      <c r="T336" s="11">
        <v>1.49</v>
      </c>
      <c r="U336" s="12">
        <f>tblSalesData[[#This Row],[Total Units 
to Date]]*tblSalesData[[#This Row],[Sell Price]]</f>
        <v>992524.76</v>
      </c>
      <c r="V336" s="3"/>
    </row>
    <row r="337" spans="1:22" x14ac:dyDescent="0.25">
      <c r="A337" s="4">
        <v>1048</v>
      </c>
      <c r="B337" s="9" t="s">
        <v>260</v>
      </c>
      <c r="C337" s="4" t="s">
        <v>13</v>
      </c>
      <c r="D337" s="4" t="s">
        <v>28</v>
      </c>
      <c r="E337" s="4" t="s">
        <v>19</v>
      </c>
      <c r="F337" s="10">
        <v>0</v>
      </c>
      <c r="G337" s="10">
        <v>74831</v>
      </c>
      <c r="H337" s="10">
        <v>85541</v>
      </c>
      <c r="I337" s="10">
        <v>14589</v>
      </c>
      <c r="J337" s="10">
        <v>76066</v>
      </c>
      <c r="K337" s="10">
        <v>45699</v>
      </c>
      <c r="L337" s="10">
        <v>42070</v>
      </c>
      <c r="M337" s="10">
        <v>30381</v>
      </c>
      <c r="N337" s="10">
        <v>42576</v>
      </c>
      <c r="O337" s="10">
        <v>77354</v>
      </c>
      <c r="P337" s="4">
        <v>64545</v>
      </c>
      <c r="Q337" s="4">
        <v>51124</v>
      </c>
      <c r="R337" s="10">
        <v>75549</v>
      </c>
      <c r="S337" s="24">
        <f>SUM(tblSalesData[[#This Row],[FY 2000]:[FY 2012]])</f>
        <v>680325</v>
      </c>
      <c r="T337" s="11">
        <v>3.99</v>
      </c>
      <c r="U337" s="12">
        <f>tblSalesData[[#This Row],[Total Units 
to Date]]*tblSalesData[[#This Row],[Sell Price]]</f>
        <v>2714496.75</v>
      </c>
      <c r="V337" s="3"/>
    </row>
    <row r="338" spans="1:22" x14ac:dyDescent="0.25">
      <c r="A338" s="4">
        <v>1048</v>
      </c>
      <c r="B338" s="9" t="s">
        <v>261</v>
      </c>
      <c r="C338" s="4" t="s">
        <v>13</v>
      </c>
      <c r="D338" s="4" t="s">
        <v>28</v>
      </c>
      <c r="E338" s="4" t="s">
        <v>19</v>
      </c>
      <c r="F338" s="10">
        <v>0</v>
      </c>
      <c r="G338" s="10">
        <v>6936</v>
      </c>
      <c r="H338" s="10">
        <v>81405</v>
      </c>
      <c r="I338" s="10">
        <v>49918</v>
      </c>
      <c r="J338" s="10">
        <v>57109</v>
      </c>
      <c r="K338" s="10">
        <v>39732</v>
      </c>
      <c r="L338" s="10">
        <v>73082</v>
      </c>
      <c r="M338" s="10">
        <v>30638</v>
      </c>
      <c r="N338" s="10">
        <v>52044</v>
      </c>
      <c r="O338" s="10">
        <v>75092</v>
      </c>
      <c r="P338" s="4">
        <v>47899</v>
      </c>
      <c r="Q338" s="4">
        <v>35389</v>
      </c>
      <c r="R338" s="10">
        <v>90864</v>
      </c>
      <c r="S338" s="24">
        <f>SUM(tblSalesData[[#This Row],[FY 2000]:[FY 2012]])</f>
        <v>640108</v>
      </c>
      <c r="T338" s="11">
        <v>3.99</v>
      </c>
      <c r="U338" s="12">
        <f>tblSalesData[[#This Row],[Total Units 
to Date]]*tblSalesData[[#This Row],[Sell Price]]</f>
        <v>2554030.92</v>
      </c>
      <c r="V338" s="3"/>
    </row>
    <row r="339" spans="1:22" x14ac:dyDescent="0.25">
      <c r="A339" s="4">
        <v>1056</v>
      </c>
      <c r="B339" s="9" t="s">
        <v>288</v>
      </c>
      <c r="C339" s="4" t="s">
        <v>13</v>
      </c>
      <c r="D339" s="4" t="s">
        <v>28</v>
      </c>
      <c r="E339" s="4" t="s">
        <v>16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4">
        <v>75984</v>
      </c>
      <c r="Q339" s="4">
        <v>22055</v>
      </c>
      <c r="R339" s="10">
        <v>77312</v>
      </c>
      <c r="S339" s="24">
        <f>SUM(tblSalesData[[#This Row],[FY 2000]:[FY 2012]])</f>
        <v>175351</v>
      </c>
      <c r="T339" s="11">
        <v>1.49</v>
      </c>
      <c r="U339" s="12">
        <f>tblSalesData[[#This Row],[Total Units 
to Date]]*tblSalesData[[#This Row],[Sell Price]]</f>
        <v>261272.99</v>
      </c>
      <c r="V339" s="3"/>
    </row>
    <row r="340" spans="1:22" x14ac:dyDescent="0.25">
      <c r="A340" s="4">
        <v>1057</v>
      </c>
      <c r="B340" s="9" t="s">
        <v>298</v>
      </c>
      <c r="C340" s="4" t="s">
        <v>14</v>
      </c>
      <c r="D340" s="4" t="s">
        <v>28</v>
      </c>
      <c r="E340" s="4" t="s">
        <v>18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49600</v>
      </c>
      <c r="L340" s="10">
        <v>93660</v>
      </c>
      <c r="M340" s="10">
        <v>93158</v>
      </c>
      <c r="N340" s="10">
        <v>29979</v>
      </c>
      <c r="O340" s="10">
        <v>39268</v>
      </c>
      <c r="P340" s="4">
        <v>97719</v>
      </c>
      <c r="Q340" s="4">
        <v>26789</v>
      </c>
      <c r="R340" s="10">
        <v>33093</v>
      </c>
      <c r="S340" s="24">
        <f>SUM(tblSalesData[[#This Row],[FY 2000]:[FY 2012]])</f>
        <v>463266</v>
      </c>
      <c r="T340" s="11">
        <v>0.99</v>
      </c>
      <c r="U340" s="12">
        <f>tblSalesData[[#This Row],[Total Units 
to Date]]*tblSalesData[[#This Row],[Sell Price]]</f>
        <v>458633.33999999997</v>
      </c>
      <c r="V340" s="3"/>
    </row>
    <row r="341" spans="1:22" x14ac:dyDescent="0.25">
      <c r="A341" s="4">
        <v>1057</v>
      </c>
      <c r="B341" s="9" t="s">
        <v>293</v>
      </c>
      <c r="C341" s="4" t="s">
        <v>13</v>
      </c>
      <c r="D341" s="4" t="s">
        <v>28</v>
      </c>
      <c r="E341" s="4" t="s">
        <v>19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46540</v>
      </c>
      <c r="M341" s="10">
        <v>73286</v>
      </c>
      <c r="N341" s="10">
        <v>33748</v>
      </c>
      <c r="O341" s="10">
        <v>2219</v>
      </c>
      <c r="P341" s="4">
        <v>78572</v>
      </c>
      <c r="Q341" s="4">
        <v>61439</v>
      </c>
      <c r="R341" s="10">
        <v>64709</v>
      </c>
      <c r="S341" s="24">
        <f>SUM(tblSalesData[[#This Row],[FY 2000]:[FY 2012]])</f>
        <v>360513</v>
      </c>
      <c r="T341" s="11">
        <v>3.99</v>
      </c>
      <c r="U341" s="12">
        <f>tblSalesData[[#This Row],[Total Units 
to Date]]*tblSalesData[[#This Row],[Sell Price]]</f>
        <v>1438446.87</v>
      </c>
      <c r="V341" s="3"/>
    </row>
    <row r="342" spans="1:22" x14ac:dyDescent="0.25">
      <c r="A342" s="4">
        <v>1057</v>
      </c>
      <c r="B342" s="9" t="s">
        <v>300</v>
      </c>
      <c r="C342" s="4" t="s">
        <v>13</v>
      </c>
      <c r="D342" s="4" t="s">
        <v>28</v>
      </c>
      <c r="E342" s="4" t="s">
        <v>16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9299</v>
      </c>
      <c r="M342" s="10">
        <v>51246</v>
      </c>
      <c r="N342" s="10">
        <v>56746</v>
      </c>
      <c r="O342" s="10">
        <v>27494</v>
      </c>
      <c r="P342" s="4">
        <v>18261</v>
      </c>
      <c r="Q342" s="4">
        <v>75443</v>
      </c>
      <c r="R342" s="10">
        <v>49660</v>
      </c>
      <c r="S342" s="24">
        <f>SUM(tblSalesData[[#This Row],[FY 2000]:[FY 2012]])</f>
        <v>288149</v>
      </c>
      <c r="T342" s="11">
        <v>1.49</v>
      </c>
      <c r="U342" s="12">
        <f>tblSalesData[[#This Row],[Total Units 
to Date]]*tblSalesData[[#This Row],[Sell Price]]</f>
        <v>429342.01</v>
      </c>
      <c r="V342" s="3"/>
    </row>
    <row r="343" spans="1:22" x14ac:dyDescent="0.25">
      <c r="A343" s="4">
        <v>1057</v>
      </c>
      <c r="B343" s="9" t="s">
        <v>303</v>
      </c>
      <c r="C343" s="4" t="s">
        <v>13</v>
      </c>
      <c r="D343" s="4" t="s">
        <v>28</v>
      </c>
      <c r="E343" s="4" t="s">
        <v>16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90769</v>
      </c>
      <c r="O343" s="10">
        <v>23643</v>
      </c>
      <c r="P343" s="4">
        <v>63427</v>
      </c>
      <c r="Q343" s="4">
        <v>53298</v>
      </c>
      <c r="R343" s="10">
        <v>37927</v>
      </c>
      <c r="S343" s="24">
        <f>SUM(tblSalesData[[#This Row],[FY 2000]:[FY 2012]])</f>
        <v>269064</v>
      </c>
      <c r="T343" s="11">
        <v>1.49</v>
      </c>
      <c r="U343" s="12">
        <f>tblSalesData[[#This Row],[Total Units 
to Date]]*tblSalesData[[#This Row],[Sell Price]]</f>
        <v>400905.36</v>
      </c>
      <c r="V343" s="3"/>
    </row>
    <row r="344" spans="1:22" x14ac:dyDescent="0.25">
      <c r="A344" s="4">
        <v>1057</v>
      </c>
      <c r="B344" s="9" t="s">
        <v>310</v>
      </c>
      <c r="C344" s="4" t="s">
        <v>13</v>
      </c>
      <c r="D344" s="4" t="s">
        <v>28</v>
      </c>
      <c r="E344" s="4" t="s">
        <v>16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4">
        <v>38176</v>
      </c>
      <c r="Q344" s="4">
        <v>108576</v>
      </c>
      <c r="R344" s="10">
        <v>23309</v>
      </c>
      <c r="S344" s="24">
        <f>SUM(tblSalesData[[#This Row],[FY 2000]:[FY 2012]])</f>
        <v>170061</v>
      </c>
      <c r="T344" s="11">
        <v>1.49</v>
      </c>
      <c r="U344" s="12">
        <f>tblSalesData[[#This Row],[Total Units 
to Date]]*tblSalesData[[#This Row],[Sell Price]]</f>
        <v>253390.88999999998</v>
      </c>
      <c r="V344" s="3"/>
    </row>
    <row r="345" spans="1:22" x14ac:dyDescent="0.25">
      <c r="A345" s="4">
        <v>1057</v>
      </c>
      <c r="B345" s="9" t="s">
        <v>312</v>
      </c>
      <c r="C345" s="4" t="s">
        <v>13</v>
      </c>
      <c r="D345" s="4" t="s">
        <v>28</v>
      </c>
      <c r="E345" s="4" t="s">
        <v>19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4">
        <v>24192</v>
      </c>
      <c r="Q345" s="4">
        <v>103758</v>
      </c>
      <c r="R345" s="10">
        <v>57680</v>
      </c>
      <c r="S345" s="24">
        <f>SUM(tblSalesData[[#This Row],[FY 2000]:[FY 2012]])</f>
        <v>185630</v>
      </c>
      <c r="T345" s="11">
        <v>3.99</v>
      </c>
      <c r="U345" s="12">
        <f>tblSalesData[[#This Row],[Total Units 
to Date]]*tblSalesData[[#This Row],[Sell Price]]</f>
        <v>740663.70000000007</v>
      </c>
      <c r="V345" s="3"/>
    </row>
    <row r="346" spans="1:22" x14ac:dyDescent="0.25">
      <c r="A346" s="4">
        <v>1057</v>
      </c>
      <c r="B346" s="9" t="s">
        <v>314</v>
      </c>
      <c r="C346" s="4" t="s">
        <v>13</v>
      </c>
      <c r="D346" s="4" t="s">
        <v>28</v>
      </c>
      <c r="E346" s="4" t="s">
        <v>16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4">
        <v>70489</v>
      </c>
      <c r="Q346" s="4">
        <v>17340</v>
      </c>
      <c r="R346" s="10">
        <v>56757</v>
      </c>
      <c r="S346" s="24">
        <f>SUM(tblSalesData[[#This Row],[FY 2000]:[FY 2012]])</f>
        <v>144586</v>
      </c>
      <c r="T346" s="11">
        <v>1.49</v>
      </c>
      <c r="U346" s="12">
        <f>tblSalesData[[#This Row],[Total Units 
to Date]]*tblSalesData[[#This Row],[Sell Price]]</f>
        <v>215433.13999999998</v>
      </c>
      <c r="V346" s="3"/>
    </row>
    <row r="347" spans="1:22" x14ac:dyDescent="0.25">
      <c r="A347" s="4">
        <v>1057</v>
      </c>
      <c r="B347" s="9" t="s">
        <v>314</v>
      </c>
      <c r="C347" s="4" t="s">
        <v>13</v>
      </c>
      <c r="D347" s="4" t="s">
        <v>28</v>
      </c>
      <c r="E347" s="4" t="s">
        <v>17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4">
        <v>26262</v>
      </c>
      <c r="Q347" s="4">
        <v>65321</v>
      </c>
      <c r="R347" s="10">
        <v>12238</v>
      </c>
      <c r="S347" s="24">
        <f>SUM(tblSalesData[[#This Row],[FY 2000]:[FY 2012]])</f>
        <v>103821</v>
      </c>
      <c r="T347" s="11">
        <v>1.99</v>
      </c>
      <c r="U347" s="12">
        <f>tblSalesData[[#This Row],[Total Units 
to Date]]*tblSalesData[[#This Row],[Sell Price]]</f>
        <v>206603.79</v>
      </c>
      <c r="V347" s="3"/>
    </row>
    <row r="348" spans="1:22" x14ac:dyDescent="0.25">
      <c r="A348" s="4">
        <v>1062</v>
      </c>
      <c r="B348" s="9" t="s">
        <v>320</v>
      </c>
      <c r="C348" s="4" t="s">
        <v>13</v>
      </c>
      <c r="D348" s="4" t="s">
        <v>28</v>
      </c>
      <c r="E348" s="4" t="s">
        <v>19</v>
      </c>
      <c r="F348" s="10">
        <v>0</v>
      </c>
      <c r="G348" s="10">
        <v>0</v>
      </c>
      <c r="H348" s="10">
        <v>0</v>
      </c>
      <c r="I348" s="10">
        <v>0</v>
      </c>
      <c r="J348" s="10">
        <v>78266</v>
      </c>
      <c r="K348" s="10">
        <v>62682</v>
      </c>
      <c r="L348" s="10">
        <v>70636</v>
      </c>
      <c r="M348" s="10">
        <v>20443</v>
      </c>
      <c r="N348" s="10">
        <v>98104</v>
      </c>
      <c r="O348" s="10">
        <v>80266</v>
      </c>
      <c r="P348" s="4">
        <v>84548</v>
      </c>
      <c r="Q348" s="4">
        <v>89576</v>
      </c>
      <c r="R348" s="10">
        <v>54349</v>
      </c>
      <c r="S348" s="24">
        <f>SUM(tblSalesData[[#This Row],[FY 2000]:[FY 2012]])</f>
        <v>638870</v>
      </c>
      <c r="T348" s="11">
        <v>3.99</v>
      </c>
      <c r="U348" s="12">
        <f>tblSalesData[[#This Row],[Total Units 
to Date]]*tblSalesData[[#This Row],[Sell Price]]</f>
        <v>2549091.3000000003</v>
      </c>
      <c r="V348" s="3"/>
    </row>
    <row r="349" spans="1:22" x14ac:dyDescent="0.25">
      <c r="A349" s="4">
        <v>1063</v>
      </c>
      <c r="B349" s="9" t="s">
        <v>325</v>
      </c>
      <c r="C349" s="4" t="s">
        <v>14</v>
      </c>
      <c r="D349" s="4" t="s">
        <v>28</v>
      </c>
      <c r="E349" s="4" t="s">
        <v>18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17353</v>
      </c>
      <c r="O349" s="10">
        <v>57161</v>
      </c>
      <c r="P349" s="4">
        <v>13738</v>
      </c>
      <c r="Q349" s="4">
        <v>48977</v>
      </c>
      <c r="R349" s="10">
        <v>80901</v>
      </c>
      <c r="S349" s="24">
        <f>SUM(tblSalesData[[#This Row],[FY 2000]:[FY 2012]])</f>
        <v>218130</v>
      </c>
      <c r="T349" s="11">
        <v>0.99</v>
      </c>
      <c r="U349" s="12">
        <f>tblSalesData[[#This Row],[Total Units 
to Date]]*tblSalesData[[#This Row],[Sell Price]]</f>
        <v>215948.7</v>
      </c>
      <c r="V349" s="3"/>
    </row>
    <row r="350" spans="1:22" x14ac:dyDescent="0.25">
      <c r="A350" s="4">
        <v>1065</v>
      </c>
      <c r="B350" s="9" t="s">
        <v>332</v>
      </c>
      <c r="C350" s="4" t="s">
        <v>14</v>
      </c>
      <c r="D350" s="4" t="s">
        <v>28</v>
      </c>
      <c r="E350" s="4" t="s">
        <v>18</v>
      </c>
      <c r="F350" s="10">
        <v>0</v>
      </c>
      <c r="G350" s="10">
        <v>0</v>
      </c>
      <c r="H350" s="10">
        <v>0</v>
      </c>
      <c r="I350" s="10">
        <v>25707</v>
      </c>
      <c r="J350" s="10">
        <v>5344</v>
      </c>
      <c r="K350" s="10">
        <v>19734</v>
      </c>
      <c r="L350" s="10">
        <v>27328</v>
      </c>
      <c r="M350" s="10">
        <v>62681</v>
      </c>
      <c r="N350" s="10">
        <v>83124</v>
      </c>
      <c r="O350" s="10">
        <v>75685</v>
      </c>
      <c r="P350" s="4">
        <v>177</v>
      </c>
      <c r="Q350" s="4">
        <v>13617</v>
      </c>
      <c r="R350" s="10">
        <v>29898</v>
      </c>
      <c r="S350" s="24">
        <f>SUM(tblSalesData[[#This Row],[FY 2000]:[FY 2012]])</f>
        <v>343295</v>
      </c>
      <c r="T350" s="11">
        <v>0.99</v>
      </c>
      <c r="U350" s="12">
        <f>tblSalesData[[#This Row],[Total Units 
to Date]]*tblSalesData[[#This Row],[Sell Price]]</f>
        <v>339862.05</v>
      </c>
      <c r="V350" s="3"/>
    </row>
    <row r="351" spans="1:22" x14ac:dyDescent="0.25">
      <c r="A351" s="4">
        <v>1067</v>
      </c>
      <c r="B351" s="9" t="s">
        <v>370</v>
      </c>
      <c r="C351" s="4" t="s">
        <v>13</v>
      </c>
      <c r="D351" s="4" t="s">
        <v>28</v>
      </c>
      <c r="E351" s="4" t="s">
        <v>19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4">
        <v>0</v>
      </c>
      <c r="Q351" s="4">
        <v>0</v>
      </c>
      <c r="R351" s="10">
        <v>1220314</v>
      </c>
      <c r="S351" s="24">
        <f>SUM(tblSalesData[[#This Row],[FY 2000]:[FY 2012]])</f>
        <v>1220314</v>
      </c>
      <c r="T351" s="11">
        <v>3.99</v>
      </c>
      <c r="U351" s="12">
        <f>tblSalesData[[#This Row],[Total Units 
to Date]]*tblSalesData[[#This Row],[Sell Price]]</f>
        <v>4869052.8600000003</v>
      </c>
      <c r="V351" s="3"/>
    </row>
    <row r="352" spans="1:22" x14ac:dyDescent="0.25">
      <c r="A352" s="4">
        <v>1065</v>
      </c>
      <c r="B352" s="9" t="s">
        <v>345</v>
      </c>
      <c r="C352" s="4" t="s">
        <v>14</v>
      </c>
      <c r="D352" s="4" t="s">
        <v>28</v>
      </c>
      <c r="E352" s="4" t="s">
        <v>18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59164</v>
      </c>
      <c r="O352" s="10">
        <v>92339</v>
      </c>
      <c r="P352" s="4">
        <v>38158</v>
      </c>
      <c r="Q352" s="4">
        <v>65752</v>
      </c>
      <c r="R352" s="10">
        <v>97153</v>
      </c>
      <c r="S352" s="24">
        <f>SUM(tblSalesData[[#This Row],[FY 2000]:[FY 2012]])</f>
        <v>352566</v>
      </c>
      <c r="T352" s="11">
        <v>0.99</v>
      </c>
      <c r="U352" s="12">
        <f>tblSalesData[[#This Row],[Total Units 
to Date]]*tblSalesData[[#This Row],[Sell Price]]</f>
        <v>349040.34</v>
      </c>
      <c r="V352" s="3"/>
    </row>
    <row r="353" spans="1:22" x14ac:dyDescent="0.25">
      <c r="A353" s="4">
        <v>1066</v>
      </c>
      <c r="B353" s="9" t="s">
        <v>354</v>
      </c>
      <c r="C353" s="4" t="s">
        <v>14</v>
      </c>
      <c r="D353" s="4" t="s">
        <v>28</v>
      </c>
      <c r="E353" s="4" t="s">
        <v>18</v>
      </c>
      <c r="F353" s="10">
        <v>0</v>
      </c>
      <c r="G353" s="10">
        <v>0</v>
      </c>
      <c r="H353" s="10">
        <v>504</v>
      </c>
      <c r="I353" s="10">
        <v>87252</v>
      </c>
      <c r="J353" s="10">
        <v>793</v>
      </c>
      <c r="K353" s="10">
        <v>36800</v>
      </c>
      <c r="L353" s="10">
        <v>84801</v>
      </c>
      <c r="M353" s="10">
        <v>68120</v>
      </c>
      <c r="N353" s="10">
        <v>79304</v>
      </c>
      <c r="O353" s="10">
        <v>9714</v>
      </c>
      <c r="P353" s="4">
        <v>95781</v>
      </c>
      <c r="Q353" s="4">
        <v>113522</v>
      </c>
      <c r="R353" s="10">
        <v>77076</v>
      </c>
      <c r="S353" s="24">
        <f>SUM(tblSalesData[[#This Row],[FY 2000]:[FY 2012]])</f>
        <v>653667</v>
      </c>
      <c r="T353" s="11">
        <v>0.99</v>
      </c>
      <c r="U353" s="12">
        <f>tblSalesData[[#This Row],[Total Units 
to Date]]*tblSalesData[[#This Row],[Sell Price]]</f>
        <v>647130.32999999996</v>
      </c>
      <c r="V353" s="3"/>
    </row>
    <row r="354" spans="1:22" x14ac:dyDescent="0.25">
      <c r="A354" s="4">
        <v>1066</v>
      </c>
      <c r="B354" s="9" t="s">
        <v>359</v>
      </c>
      <c r="C354" s="4" t="s">
        <v>14</v>
      </c>
      <c r="D354" s="4" t="s">
        <v>28</v>
      </c>
      <c r="E354" s="4" t="s">
        <v>18</v>
      </c>
      <c r="F354" s="10">
        <v>0</v>
      </c>
      <c r="G354" s="10">
        <v>0</v>
      </c>
      <c r="H354" s="10">
        <v>79891</v>
      </c>
      <c r="I354" s="10">
        <v>94867</v>
      </c>
      <c r="J354" s="10">
        <v>24577</v>
      </c>
      <c r="K354" s="10">
        <v>52641</v>
      </c>
      <c r="L354" s="10">
        <v>37828</v>
      </c>
      <c r="M354" s="10">
        <v>52886</v>
      </c>
      <c r="N354" s="10">
        <v>76744</v>
      </c>
      <c r="O354" s="10">
        <v>18277</v>
      </c>
      <c r="P354" s="4">
        <v>100934</v>
      </c>
      <c r="Q354" s="4">
        <v>75992</v>
      </c>
      <c r="R354" s="10">
        <v>28345</v>
      </c>
      <c r="S354" s="24">
        <f>SUM(tblSalesData[[#This Row],[FY 2000]:[FY 2012]])</f>
        <v>642982</v>
      </c>
      <c r="T354" s="11">
        <v>0.99</v>
      </c>
      <c r="U354" s="12">
        <f>tblSalesData[[#This Row],[Total Units 
to Date]]*tblSalesData[[#This Row],[Sell Price]]</f>
        <v>636552.18000000005</v>
      </c>
      <c r="V354" s="3"/>
    </row>
    <row r="355" spans="1:22" x14ac:dyDescent="0.25">
      <c r="A355" s="4">
        <v>1013</v>
      </c>
      <c r="B355" s="9" t="s">
        <v>109</v>
      </c>
      <c r="C355" s="4" t="s">
        <v>15</v>
      </c>
      <c r="D355" s="4" t="s">
        <v>28</v>
      </c>
      <c r="E355" s="4" t="s">
        <v>18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2754</v>
      </c>
      <c r="O355" s="10">
        <v>3563</v>
      </c>
      <c r="P355" s="4">
        <v>5006</v>
      </c>
      <c r="Q355" s="4">
        <v>7644</v>
      </c>
      <c r="R355" s="10">
        <v>7202</v>
      </c>
      <c r="S355" s="24">
        <f>SUM(tblSalesData[[#This Row],[FY 2000]:[FY 2012]])</f>
        <v>26169</v>
      </c>
      <c r="T355" s="11">
        <v>0.99</v>
      </c>
      <c r="U355" s="12">
        <f>tblSalesData[[#This Row],[Total Units 
to Date]]*tblSalesData[[#This Row],[Sell Price]]</f>
        <v>25907.31</v>
      </c>
      <c r="V355" s="3"/>
    </row>
    <row r="356" spans="1:22" x14ac:dyDescent="0.25">
      <c r="A356" s="4">
        <v>1014</v>
      </c>
      <c r="B356" s="9" t="s">
        <v>116</v>
      </c>
      <c r="C356" s="4" t="s">
        <v>15</v>
      </c>
      <c r="D356" s="4" t="s">
        <v>28</v>
      </c>
      <c r="E356" s="4" t="s">
        <v>18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548041</v>
      </c>
      <c r="O356" s="10">
        <v>590496</v>
      </c>
      <c r="P356" s="4">
        <v>770128</v>
      </c>
      <c r="Q356" s="4">
        <v>1424044</v>
      </c>
      <c r="R356" s="10">
        <v>2233964</v>
      </c>
      <c r="S356" s="24">
        <f>SUM(tblSalesData[[#This Row],[FY 2000]:[FY 2012]])</f>
        <v>5566673</v>
      </c>
      <c r="T356" s="11">
        <v>0.99</v>
      </c>
      <c r="U356" s="12">
        <f>tblSalesData[[#This Row],[Total Units 
to Date]]*tblSalesData[[#This Row],[Sell Price]]</f>
        <v>5511006.2699999996</v>
      </c>
      <c r="V356" s="3"/>
    </row>
    <row r="357" spans="1:22" x14ac:dyDescent="0.25">
      <c r="A357" s="4">
        <v>1017</v>
      </c>
      <c r="B357" s="9" t="s">
        <v>142</v>
      </c>
      <c r="C357" s="4" t="s">
        <v>15</v>
      </c>
      <c r="D357" s="4" t="s">
        <v>28</v>
      </c>
      <c r="E357" s="4" t="s">
        <v>18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4">
        <v>0</v>
      </c>
      <c r="Q357" s="4">
        <v>84172</v>
      </c>
      <c r="R357" s="10">
        <v>43731</v>
      </c>
      <c r="S357" s="24">
        <f>SUM(tblSalesData[[#This Row],[FY 2000]:[FY 2012]])</f>
        <v>127903</v>
      </c>
      <c r="T357" s="11">
        <v>0.99</v>
      </c>
      <c r="U357" s="12">
        <f>tblSalesData[[#This Row],[Total Units 
to Date]]*tblSalesData[[#This Row],[Sell Price]]</f>
        <v>126623.97</v>
      </c>
      <c r="V357" s="3"/>
    </row>
    <row r="358" spans="1:22" x14ac:dyDescent="0.25">
      <c r="A358" s="4">
        <v>1033</v>
      </c>
      <c r="B358" s="9" t="s">
        <v>185</v>
      </c>
      <c r="C358" s="4" t="s">
        <v>15</v>
      </c>
      <c r="D358" s="4" t="s">
        <v>28</v>
      </c>
      <c r="E358" s="4" t="s">
        <v>18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4">
        <v>37581</v>
      </c>
      <c r="Q358" s="4">
        <v>62352</v>
      </c>
      <c r="R358" s="10">
        <v>69730</v>
      </c>
      <c r="S358" s="24">
        <f>SUM(tblSalesData[[#This Row],[FY 2000]:[FY 2012]])</f>
        <v>169663</v>
      </c>
      <c r="T358" s="11">
        <v>0.99</v>
      </c>
      <c r="U358" s="12">
        <f>tblSalesData[[#This Row],[Total Units 
to Date]]*tblSalesData[[#This Row],[Sell Price]]</f>
        <v>167966.37</v>
      </c>
      <c r="V358" s="3"/>
    </row>
    <row r="359" spans="1:22" x14ac:dyDescent="0.25">
      <c r="A359" s="4">
        <v>1037</v>
      </c>
      <c r="B359" s="9" t="s">
        <v>208</v>
      </c>
      <c r="C359" s="4" t="s">
        <v>15</v>
      </c>
      <c r="D359" s="4" t="s">
        <v>28</v>
      </c>
      <c r="E359" s="4" t="s">
        <v>18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28512</v>
      </c>
      <c r="M359" s="10">
        <v>43488</v>
      </c>
      <c r="N359" s="10">
        <v>53964</v>
      </c>
      <c r="O359" s="10">
        <v>94923</v>
      </c>
      <c r="P359" s="4">
        <v>225790</v>
      </c>
      <c r="Q359" s="4">
        <v>348248</v>
      </c>
      <c r="R359" s="10">
        <v>591209</v>
      </c>
      <c r="S359" s="24">
        <f>SUM(tblSalesData[[#This Row],[FY 2000]:[FY 2012]])</f>
        <v>1386134</v>
      </c>
      <c r="T359" s="11">
        <v>0.99</v>
      </c>
      <c r="U359" s="12">
        <f>tblSalesData[[#This Row],[Total Units 
to Date]]*tblSalesData[[#This Row],[Sell Price]]</f>
        <v>1372272.66</v>
      </c>
      <c r="V359" s="3"/>
    </row>
    <row r="360" spans="1:22" x14ac:dyDescent="0.25">
      <c r="A360" s="4">
        <v>1049</v>
      </c>
      <c r="B360" s="9" t="s">
        <v>273</v>
      </c>
      <c r="C360" s="4" t="s">
        <v>15</v>
      </c>
      <c r="D360" s="4" t="s">
        <v>28</v>
      </c>
      <c r="E360" s="4" t="s">
        <v>18</v>
      </c>
      <c r="F360" s="10">
        <v>0</v>
      </c>
      <c r="G360" s="10">
        <v>0</v>
      </c>
      <c r="H360" s="10">
        <v>13602</v>
      </c>
      <c r="I360" s="10">
        <v>67140</v>
      </c>
      <c r="J360" s="10">
        <v>92537</v>
      </c>
      <c r="K360" s="10">
        <v>117436</v>
      </c>
      <c r="L360" s="10">
        <v>188236</v>
      </c>
      <c r="M360" s="10">
        <v>241486</v>
      </c>
      <c r="N360" s="10">
        <v>260425</v>
      </c>
      <c r="O360" s="10">
        <v>455006</v>
      </c>
      <c r="P360" s="4">
        <v>877921</v>
      </c>
      <c r="Q360" s="4">
        <v>1394023</v>
      </c>
      <c r="R360" s="10">
        <v>1627807</v>
      </c>
      <c r="S360" s="24">
        <f>SUM(tblSalesData[[#This Row],[FY 2000]:[FY 2012]])</f>
        <v>5335619</v>
      </c>
      <c r="T360" s="11">
        <v>0.99</v>
      </c>
      <c r="U360" s="12">
        <f>tblSalesData[[#This Row],[Total Units 
to Date]]*tblSalesData[[#This Row],[Sell Price]]</f>
        <v>5282262.8099999996</v>
      </c>
      <c r="V360" s="3"/>
    </row>
    <row r="361" spans="1:22" x14ac:dyDescent="0.25">
      <c r="A361" s="4">
        <v>1056</v>
      </c>
      <c r="B361" s="9" t="s">
        <v>280</v>
      </c>
      <c r="C361" s="4" t="s">
        <v>15</v>
      </c>
      <c r="D361" s="4" t="s">
        <v>28</v>
      </c>
      <c r="E361" s="4" t="s">
        <v>18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4">
        <v>58706</v>
      </c>
      <c r="Q361" s="4">
        <v>45693</v>
      </c>
      <c r="R361" s="10">
        <v>67894</v>
      </c>
      <c r="S361" s="24">
        <f>SUM(tblSalesData[[#This Row],[FY 2000]:[FY 2012]])</f>
        <v>172293</v>
      </c>
      <c r="T361" s="11">
        <v>0.99</v>
      </c>
      <c r="U361" s="12">
        <f>tblSalesData[[#This Row],[Total Units 
to Date]]*tblSalesData[[#This Row],[Sell Price]]</f>
        <v>170570.07</v>
      </c>
      <c r="V361" s="3"/>
    </row>
    <row r="362" spans="1:22" x14ac:dyDescent="0.25">
      <c r="A362" s="4">
        <v>1005</v>
      </c>
      <c r="B362" s="9" t="s">
        <v>22</v>
      </c>
      <c r="C362" s="4" t="s">
        <v>14</v>
      </c>
      <c r="D362" s="4" t="s">
        <v>28</v>
      </c>
      <c r="E362" s="4" t="s">
        <v>17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4">
        <v>0</v>
      </c>
      <c r="Q362" s="4">
        <v>0</v>
      </c>
      <c r="R362" s="10">
        <v>1172</v>
      </c>
      <c r="S362" s="24">
        <f>SUM(tblSalesData[[#This Row],[FY 2000]:[FY 2012]])</f>
        <v>1172</v>
      </c>
      <c r="T362" s="11">
        <v>1.99</v>
      </c>
      <c r="U362" s="12">
        <f>tblSalesData[[#This Row],[Total Units 
to Date]]*tblSalesData[[#This Row],[Sell Price]]</f>
        <v>2332.2800000000002</v>
      </c>
      <c r="V362" s="3"/>
    </row>
    <row r="363" spans="1:22" x14ac:dyDescent="0.25">
      <c r="A363" s="4">
        <v>1005</v>
      </c>
      <c r="B363" s="9" t="s">
        <v>56</v>
      </c>
      <c r="C363" s="4" t="s">
        <v>14</v>
      </c>
      <c r="D363" s="4" t="s">
        <v>28</v>
      </c>
      <c r="E363" s="4" t="s">
        <v>19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4">
        <v>0</v>
      </c>
      <c r="Q363" s="4">
        <v>45</v>
      </c>
      <c r="R363" s="10">
        <v>9024</v>
      </c>
      <c r="S363" s="24">
        <f>SUM(tblSalesData[[#This Row],[FY 2000]:[FY 2012]])</f>
        <v>9069</v>
      </c>
      <c r="T363" s="11">
        <v>3.99</v>
      </c>
      <c r="U363" s="12">
        <f>tblSalesData[[#This Row],[Total Units 
to Date]]*tblSalesData[[#This Row],[Sell Price]]</f>
        <v>36185.310000000005</v>
      </c>
      <c r="V363" s="3"/>
    </row>
    <row r="364" spans="1:22" x14ac:dyDescent="0.25">
      <c r="A364" s="4">
        <v>1005</v>
      </c>
      <c r="B364" s="9" t="s">
        <v>57</v>
      </c>
      <c r="C364" s="4" t="s">
        <v>14</v>
      </c>
      <c r="D364" s="4" t="s">
        <v>28</v>
      </c>
      <c r="E364" s="4" t="s">
        <v>16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4">
        <v>0</v>
      </c>
      <c r="Q364" s="4">
        <v>814</v>
      </c>
      <c r="R364" s="10">
        <v>3848</v>
      </c>
      <c r="S364" s="24">
        <f>SUM(tblSalesData[[#This Row],[FY 2000]:[FY 2012]])</f>
        <v>4662</v>
      </c>
      <c r="T364" s="11">
        <v>1.49</v>
      </c>
      <c r="U364" s="12">
        <f>tblSalesData[[#This Row],[Total Units 
to Date]]*tblSalesData[[#This Row],[Sell Price]]</f>
        <v>6946.38</v>
      </c>
      <c r="V364" s="3"/>
    </row>
    <row r="365" spans="1:22" x14ac:dyDescent="0.25">
      <c r="A365" s="4">
        <v>1008</v>
      </c>
      <c r="B365" s="9" t="s">
        <v>67</v>
      </c>
      <c r="C365" s="4" t="s">
        <v>14</v>
      </c>
      <c r="D365" s="4" t="s">
        <v>28</v>
      </c>
      <c r="E365" s="4" t="s">
        <v>16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4">
        <v>172756</v>
      </c>
      <c r="Q365" s="4">
        <v>189218</v>
      </c>
      <c r="R365" s="10">
        <v>233145</v>
      </c>
      <c r="S365" s="24">
        <f>SUM(tblSalesData[[#This Row],[FY 2000]:[FY 2012]])</f>
        <v>595119</v>
      </c>
      <c r="T365" s="11">
        <v>1.49</v>
      </c>
      <c r="U365" s="12">
        <f>tblSalesData[[#This Row],[Total Units 
to Date]]*tblSalesData[[#This Row],[Sell Price]]</f>
        <v>886727.30999999994</v>
      </c>
      <c r="V365" s="3"/>
    </row>
    <row r="366" spans="1:22" x14ac:dyDescent="0.25">
      <c r="A366" s="4">
        <v>1008</v>
      </c>
      <c r="B366" s="9" t="s">
        <v>67</v>
      </c>
      <c r="C366" s="4" t="s">
        <v>14</v>
      </c>
      <c r="D366" s="4" t="s">
        <v>28</v>
      </c>
      <c r="E366" s="4" t="s">
        <v>19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4">
        <v>299315</v>
      </c>
      <c r="Q366" s="4">
        <v>359022</v>
      </c>
      <c r="R366" s="10">
        <v>443540</v>
      </c>
      <c r="S366" s="24">
        <f>SUM(tblSalesData[[#This Row],[FY 2000]:[FY 2012]])</f>
        <v>1101877</v>
      </c>
      <c r="T366" s="11">
        <v>3.99</v>
      </c>
      <c r="U366" s="12">
        <f>tblSalesData[[#This Row],[Total Units 
to Date]]*tblSalesData[[#This Row],[Sell Price]]</f>
        <v>4396489.2300000004</v>
      </c>
      <c r="V366" s="3"/>
    </row>
    <row r="367" spans="1:22" x14ac:dyDescent="0.25">
      <c r="A367" s="4">
        <v>1008</v>
      </c>
      <c r="B367" s="9" t="s">
        <v>70</v>
      </c>
      <c r="C367" s="4" t="s">
        <v>14</v>
      </c>
      <c r="D367" s="4" t="s">
        <v>28</v>
      </c>
      <c r="E367" s="4" t="s">
        <v>16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4">
        <v>0</v>
      </c>
      <c r="Q367" s="4">
        <v>0</v>
      </c>
      <c r="R367" s="10">
        <v>564979</v>
      </c>
      <c r="S367" s="24">
        <f>SUM(tblSalesData[[#This Row],[FY 2000]:[FY 2012]])</f>
        <v>564979</v>
      </c>
      <c r="T367" s="11">
        <v>1.49</v>
      </c>
      <c r="U367" s="12">
        <f>tblSalesData[[#This Row],[Total Units 
to Date]]*tblSalesData[[#This Row],[Sell Price]]</f>
        <v>841818.71</v>
      </c>
      <c r="V367" s="3"/>
    </row>
    <row r="368" spans="1:22" x14ac:dyDescent="0.25">
      <c r="A368" s="4">
        <v>1012</v>
      </c>
      <c r="B368" s="9" t="s">
        <v>88</v>
      </c>
      <c r="C368" s="4" t="s">
        <v>14</v>
      </c>
      <c r="D368" s="4" t="s">
        <v>28</v>
      </c>
      <c r="E368" s="4" t="s">
        <v>16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244100</v>
      </c>
      <c r="P368" s="4">
        <v>466534</v>
      </c>
      <c r="Q368" s="4">
        <v>492094</v>
      </c>
      <c r="R368" s="10">
        <v>1155817</v>
      </c>
      <c r="S368" s="24">
        <f>SUM(tblSalesData[[#This Row],[FY 2000]:[FY 2012]])</f>
        <v>2358545</v>
      </c>
      <c r="T368" s="11">
        <v>1.49</v>
      </c>
      <c r="U368" s="12">
        <f>tblSalesData[[#This Row],[Total Units 
to Date]]*tblSalesData[[#This Row],[Sell Price]]</f>
        <v>3514232.05</v>
      </c>
      <c r="V368" s="3"/>
    </row>
    <row r="369" spans="1:22" x14ac:dyDescent="0.25">
      <c r="A369" s="4">
        <v>1013</v>
      </c>
      <c r="B369" s="9" t="s">
        <v>97</v>
      </c>
      <c r="C369" s="4" t="s">
        <v>14</v>
      </c>
      <c r="D369" s="4" t="s">
        <v>28</v>
      </c>
      <c r="E369" s="4" t="s">
        <v>16</v>
      </c>
      <c r="F369" s="10">
        <v>0</v>
      </c>
      <c r="G369" s="10">
        <v>0</v>
      </c>
      <c r="H369" s="10">
        <v>0</v>
      </c>
      <c r="I369" s="10">
        <v>0</v>
      </c>
      <c r="J369" s="10">
        <v>654</v>
      </c>
      <c r="K369" s="10">
        <v>1479</v>
      </c>
      <c r="L369" s="10">
        <v>1873</v>
      </c>
      <c r="M369" s="10">
        <v>2219</v>
      </c>
      <c r="N369" s="10">
        <v>2789</v>
      </c>
      <c r="O369" s="10">
        <v>3202</v>
      </c>
      <c r="P369" s="4">
        <v>4170</v>
      </c>
      <c r="Q369" s="4">
        <v>4838</v>
      </c>
      <c r="R369" s="10">
        <v>5591</v>
      </c>
      <c r="S369" s="24">
        <f>SUM(tblSalesData[[#This Row],[FY 2000]:[FY 2012]])</f>
        <v>26815</v>
      </c>
      <c r="T369" s="11">
        <v>1.49</v>
      </c>
      <c r="U369" s="12">
        <f>tblSalesData[[#This Row],[Total Units 
to Date]]*tblSalesData[[#This Row],[Sell Price]]</f>
        <v>39954.35</v>
      </c>
      <c r="V369" s="3"/>
    </row>
    <row r="370" spans="1:22" x14ac:dyDescent="0.25">
      <c r="A370" s="4">
        <v>1013</v>
      </c>
      <c r="B370" s="9" t="s">
        <v>104</v>
      </c>
      <c r="C370" s="4" t="s">
        <v>14</v>
      </c>
      <c r="D370" s="4" t="s">
        <v>28</v>
      </c>
      <c r="E370" s="4" t="s">
        <v>16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1715</v>
      </c>
      <c r="M370" s="10">
        <v>2568</v>
      </c>
      <c r="N370" s="10">
        <v>2703</v>
      </c>
      <c r="O370" s="10">
        <v>3708</v>
      </c>
      <c r="P370" s="4">
        <v>5116</v>
      </c>
      <c r="Q370" s="4">
        <v>7423</v>
      </c>
      <c r="R370" s="10">
        <v>7972</v>
      </c>
      <c r="S370" s="24">
        <f>SUM(tblSalesData[[#This Row],[FY 2000]:[FY 2012]])</f>
        <v>31205</v>
      </c>
      <c r="T370" s="11">
        <v>1.49</v>
      </c>
      <c r="U370" s="12">
        <f>tblSalesData[[#This Row],[Total Units 
to Date]]*tblSalesData[[#This Row],[Sell Price]]</f>
        <v>46495.45</v>
      </c>
      <c r="V370" s="3"/>
    </row>
    <row r="371" spans="1:22" x14ac:dyDescent="0.25">
      <c r="A371" s="4">
        <v>1013</v>
      </c>
      <c r="B371" s="9" t="s">
        <v>108</v>
      </c>
      <c r="C371" s="4" t="s">
        <v>14</v>
      </c>
      <c r="D371" s="4" t="s">
        <v>28</v>
      </c>
      <c r="E371" s="4" t="s">
        <v>19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2843</v>
      </c>
      <c r="O371" s="10">
        <v>3071</v>
      </c>
      <c r="P371" s="4">
        <v>4780</v>
      </c>
      <c r="Q371" s="4">
        <v>7836</v>
      </c>
      <c r="R371" s="10">
        <v>7159</v>
      </c>
      <c r="S371" s="24">
        <f>SUM(tblSalesData[[#This Row],[FY 2000]:[FY 2012]])</f>
        <v>25689</v>
      </c>
      <c r="T371" s="11">
        <v>3.99</v>
      </c>
      <c r="U371" s="12">
        <f>tblSalesData[[#This Row],[Total Units 
to Date]]*tblSalesData[[#This Row],[Sell Price]]</f>
        <v>102499.11</v>
      </c>
      <c r="V371" s="3"/>
    </row>
    <row r="372" spans="1:22" x14ac:dyDescent="0.25">
      <c r="A372" s="4">
        <v>1013</v>
      </c>
      <c r="B372" s="9" t="s">
        <v>111</v>
      </c>
      <c r="C372" s="4" t="s">
        <v>14</v>
      </c>
      <c r="D372" s="4" t="s">
        <v>28</v>
      </c>
      <c r="E372" s="4" t="s">
        <v>19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3770</v>
      </c>
      <c r="P372" s="4">
        <v>5516</v>
      </c>
      <c r="Q372" s="4">
        <v>7970</v>
      </c>
      <c r="R372" s="10">
        <v>7054</v>
      </c>
      <c r="S372" s="24">
        <f>SUM(tblSalesData[[#This Row],[FY 2000]:[FY 2012]])</f>
        <v>24310</v>
      </c>
      <c r="T372" s="11">
        <v>3.99</v>
      </c>
      <c r="U372" s="12">
        <f>tblSalesData[[#This Row],[Total Units 
to Date]]*tblSalesData[[#This Row],[Sell Price]]</f>
        <v>96996.900000000009</v>
      </c>
      <c r="V372" s="3"/>
    </row>
    <row r="373" spans="1:22" x14ac:dyDescent="0.25">
      <c r="A373" s="4">
        <v>1015</v>
      </c>
      <c r="B373" s="9" t="s">
        <v>121</v>
      </c>
      <c r="C373" s="4" t="s">
        <v>14</v>
      </c>
      <c r="D373" s="4" t="s">
        <v>28</v>
      </c>
      <c r="E373" s="4" t="s">
        <v>17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4">
        <v>3561</v>
      </c>
      <c r="Q373" s="4">
        <v>4346</v>
      </c>
      <c r="R373" s="10">
        <v>5036</v>
      </c>
      <c r="S373" s="24">
        <f>SUM(tblSalesData[[#This Row],[FY 2000]:[FY 2012]])</f>
        <v>12943</v>
      </c>
      <c r="T373" s="11">
        <v>1.99</v>
      </c>
      <c r="U373" s="12">
        <f>tblSalesData[[#This Row],[Total Units 
to Date]]*tblSalesData[[#This Row],[Sell Price]]</f>
        <v>25756.57</v>
      </c>
      <c r="V373" s="3"/>
    </row>
    <row r="374" spans="1:22" x14ac:dyDescent="0.25">
      <c r="A374" s="4">
        <v>1033</v>
      </c>
      <c r="B374" s="9" t="s">
        <v>182</v>
      </c>
      <c r="C374" s="4" t="s">
        <v>14</v>
      </c>
      <c r="D374" s="4" t="s">
        <v>28</v>
      </c>
      <c r="E374" s="4" t="s">
        <v>19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19016</v>
      </c>
      <c r="O374" s="10">
        <v>28424</v>
      </c>
      <c r="P374" s="4">
        <v>40856</v>
      </c>
      <c r="Q374" s="4">
        <v>49007</v>
      </c>
      <c r="R374" s="10">
        <v>61197</v>
      </c>
      <c r="S374" s="24">
        <f>SUM(tblSalesData[[#This Row],[FY 2000]:[FY 2012]])</f>
        <v>198500</v>
      </c>
      <c r="T374" s="11">
        <v>3.99</v>
      </c>
      <c r="U374" s="12">
        <f>tblSalesData[[#This Row],[Total Units 
to Date]]*tblSalesData[[#This Row],[Sell Price]]</f>
        <v>792015</v>
      </c>
      <c r="V374" s="3"/>
    </row>
    <row r="375" spans="1:22" x14ac:dyDescent="0.25">
      <c r="A375" s="4">
        <v>1034</v>
      </c>
      <c r="B375" s="9" t="s">
        <v>190</v>
      </c>
      <c r="C375" s="4" t="s">
        <v>14</v>
      </c>
      <c r="D375" s="4" t="s">
        <v>28</v>
      </c>
      <c r="E375" s="4" t="s">
        <v>16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5468</v>
      </c>
      <c r="M375" s="10">
        <v>7185</v>
      </c>
      <c r="N375" s="10">
        <v>9632</v>
      </c>
      <c r="O375" s="10">
        <v>19724</v>
      </c>
      <c r="P375" s="4">
        <v>24994</v>
      </c>
      <c r="Q375" s="4">
        <v>33197</v>
      </c>
      <c r="R375" s="10">
        <v>35166</v>
      </c>
      <c r="S375" s="24">
        <f>SUM(tblSalesData[[#This Row],[FY 2000]:[FY 2012]])</f>
        <v>135366</v>
      </c>
      <c r="T375" s="11">
        <v>1.49</v>
      </c>
      <c r="U375" s="12">
        <f>tblSalesData[[#This Row],[Total Units 
to Date]]*tblSalesData[[#This Row],[Sell Price]]</f>
        <v>201695.34</v>
      </c>
      <c r="V375" s="3"/>
    </row>
    <row r="376" spans="1:22" x14ac:dyDescent="0.25">
      <c r="A376" s="4">
        <v>1034</v>
      </c>
      <c r="B376" s="9" t="s">
        <v>190</v>
      </c>
      <c r="C376" s="4" t="s">
        <v>14</v>
      </c>
      <c r="D376" s="4" t="s">
        <v>28</v>
      </c>
      <c r="E376" s="4" t="s">
        <v>17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7378</v>
      </c>
      <c r="N376" s="10">
        <v>9075</v>
      </c>
      <c r="O376" s="10">
        <v>19955</v>
      </c>
      <c r="P376" s="4">
        <v>22759</v>
      </c>
      <c r="Q376" s="4">
        <v>32076</v>
      </c>
      <c r="R376" s="10">
        <v>36018</v>
      </c>
      <c r="S376" s="24">
        <f>SUM(tblSalesData[[#This Row],[FY 2000]:[FY 2012]])</f>
        <v>127261</v>
      </c>
      <c r="T376" s="11">
        <v>1.99</v>
      </c>
      <c r="U376" s="12">
        <f>tblSalesData[[#This Row],[Total Units 
to Date]]*tblSalesData[[#This Row],[Sell Price]]</f>
        <v>253249.38999999998</v>
      </c>
      <c r="V376" s="3"/>
    </row>
    <row r="377" spans="1:22" x14ac:dyDescent="0.25">
      <c r="A377" s="4">
        <v>1037</v>
      </c>
      <c r="B377" s="9" t="s">
        <v>198</v>
      </c>
      <c r="C377" s="4" t="s">
        <v>14</v>
      </c>
      <c r="D377" s="4" t="s">
        <v>28</v>
      </c>
      <c r="E377" s="4" t="s">
        <v>19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41164</v>
      </c>
      <c r="N377" s="10">
        <v>50757</v>
      </c>
      <c r="O377" s="10">
        <v>95957</v>
      </c>
      <c r="P377" s="4">
        <v>205646</v>
      </c>
      <c r="Q377" s="4">
        <v>336987</v>
      </c>
      <c r="R377" s="10">
        <v>648333</v>
      </c>
      <c r="S377" s="24">
        <f>SUM(tblSalesData[[#This Row],[FY 2000]:[FY 2012]])</f>
        <v>1378844</v>
      </c>
      <c r="T377" s="11">
        <v>3.99</v>
      </c>
      <c r="U377" s="12">
        <f>tblSalesData[[#This Row],[Total Units 
to Date]]*tblSalesData[[#This Row],[Sell Price]]</f>
        <v>5501587.5600000005</v>
      </c>
      <c r="V377" s="3"/>
    </row>
    <row r="378" spans="1:22" x14ac:dyDescent="0.25">
      <c r="A378" s="4">
        <v>1037</v>
      </c>
      <c r="B378" s="9" t="s">
        <v>200</v>
      </c>
      <c r="C378" s="4" t="s">
        <v>14</v>
      </c>
      <c r="D378" s="4" t="s">
        <v>28</v>
      </c>
      <c r="E378" s="4" t="s">
        <v>16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17720</v>
      </c>
      <c r="O378" s="10">
        <v>34731</v>
      </c>
      <c r="P378" s="4">
        <v>45774</v>
      </c>
      <c r="Q378" s="4">
        <v>111022</v>
      </c>
      <c r="R378" s="10">
        <v>98375</v>
      </c>
      <c r="S378" s="24">
        <f>SUM(tblSalesData[[#This Row],[FY 2000]:[FY 2012]])</f>
        <v>307622</v>
      </c>
      <c r="T378" s="11">
        <v>1.49</v>
      </c>
      <c r="U378" s="12">
        <f>tblSalesData[[#This Row],[Total Units 
to Date]]*tblSalesData[[#This Row],[Sell Price]]</f>
        <v>458356.77999999997</v>
      </c>
      <c r="V378" s="3"/>
    </row>
    <row r="379" spans="1:22" x14ac:dyDescent="0.25">
      <c r="A379" s="4">
        <v>1037</v>
      </c>
      <c r="B379" s="9" t="s">
        <v>201</v>
      </c>
      <c r="C379" s="4" t="s">
        <v>14</v>
      </c>
      <c r="D379" s="4" t="s">
        <v>28</v>
      </c>
      <c r="E379" s="4" t="s">
        <v>17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17801</v>
      </c>
      <c r="O379" s="10">
        <v>31473</v>
      </c>
      <c r="P379" s="4">
        <v>42688</v>
      </c>
      <c r="Q379" s="4">
        <v>111022</v>
      </c>
      <c r="R379" s="10">
        <v>98375</v>
      </c>
      <c r="S379" s="24">
        <f>SUM(tblSalesData[[#This Row],[FY 2000]:[FY 2012]])</f>
        <v>301359</v>
      </c>
      <c r="T379" s="11">
        <v>1.99</v>
      </c>
      <c r="U379" s="12">
        <f>tblSalesData[[#This Row],[Total Units 
to Date]]*tblSalesData[[#This Row],[Sell Price]]</f>
        <v>599704.41</v>
      </c>
      <c r="V379" s="3"/>
    </row>
    <row r="380" spans="1:22" x14ac:dyDescent="0.25">
      <c r="A380" s="4">
        <v>1037</v>
      </c>
      <c r="B380" s="9" t="s">
        <v>205</v>
      </c>
      <c r="C380" s="4" t="s">
        <v>14</v>
      </c>
      <c r="D380" s="4" t="s">
        <v>28</v>
      </c>
      <c r="E380" s="4" t="s">
        <v>17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4">
        <v>15552</v>
      </c>
      <c r="Q380" s="4">
        <v>6994</v>
      </c>
      <c r="R380" s="10">
        <v>46785</v>
      </c>
      <c r="S380" s="24">
        <f>SUM(tblSalesData[[#This Row],[FY 2000]:[FY 2012]])</f>
        <v>69331</v>
      </c>
      <c r="T380" s="11">
        <v>1.99</v>
      </c>
      <c r="U380" s="12">
        <f>tblSalesData[[#This Row],[Total Units 
to Date]]*tblSalesData[[#This Row],[Sell Price]]</f>
        <v>137968.69</v>
      </c>
      <c r="V380" s="3"/>
    </row>
    <row r="381" spans="1:22" x14ac:dyDescent="0.25">
      <c r="A381" s="4">
        <v>1039</v>
      </c>
      <c r="B381" s="9" t="s">
        <v>235</v>
      </c>
      <c r="C381" s="4" t="s">
        <v>14</v>
      </c>
      <c r="D381" s="4" t="s">
        <v>28</v>
      </c>
      <c r="E381" s="4" t="s">
        <v>17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459545</v>
      </c>
      <c r="O381" s="10">
        <v>311340</v>
      </c>
      <c r="P381" s="4">
        <v>338890</v>
      </c>
      <c r="Q381" s="4">
        <v>467453</v>
      </c>
      <c r="R381" s="10">
        <v>414345</v>
      </c>
      <c r="S381" s="24">
        <f>SUM(tblSalesData[[#This Row],[FY 2000]:[FY 2012]])</f>
        <v>1991573</v>
      </c>
      <c r="T381" s="11">
        <v>1.99</v>
      </c>
      <c r="U381" s="12">
        <f>tblSalesData[[#This Row],[Total Units 
to Date]]*tblSalesData[[#This Row],[Sell Price]]</f>
        <v>3963230.27</v>
      </c>
      <c r="V381" s="3"/>
    </row>
    <row r="382" spans="1:22" x14ac:dyDescent="0.25">
      <c r="A382" s="4">
        <v>1039</v>
      </c>
      <c r="B382" s="9" t="s">
        <v>235</v>
      </c>
      <c r="C382" s="4" t="s">
        <v>14</v>
      </c>
      <c r="D382" s="4" t="s">
        <v>28</v>
      </c>
      <c r="E382" s="4" t="s">
        <v>19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295421</v>
      </c>
      <c r="N382" s="10">
        <v>399838</v>
      </c>
      <c r="O382" s="10">
        <v>491274</v>
      </c>
      <c r="P382" s="4">
        <v>320565</v>
      </c>
      <c r="Q382" s="4">
        <v>452298</v>
      </c>
      <c r="R382" s="10">
        <v>387119</v>
      </c>
      <c r="S382" s="24">
        <f>SUM(tblSalesData[[#This Row],[FY 2000]:[FY 2012]])</f>
        <v>2346515</v>
      </c>
      <c r="T382" s="11">
        <v>3.99</v>
      </c>
      <c r="U382" s="12">
        <f>tblSalesData[[#This Row],[Total Units 
to Date]]*tblSalesData[[#This Row],[Sell Price]]</f>
        <v>9362594.8499999996</v>
      </c>
      <c r="V382" s="3"/>
    </row>
    <row r="383" spans="1:22" x14ac:dyDescent="0.25">
      <c r="A383" s="4">
        <v>1039</v>
      </c>
      <c r="B383" s="9" t="s">
        <v>236</v>
      </c>
      <c r="C383" s="4" t="s">
        <v>14</v>
      </c>
      <c r="D383" s="4" t="s">
        <v>28</v>
      </c>
      <c r="E383" s="4" t="s">
        <v>19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271958</v>
      </c>
      <c r="O383" s="10">
        <v>473775</v>
      </c>
      <c r="P383" s="4">
        <v>390143</v>
      </c>
      <c r="Q383" s="4">
        <v>528111</v>
      </c>
      <c r="R383" s="10">
        <v>320124</v>
      </c>
      <c r="S383" s="24">
        <f>SUM(tblSalesData[[#This Row],[FY 2000]:[FY 2012]])</f>
        <v>1984111</v>
      </c>
      <c r="T383" s="11">
        <v>3.99</v>
      </c>
      <c r="U383" s="12">
        <f>tblSalesData[[#This Row],[Total Units 
to Date]]*tblSalesData[[#This Row],[Sell Price]]</f>
        <v>7916602.8900000006</v>
      </c>
      <c r="V383" s="3"/>
    </row>
    <row r="384" spans="1:22" x14ac:dyDescent="0.25">
      <c r="A384" s="4">
        <v>1039</v>
      </c>
      <c r="B384" s="9" t="s">
        <v>237</v>
      </c>
      <c r="C384" s="4" t="s">
        <v>14</v>
      </c>
      <c r="D384" s="4" t="s">
        <v>28</v>
      </c>
      <c r="E384" s="4" t="s">
        <v>17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407848</v>
      </c>
      <c r="O384" s="10">
        <v>390467</v>
      </c>
      <c r="P384" s="4">
        <v>378567</v>
      </c>
      <c r="Q384" s="4">
        <v>463171</v>
      </c>
      <c r="R384" s="10">
        <v>355236</v>
      </c>
      <c r="S384" s="24">
        <f>SUM(tblSalesData[[#This Row],[FY 2000]:[FY 2012]])</f>
        <v>1995289</v>
      </c>
      <c r="T384" s="11">
        <v>1.99</v>
      </c>
      <c r="U384" s="12">
        <f>tblSalesData[[#This Row],[Total Units 
to Date]]*tblSalesData[[#This Row],[Sell Price]]</f>
        <v>3970625.11</v>
      </c>
      <c r="V384" s="3"/>
    </row>
    <row r="385" spans="1:22" x14ac:dyDescent="0.25">
      <c r="A385" s="4">
        <v>1042</v>
      </c>
      <c r="B385" s="9" t="s">
        <v>242</v>
      </c>
      <c r="C385" s="4" t="s">
        <v>14</v>
      </c>
      <c r="D385" s="4" t="s">
        <v>28</v>
      </c>
      <c r="E385" s="4" t="s">
        <v>19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18667</v>
      </c>
      <c r="P385" s="4">
        <v>22345</v>
      </c>
      <c r="Q385" s="4">
        <v>37223</v>
      </c>
      <c r="R385" s="10">
        <v>50606</v>
      </c>
      <c r="S385" s="24">
        <f>SUM(tblSalesData[[#This Row],[FY 2000]:[FY 2012]])</f>
        <v>128841</v>
      </c>
      <c r="T385" s="11">
        <v>3.99</v>
      </c>
      <c r="U385" s="12">
        <f>tblSalesData[[#This Row],[Total Units 
to Date]]*tblSalesData[[#This Row],[Sell Price]]</f>
        <v>514075.59</v>
      </c>
      <c r="V385" s="3"/>
    </row>
    <row r="386" spans="1:22" x14ac:dyDescent="0.25">
      <c r="A386" s="4">
        <v>1042</v>
      </c>
      <c r="B386" s="9" t="s">
        <v>249</v>
      </c>
      <c r="C386" s="4" t="s">
        <v>14</v>
      </c>
      <c r="D386" s="4" t="s">
        <v>28</v>
      </c>
      <c r="E386" s="4" t="s">
        <v>16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4">
        <v>22326</v>
      </c>
      <c r="Q386" s="4">
        <v>38127</v>
      </c>
      <c r="R386" s="10">
        <v>46264</v>
      </c>
      <c r="S386" s="24">
        <f>SUM(tblSalesData[[#This Row],[FY 2000]:[FY 2012]])</f>
        <v>106717</v>
      </c>
      <c r="T386" s="11">
        <v>1.49</v>
      </c>
      <c r="U386" s="12">
        <f>tblSalesData[[#This Row],[Total Units 
to Date]]*tblSalesData[[#This Row],[Sell Price]]</f>
        <v>159008.32999999999</v>
      </c>
      <c r="V386" s="3"/>
    </row>
    <row r="387" spans="1:22" x14ac:dyDescent="0.25">
      <c r="A387" s="4">
        <v>1042</v>
      </c>
      <c r="B387" s="9" t="s">
        <v>253</v>
      </c>
      <c r="C387" s="4" t="s">
        <v>14</v>
      </c>
      <c r="D387" s="4" t="s">
        <v>28</v>
      </c>
      <c r="E387" s="4" t="s">
        <v>17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4">
        <v>0</v>
      </c>
      <c r="Q387" s="4">
        <v>37214</v>
      </c>
      <c r="R387" s="10">
        <v>53805</v>
      </c>
      <c r="S387" s="24">
        <f>SUM(tblSalesData[[#This Row],[FY 2000]:[FY 2012]])</f>
        <v>91019</v>
      </c>
      <c r="T387" s="11">
        <v>1.99</v>
      </c>
      <c r="U387" s="12">
        <f>tblSalesData[[#This Row],[Total Units 
to Date]]*tblSalesData[[#This Row],[Sell Price]]</f>
        <v>181127.81</v>
      </c>
      <c r="V387" s="3"/>
    </row>
    <row r="388" spans="1:22" x14ac:dyDescent="0.25">
      <c r="A388" s="4">
        <v>1048</v>
      </c>
      <c r="B388" s="9" t="s">
        <v>257</v>
      </c>
      <c r="C388" s="4" t="s">
        <v>14</v>
      </c>
      <c r="D388" s="4" t="s">
        <v>28</v>
      </c>
      <c r="E388" s="4" t="s">
        <v>16</v>
      </c>
      <c r="F388" s="10">
        <v>0</v>
      </c>
      <c r="G388" s="10">
        <v>0</v>
      </c>
      <c r="H388" s="10">
        <v>0</v>
      </c>
      <c r="I388" s="10">
        <v>60236</v>
      </c>
      <c r="J388" s="10">
        <v>54580</v>
      </c>
      <c r="K388" s="10">
        <v>4995</v>
      </c>
      <c r="L388" s="10">
        <v>1622</v>
      </c>
      <c r="M388" s="10">
        <v>74520</v>
      </c>
      <c r="N388" s="10">
        <v>85725</v>
      </c>
      <c r="O388" s="10">
        <v>81550</v>
      </c>
      <c r="P388" s="4">
        <v>60956</v>
      </c>
      <c r="Q388" s="4">
        <v>111227</v>
      </c>
      <c r="R388" s="10">
        <v>42882</v>
      </c>
      <c r="S388" s="24">
        <f>SUM(tblSalesData[[#This Row],[FY 2000]:[FY 2012]])</f>
        <v>578293</v>
      </c>
      <c r="T388" s="11">
        <v>1.49</v>
      </c>
      <c r="U388" s="12">
        <f>tblSalesData[[#This Row],[Total Units 
to Date]]*tblSalesData[[#This Row],[Sell Price]]</f>
        <v>861656.57</v>
      </c>
      <c r="V388" s="3"/>
    </row>
    <row r="389" spans="1:22" x14ac:dyDescent="0.25">
      <c r="A389" s="4">
        <v>1048</v>
      </c>
      <c r="B389" s="9" t="s">
        <v>257</v>
      </c>
      <c r="C389" s="4" t="s">
        <v>14</v>
      </c>
      <c r="D389" s="4" t="s">
        <v>28</v>
      </c>
      <c r="E389" s="4" t="s">
        <v>17</v>
      </c>
      <c r="F389" s="10">
        <v>0</v>
      </c>
      <c r="G389" s="10">
        <v>0</v>
      </c>
      <c r="H389" s="10">
        <v>0</v>
      </c>
      <c r="I389" s="10">
        <v>0</v>
      </c>
      <c r="J389" s="10">
        <v>77998</v>
      </c>
      <c r="K389" s="10">
        <v>38314</v>
      </c>
      <c r="L389" s="10">
        <v>67875</v>
      </c>
      <c r="M389" s="10">
        <v>44425</v>
      </c>
      <c r="N389" s="10">
        <v>95363</v>
      </c>
      <c r="O389" s="10">
        <v>12726</v>
      </c>
      <c r="P389" s="4">
        <v>13440</v>
      </c>
      <c r="Q389" s="4">
        <v>25985</v>
      </c>
      <c r="R389" s="10">
        <v>14260</v>
      </c>
      <c r="S389" s="24">
        <f>SUM(tblSalesData[[#This Row],[FY 2000]:[FY 2012]])</f>
        <v>390386</v>
      </c>
      <c r="T389" s="11">
        <v>1.99</v>
      </c>
      <c r="U389" s="12">
        <f>tblSalesData[[#This Row],[Total Units 
to Date]]*tblSalesData[[#This Row],[Sell Price]]</f>
        <v>776868.14</v>
      </c>
      <c r="V389" s="3"/>
    </row>
    <row r="390" spans="1:22" x14ac:dyDescent="0.25">
      <c r="A390" s="4">
        <v>1048</v>
      </c>
      <c r="B390" s="9" t="s">
        <v>257</v>
      </c>
      <c r="C390" s="4" t="s">
        <v>14</v>
      </c>
      <c r="D390" s="4" t="s">
        <v>28</v>
      </c>
      <c r="E390" s="4" t="s">
        <v>19</v>
      </c>
      <c r="F390" s="10">
        <v>0</v>
      </c>
      <c r="G390" s="10">
        <v>0</v>
      </c>
      <c r="H390" s="10">
        <v>0</v>
      </c>
      <c r="I390" s="10">
        <v>968</v>
      </c>
      <c r="J390" s="10">
        <v>47374</v>
      </c>
      <c r="K390" s="10">
        <v>58646</v>
      </c>
      <c r="L390" s="10">
        <v>24363</v>
      </c>
      <c r="M390" s="10">
        <v>61797</v>
      </c>
      <c r="N390" s="10">
        <v>25259</v>
      </c>
      <c r="O390" s="10">
        <v>63561</v>
      </c>
      <c r="P390" s="4">
        <v>37222</v>
      </c>
      <c r="Q390" s="4">
        <v>47750</v>
      </c>
      <c r="R390" s="10">
        <v>73059</v>
      </c>
      <c r="S390" s="24">
        <f>SUM(tblSalesData[[#This Row],[FY 2000]:[FY 2012]])</f>
        <v>439999</v>
      </c>
      <c r="T390" s="11">
        <v>3.99</v>
      </c>
      <c r="U390" s="12">
        <f>tblSalesData[[#This Row],[Total Units 
to Date]]*tblSalesData[[#This Row],[Sell Price]]</f>
        <v>1755596.01</v>
      </c>
      <c r="V390" s="3"/>
    </row>
    <row r="391" spans="1:22" x14ac:dyDescent="0.25">
      <c r="A391" s="4">
        <v>1049</v>
      </c>
      <c r="B391" s="9" t="s">
        <v>272</v>
      </c>
      <c r="C391" s="4" t="s">
        <v>14</v>
      </c>
      <c r="D391" s="4" t="s">
        <v>28</v>
      </c>
      <c r="E391" s="4" t="s">
        <v>16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1600</v>
      </c>
      <c r="P391" s="4">
        <v>74890</v>
      </c>
      <c r="Q391" s="4">
        <v>81530</v>
      </c>
      <c r="R391" s="10">
        <v>10481</v>
      </c>
      <c r="S391" s="24">
        <f>SUM(tblSalesData[[#This Row],[FY 2000]:[FY 2012]])</f>
        <v>168501</v>
      </c>
      <c r="T391" s="11">
        <v>1.49</v>
      </c>
      <c r="U391" s="12">
        <f>tblSalesData[[#This Row],[Total Units 
to Date]]*tblSalesData[[#This Row],[Sell Price]]</f>
        <v>251066.49</v>
      </c>
      <c r="V391" s="3"/>
    </row>
    <row r="392" spans="1:22" x14ac:dyDescent="0.25">
      <c r="A392" s="4">
        <v>1056</v>
      </c>
      <c r="B392" s="9" t="s">
        <v>284</v>
      </c>
      <c r="C392" s="4" t="s">
        <v>14</v>
      </c>
      <c r="D392" s="4" t="s">
        <v>28</v>
      </c>
      <c r="E392" s="4" t="s">
        <v>19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4">
        <v>59199</v>
      </c>
      <c r="Q392" s="4">
        <v>45837</v>
      </c>
      <c r="R392" s="10">
        <v>13936</v>
      </c>
      <c r="S392" s="24">
        <f>SUM(tblSalesData[[#This Row],[FY 2000]:[FY 2012]])</f>
        <v>118972</v>
      </c>
      <c r="T392" s="11">
        <v>3.99</v>
      </c>
      <c r="U392" s="12">
        <f>tblSalesData[[#This Row],[Total Units 
to Date]]*tblSalesData[[#This Row],[Sell Price]]</f>
        <v>474698.28</v>
      </c>
      <c r="V392" s="3"/>
    </row>
    <row r="393" spans="1:22" x14ac:dyDescent="0.25">
      <c r="A393" s="4">
        <v>1057</v>
      </c>
      <c r="B393" s="9" t="s">
        <v>305</v>
      </c>
      <c r="C393" s="4" t="s">
        <v>14</v>
      </c>
      <c r="D393" s="4" t="s">
        <v>28</v>
      </c>
      <c r="E393" s="4" t="s">
        <v>19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94575</v>
      </c>
      <c r="M393" s="10">
        <v>91872</v>
      </c>
      <c r="N393" s="10">
        <v>79207</v>
      </c>
      <c r="O393" s="10">
        <v>62742</v>
      </c>
      <c r="P393" s="4">
        <v>17954</v>
      </c>
      <c r="Q393" s="4">
        <v>84534</v>
      </c>
      <c r="R393" s="10">
        <v>89648</v>
      </c>
      <c r="S393" s="24">
        <f>SUM(tblSalesData[[#This Row],[FY 2000]:[FY 2012]])</f>
        <v>520532</v>
      </c>
      <c r="T393" s="11">
        <v>3.99</v>
      </c>
      <c r="U393" s="12">
        <f>tblSalesData[[#This Row],[Total Units 
to Date]]*tblSalesData[[#This Row],[Sell Price]]</f>
        <v>2076922.6800000002</v>
      </c>
      <c r="V393" s="3"/>
    </row>
    <row r="394" spans="1:22" x14ac:dyDescent="0.25">
      <c r="A394" s="4">
        <v>1063</v>
      </c>
      <c r="B394" s="9" t="s">
        <v>323</v>
      </c>
      <c r="C394" s="4" t="s">
        <v>14</v>
      </c>
      <c r="D394" s="4" t="s">
        <v>28</v>
      </c>
      <c r="E394" s="4" t="s">
        <v>17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56419</v>
      </c>
      <c r="O394" s="10">
        <v>84884</v>
      </c>
      <c r="P394" s="4">
        <v>76390</v>
      </c>
      <c r="Q394" s="4">
        <v>85064</v>
      </c>
      <c r="R394" s="10">
        <v>76431</v>
      </c>
      <c r="S394" s="24">
        <f>SUM(tblSalesData[[#This Row],[FY 2000]:[FY 2012]])</f>
        <v>379188</v>
      </c>
      <c r="T394" s="11">
        <v>1.99</v>
      </c>
      <c r="U394" s="12">
        <f>tblSalesData[[#This Row],[Total Units 
to Date]]*tblSalesData[[#This Row],[Sell Price]]</f>
        <v>754584.12</v>
      </c>
      <c r="V394" s="3"/>
    </row>
    <row r="395" spans="1:22" x14ac:dyDescent="0.25">
      <c r="A395" s="4">
        <v>1065</v>
      </c>
      <c r="B395" s="9" t="s">
        <v>337</v>
      </c>
      <c r="C395" s="4" t="s">
        <v>14</v>
      </c>
      <c r="D395" s="4" t="s">
        <v>28</v>
      </c>
      <c r="E395" s="4" t="s">
        <v>19</v>
      </c>
      <c r="F395" s="10">
        <v>0</v>
      </c>
      <c r="G395" s="10">
        <v>0</v>
      </c>
      <c r="H395" s="10">
        <v>0</v>
      </c>
      <c r="I395" s="10">
        <v>0</v>
      </c>
      <c r="J395" s="10">
        <v>44960</v>
      </c>
      <c r="K395" s="10">
        <v>35594</v>
      </c>
      <c r="L395" s="10">
        <v>45759</v>
      </c>
      <c r="M395" s="10">
        <v>1089</v>
      </c>
      <c r="N395" s="10">
        <v>90896</v>
      </c>
      <c r="O395" s="10">
        <v>48110</v>
      </c>
      <c r="P395" s="4">
        <v>88547</v>
      </c>
      <c r="Q395" s="4">
        <v>112528</v>
      </c>
      <c r="R395" s="10">
        <v>85745</v>
      </c>
      <c r="S395" s="24">
        <f>SUM(tblSalesData[[#This Row],[FY 2000]:[FY 2012]])</f>
        <v>553228</v>
      </c>
      <c r="T395" s="11">
        <v>3.99</v>
      </c>
      <c r="U395" s="12">
        <f>tblSalesData[[#This Row],[Total Units 
to Date]]*tblSalesData[[#This Row],[Sell Price]]</f>
        <v>2207379.7200000002</v>
      </c>
      <c r="V395" s="3"/>
    </row>
    <row r="396" spans="1:22" x14ac:dyDescent="0.25">
      <c r="A396" s="4">
        <v>1065</v>
      </c>
      <c r="B396" s="9" t="s">
        <v>339</v>
      </c>
      <c r="C396" s="4" t="s">
        <v>14</v>
      </c>
      <c r="D396" s="4" t="s">
        <v>28</v>
      </c>
      <c r="E396" s="4" t="s">
        <v>16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97687</v>
      </c>
      <c r="L396" s="10">
        <v>42059</v>
      </c>
      <c r="M396" s="10">
        <v>40939</v>
      </c>
      <c r="N396" s="10">
        <v>47804</v>
      </c>
      <c r="O396" s="10">
        <v>4022</v>
      </c>
      <c r="P396" s="4">
        <v>3628</v>
      </c>
      <c r="Q396" s="4">
        <v>18642</v>
      </c>
      <c r="R396" s="10">
        <v>40662</v>
      </c>
      <c r="S396" s="24">
        <f>SUM(tblSalesData[[#This Row],[FY 2000]:[FY 2012]])</f>
        <v>295443</v>
      </c>
      <c r="T396" s="11">
        <v>1.49</v>
      </c>
      <c r="U396" s="12">
        <f>tblSalesData[[#This Row],[Total Units 
to Date]]*tblSalesData[[#This Row],[Sell Price]]</f>
        <v>440210.07</v>
      </c>
      <c r="V396" s="3"/>
    </row>
    <row r="397" spans="1:22" x14ac:dyDescent="0.25">
      <c r="A397" s="4">
        <v>1065</v>
      </c>
      <c r="B397" s="9" t="s">
        <v>341</v>
      </c>
      <c r="C397" s="4" t="s">
        <v>14</v>
      </c>
      <c r="D397" s="4" t="s">
        <v>28</v>
      </c>
      <c r="E397" s="4" t="s">
        <v>17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18603</v>
      </c>
      <c r="M397" s="10">
        <v>64505</v>
      </c>
      <c r="N397" s="10">
        <v>58145</v>
      </c>
      <c r="O397" s="10">
        <v>68398</v>
      </c>
      <c r="P397" s="4">
        <v>1303</v>
      </c>
      <c r="Q397" s="4">
        <v>41370</v>
      </c>
      <c r="R397" s="10">
        <v>16884</v>
      </c>
      <c r="S397" s="24">
        <f>SUM(tblSalesData[[#This Row],[FY 2000]:[FY 2012]])</f>
        <v>269208</v>
      </c>
      <c r="T397" s="11">
        <v>1.99</v>
      </c>
      <c r="U397" s="12">
        <f>tblSalesData[[#This Row],[Total Units 
to Date]]*tblSalesData[[#This Row],[Sell Price]]</f>
        <v>535723.92000000004</v>
      </c>
      <c r="V397" s="3"/>
    </row>
    <row r="398" spans="1:22" x14ac:dyDescent="0.25">
      <c r="A398" s="4">
        <v>1065</v>
      </c>
      <c r="B398" s="9" t="s">
        <v>344</v>
      </c>
      <c r="C398" s="4" t="s">
        <v>14</v>
      </c>
      <c r="D398" s="4" t="s">
        <v>28</v>
      </c>
      <c r="E398" s="4" t="s">
        <v>16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23999</v>
      </c>
      <c r="N398" s="10">
        <v>12007</v>
      </c>
      <c r="O398" s="10">
        <v>43405</v>
      </c>
      <c r="P398" s="4">
        <v>3925</v>
      </c>
      <c r="Q398" s="4">
        <v>53343</v>
      </c>
      <c r="R398" s="10">
        <v>40672</v>
      </c>
      <c r="S398" s="24">
        <f>SUM(tblSalesData[[#This Row],[FY 2000]:[FY 2012]])</f>
        <v>177351</v>
      </c>
      <c r="T398" s="11">
        <v>1.49</v>
      </c>
      <c r="U398" s="12">
        <f>tblSalesData[[#This Row],[Total Units 
to Date]]*tblSalesData[[#This Row],[Sell Price]]</f>
        <v>264252.99</v>
      </c>
      <c r="V398" s="3"/>
    </row>
    <row r="399" spans="1:22" x14ac:dyDescent="0.25">
      <c r="A399" s="4">
        <v>1065</v>
      </c>
      <c r="B399" s="9" t="s">
        <v>348</v>
      </c>
      <c r="C399" s="4" t="s">
        <v>14</v>
      </c>
      <c r="D399" s="4" t="s">
        <v>28</v>
      </c>
      <c r="E399" s="4" t="s">
        <v>16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59551</v>
      </c>
      <c r="P399" s="4">
        <v>36146</v>
      </c>
      <c r="Q399" s="4">
        <v>57049</v>
      </c>
      <c r="R399" s="10">
        <v>97906</v>
      </c>
      <c r="S399" s="24">
        <f>SUM(tblSalesData[[#This Row],[FY 2000]:[FY 2012]])</f>
        <v>250652</v>
      </c>
      <c r="T399" s="11">
        <v>1.49</v>
      </c>
      <c r="U399" s="12">
        <f>tblSalesData[[#This Row],[Total Units 
to Date]]*tblSalesData[[#This Row],[Sell Price]]</f>
        <v>373471.48</v>
      </c>
      <c r="V399" s="3"/>
    </row>
    <row r="400" spans="1:22" x14ac:dyDescent="0.25">
      <c r="A400" s="4">
        <v>1065</v>
      </c>
      <c r="B400" s="9" t="s">
        <v>349</v>
      </c>
      <c r="C400" s="4" t="s">
        <v>14</v>
      </c>
      <c r="D400" s="4" t="s">
        <v>28</v>
      </c>
      <c r="E400" s="4" t="s">
        <v>19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4">
        <v>103075</v>
      </c>
      <c r="Q400" s="4">
        <v>40460</v>
      </c>
      <c r="R400" s="10">
        <v>15564</v>
      </c>
      <c r="S400" s="24">
        <f>SUM(tblSalesData[[#This Row],[FY 2000]:[FY 2012]])</f>
        <v>159099</v>
      </c>
      <c r="T400" s="11">
        <v>3.99</v>
      </c>
      <c r="U400" s="12">
        <f>tblSalesData[[#This Row],[Total Units 
to Date]]*tblSalesData[[#This Row],[Sell Price]]</f>
        <v>634805.01</v>
      </c>
      <c r="V400" s="3"/>
    </row>
    <row r="401" spans="1:22" x14ac:dyDescent="0.25">
      <c r="A401" s="4">
        <v>1065</v>
      </c>
      <c r="B401" s="9" t="s">
        <v>350</v>
      </c>
      <c r="C401" s="4" t="s">
        <v>14</v>
      </c>
      <c r="D401" s="4" t="s">
        <v>28</v>
      </c>
      <c r="E401" s="4" t="s">
        <v>17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4">
        <v>73506</v>
      </c>
      <c r="Q401" s="4">
        <v>36510</v>
      </c>
      <c r="R401" s="10">
        <v>97379</v>
      </c>
      <c r="S401" s="24">
        <f>SUM(tblSalesData[[#This Row],[FY 2000]:[FY 2012]])</f>
        <v>207395</v>
      </c>
      <c r="T401" s="11">
        <v>1.99</v>
      </c>
      <c r="U401" s="12">
        <f>tblSalesData[[#This Row],[Total Units 
to Date]]*tblSalesData[[#This Row],[Sell Price]]</f>
        <v>412716.05</v>
      </c>
      <c r="V401" s="3"/>
    </row>
    <row r="402" spans="1:22" x14ac:dyDescent="0.25">
      <c r="A402" s="4">
        <v>1065</v>
      </c>
      <c r="B402" s="9" t="s">
        <v>352</v>
      </c>
      <c r="C402" s="4" t="s">
        <v>14</v>
      </c>
      <c r="D402" s="4" t="s">
        <v>28</v>
      </c>
      <c r="E402" s="4" t="s">
        <v>17</v>
      </c>
      <c r="F402" s="10">
        <v>0</v>
      </c>
      <c r="G402" s="10">
        <v>33561</v>
      </c>
      <c r="H402" s="10">
        <v>95542</v>
      </c>
      <c r="I402" s="10">
        <v>8850</v>
      </c>
      <c r="J402" s="10">
        <v>37290</v>
      </c>
      <c r="K402" s="10">
        <v>94143</v>
      </c>
      <c r="L402" s="10">
        <v>26408</v>
      </c>
      <c r="M402" s="10">
        <v>3216</v>
      </c>
      <c r="N402" s="10">
        <v>73131</v>
      </c>
      <c r="O402" s="10">
        <v>68338</v>
      </c>
      <c r="P402" s="4">
        <v>32618</v>
      </c>
      <c r="Q402" s="4">
        <v>102866</v>
      </c>
      <c r="R402" s="10">
        <v>73591</v>
      </c>
      <c r="S402" s="24">
        <f>SUM(tblSalesData[[#This Row],[FY 2000]:[FY 2012]])</f>
        <v>649554</v>
      </c>
      <c r="T402" s="11">
        <v>1.99</v>
      </c>
      <c r="U402" s="12">
        <f>tblSalesData[[#This Row],[Total Units 
to Date]]*tblSalesData[[#This Row],[Sell Price]]</f>
        <v>1292612.46</v>
      </c>
      <c r="V402" s="3"/>
    </row>
    <row r="403" spans="1:22" x14ac:dyDescent="0.25">
      <c r="A403" s="4">
        <v>1065</v>
      </c>
      <c r="B403" s="9" t="s">
        <v>352</v>
      </c>
      <c r="C403" s="4" t="s">
        <v>14</v>
      </c>
      <c r="D403" s="4" t="s">
        <v>28</v>
      </c>
      <c r="E403" s="4" t="s">
        <v>19</v>
      </c>
      <c r="F403" s="10">
        <v>0</v>
      </c>
      <c r="G403" s="10">
        <v>85331</v>
      </c>
      <c r="H403" s="10">
        <v>2856</v>
      </c>
      <c r="I403" s="10">
        <v>42382</v>
      </c>
      <c r="J403" s="10">
        <v>23548</v>
      </c>
      <c r="K403" s="10">
        <v>98756</v>
      </c>
      <c r="L403" s="10">
        <v>8145</v>
      </c>
      <c r="M403" s="10">
        <v>49781</v>
      </c>
      <c r="N403" s="10">
        <v>52158</v>
      </c>
      <c r="O403" s="10">
        <v>24314</v>
      </c>
      <c r="P403" s="4">
        <v>34036</v>
      </c>
      <c r="Q403" s="4">
        <v>104821</v>
      </c>
      <c r="R403" s="10">
        <v>63350</v>
      </c>
      <c r="S403" s="24">
        <f>SUM(tblSalesData[[#This Row],[FY 2000]:[FY 2012]])</f>
        <v>589478</v>
      </c>
      <c r="T403" s="11">
        <v>3.99</v>
      </c>
      <c r="U403" s="12">
        <f>tblSalesData[[#This Row],[Total Units 
to Date]]*tblSalesData[[#This Row],[Sell Price]]</f>
        <v>2352017.2200000002</v>
      </c>
      <c r="V403" s="3"/>
    </row>
    <row r="404" spans="1:22" x14ac:dyDescent="0.25">
      <c r="A404" s="4">
        <v>1066</v>
      </c>
      <c r="B404" s="9" t="s">
        <v>356</v>
      </c>
      <c r="C404" s="4" t="s">
        <v>14</v>
      </c>
      <c r="D404" s="4" t="s">
        <v>28</v>
      </c>
      <c r="E404" s="4" t="s">
        <v>17</v>
      </c>
      <c r="F404" s="10">
        <v>0</v>
      </c>
      <c r="G404" s="10">
        <v>0</v>
      </c>
      <c r="H404" s="10">
        <v>14571</v>
      </c>
      <c r="I404" s="10">
        <v>77229</v>
      </c>
      <c r="J404" s="10">
        <v>20542</v>
      </c>
      <c r="K404" s="10">
        <v>45784</v>
      </c>
      <c r="L404" s="10">
        <v>30600</v>
      </c>
      <c r="M404" s="10">
        <v>80961</v>
      </c>
      <c r="N404" s="10">
        <v>43434</v>
      </c>
      <c r="O404" s="10">
        <v>50921</v>
      </c>
      <c r="P404" s="4">
        <v>81721</v>
      </c>
      <c r="Q404" s="4">
        <v>37863</v>
      </c>
      <c r="R404" s="10">
        <v>66101</v>
      </c>
      <c r="S404" s="24">
        <f>SUM(tblSalesData[[#This Row],[FY 2000]:[FY 2012]])</f>
        <v>549727</v>
      </c>
      <c r="T404" s="11">
        <v>1.99</v>
      </c>
      <c r="U404" s="12">
        <f>tblSalesData[[#This Row],[Total Units 
to Date]]*tblSalesData[[#This Row],[Sell Price]]</f>
        <v>1093956.73</v>
      </c>
      <c r="V404" s="3"/>
    </row>
    <row r="405" spans="1:22" x14ac:dyDescent="0.25">
      <c r="A405" s="4">
        <v>1067</v>
      </c>
      <c r="B405" s="9" t="s">
        <v>363</v>
      </c>
      <c r="C405" s="4" t="s">
        <v>14</v>
      </c>
      <c r="D405" s="4" t="s">
        <v>28</v>
      </c>
      <c r="E405" s="4" t="s">
        <v>16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4">
        <v>0</v>
      </c>
      <c r="Q405" s="4">
        <v>0</v>
      </c>
      <c r="R405" s="10">
        <v>2381531</v>
      </c>
      <c r="S405" s="24">
        <f>SUM(tblSalesData[[#This Row],[FY 2000]:[FY 2012]])</f>
        <v>2381531</v>
      </c>
      <c r="T405" s="11">
        <v>1.49</v>
      </c>
      <c r="U405" s="12">
        <f>tblSalesData[[#This Row],[Total Units 
to Date]]*tblSalesData[[#This Row],[Sell Price]]</f>
        <v>3548481.19</v>
      </c>
      <c r="V405" s="3"/>
    </row>
    <row r="406" spans="1:22" x14ac:dyDescent="0.25">
      <c r="A406" s="4">
        <v>1067</v>
      </c>
      <c r="B406" s="9" t="s">
        <v>378</v>
      </c>
      <c r="C406" s="4" t="s">
        <v>14</v>
      </c>
      <c r="D406" s="4" t="s">
        <v>28</v>
      </c>
      <c r="E406" s="4" t="s">
        <v>17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4">
        <v>0</v>
      </c>
      <c r="Q406" s="4">
        <v>0</v>
      </c>
      <c r="R406" s="10">
        <v>1111437</v>
      </c>
      <c r="S406" s="24">
        <f>SUM(tblSalesData[[#This Row],[FY 2000]:[FY 2012]])</f>
        <v>1111437</v>
      </c>
      <c r="T406" s="11">
        <v>1.99</v>
      </c>
      <c r="U406" s="12">
        <f>tblSalesData[[#This Row],[Total Units 
to Date]]*tblSalesData[[#This Row],[Sell Price]]</f>
        <v>2211759.63</v>
      </c>
      <c r="V406" s="3"/>
    </row>
    <row r="407" spans="1:22" x14ac:dyDescent="0.25">
      <c r="A407" s="4">
        <v>1008</v>
      </c>
      <c r="B407" s="9" t="s">
        <v>73</v>
      </c>
      <c r="C407" s="4" t="s">
        <v>15</v>
      </c>
      <c r="D407" s="4" t="s">
        <v>28</v>
      </c>
      <c r="E407" s="4" t="s">
        <v>19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4">
        <v>0</v>
      </c>
      <c r="Q407" s="4">
        <v>0</v>
      </c>
      <c r="R407" s="10">
        <v>531</v>
      </c>
      <c r="S407" s="24">
        <f>SUM(tblSalesData[[#This Row],[FY 2000]:[FY 2012]])</f>
        <v>531</v>
      </c>
      <c r="T407" s="11">
        <v>3.99</v>
      </c>
      <c r="U407" s="12">
        <f>tblSalesData[[#This Row],[Total Units 
to Date]]*tblSalesData[[#This Row],[Sell Price]]</f>
        <v>2118.69</v>
      </c>
      <c r="V407" s="3"/>
    </row>
    <row r="408" spans="1:22" x14ac:dyDescent="0.25">
      <c r="A408" s="4">
        <v>1008</v>
      </c>
      <c r="B408" s="9" t="s">
        <v>76</v>
      </c>
      <c r="C408" s="4" t="s">
        <v>15</v>
      </c>
      <c r="D408" s="4" t="s">
        <v>28</v>
      </c>
      <c r="E408" s="4" t="s">
        <v>16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4">
        <v>0</v>
      </c>
      <c r="Q408" s="4">
        <v>4683</v>
      </c>
      <c r="R408" s="10">
        <v>16517</v>
      </c>
      <c r="S408" s="24">
        <f>SUM(tblSalesData[[#This Row],[FY 2000]:[FY 2012]])</f>
        <v>21200</v>
      </c>
      <c r="T408" s="11">
        <v>1.49</v>
      </c>
      <c r="U408" s="12">
        <f>tblSalesData[[#This Row],[Total Units 
to Date]]*tblSalesData[[#This Row],[Sell Price]]</f>
        <v>31588</v>
      </c>
      <c r="V408" s="3"/>
    </row>
    <row r="409" spans="1:22" x14ac:dyDescent="0.25">
      <c r="A409" s="4">
        <v>1008</v>
      </c>
      <c r="B409" s="9" t="s">
        <v>76</v>
      </c>
      <c r="C409" s="4" t="s">
        <v>15</v>
      </c>
      <c r="D409" s="4" t="s">
        <v>28</v>
      </c>
      <c r="E409" s="4" t="s">
        <v>17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4">
        <v>0</v>
      </c>
      <c r="Q409" s="4">
        <v>0</v>
      </c>
      <c r="R409" s="10">
        <v>32933</v>
      </c>
      <c r="S409" s="24">
        <f>SUM(tblSalesData[[#This Row],[FY 2000]:[FY 2012]])</f>
        <v>32933</v>
      </c>
      <c r="T409" s="11">
        <v>1.99</v>
      </c>
      <c r="U409" s="12">
        <f>tblSalesData[[#This Row],[Total Units 
to Date]]*tblSalesData[[#This Row],[Sell Price]]</f>
        <v>65536.67</v>
      </c>
      <c r="V409" s="3"/>
    </row>
    <row r="410" spans="1:22" x14ac:dyDescent="0.25">
      <c r="A410" s="4">
        <v>1011</v>
      </c>
      <c r="B410" s="9" t="s">
        <v>85</v>
      </c>
      <c r="C410" s="4" t="s">
        <v>15</v>
      </c>
      <c r="D410" s="4" t="s">
        <v>28</v>
      </c>
      <c r="E410" s="4" t="s">
        <v>17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2313</v>
      </c>
      <c r="O410" s="10">
        <v>1935</v>
      </c>
      <c r="P410" s="4">
        <v>2441</v>
      </c>
      <c r="Q410" s="4">
        <v>3309</v>
      </c>
      <c r="R410" s="10">
        <v>3328</v>
      </c>
      <c r="S410" s="24">
        <f>SUM(tblSalesData[[#This Row],[FY 2000]:[FY 2012]])</f>
        <v>13326</v>
      </c>
      <c r="T410" s="11">
        <v>1.99</v>
      </c>
      <c r="U410" s="12">
        <f>tblSalesData[[#This Row],[Total Units 
to Date]]*tblSalesData[[#This Row],[Sell Price]]</f>
        <v>26518.74</v>
      </c>
      <c r="V410" s="3"/>
    </row>
    <row r="411" spans="1:22" x14ac:dyDescent="0.25">
      <c r="A411" s="4">
        <v>1012</v>
      </c>
      <c r="B411" s="9" t="s">
        <v>87</v>
      </c>
      <c r="C411" s="4" t="s">
        <v>15</v>
      </c>
      <c r="D411" s="4" t="s">
        <v>28</v>
      </c>
      <c r="E411" s="4" t="s">
        <v>16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197444</v>
      </c>
      <c r="P411" s="4">
        <v>465142</v>
      </c>
      <c r="Q411" s="4">
        <v>638497</v>
      </c>
      <c r="R411" s="10">
        <v>1199412</v>
      </c>
      <c r="S411" s="24">
        <f>SUM(tblSalesData[[#This Row],[FY 2000]:[FY 2012]])</f>
        <v>2500495</v>
      </c>
      <c r="T411" s="11">
        <v>1.49</v>
      </c>
      <c r="U411" s="12">
        <f>tblSalesData[[#This Row],[Total Units 
to Date]]*tblSalesData[[#This Row],[Sell Price]]</f>
        <v>3725737.55</v>
      </c>
      <c r="V411" s="3"/>
    </row>
    <row r="412" spans="1:22" x14ac:dyDescent="0.25">
      <c r="A412" s="4">
        <v>1012</v>
      </c>
      <c r="B412" s="9" t="s">
        <v>87</v>
      </c>
      <c r="C412" s="4" t="s">
        <v>15</v>
      </c>
      <c r="D412" s="4" t="s">
        <v>28</v>
      </c>
      <c r="E412" s="4" t="s">
        <v>17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145413</v>
      </c>
      <c r="P412" s="4">
        <v>551950</v>
      </c>
      <c r="Q412" s="4">
        <v>493740</v>
      </c>
      <c r="R412" s="10">
        <v>1067142</v>
      </c>
      <c r="S412" s="24">
        <f>SUM(tblSalesData[[#This Row],[FY 2000]:[FY 2012]])</f>
        <v>2258245</v>
      </c>
      <c r="T412" s="11">
        <v>1.99</v>
      </c>
      <c r="U412" s="12">
        <f>tblSalesData[[#This Row],[Total Units 
to Date]]*tblSalesData[[#This Row],[Sell Price]]</f>
        <v>4493907.55</v>
      </c>
      <c r="V412" s="3"/>
    </row>
    <row r="413" spans="1:22" x14ac:dyDescent="0.25">
      <c r="A413" s="4">
        <v>1013</v>
      </c>
      <c r="B413" s="9" t="s">
        <v>96</v>
      </c>
      <c r="C413" s="4" t="s">
        <v>15</v>
      </c>
      <c r="D413" s="4" t="s">
        <v>28</v>
      </c>
      <c r="E413" s="4" t="s">
        <v>16</v>
      </c>
      <c r="F413" s="10">
        <v>0</v>
      </c>
      <c r="G413" s="10">
        <v>0</v>
      </c>
      <c r="H413" s="10">
        <v>0</v>
      </c>
      <c r="I413" s="10">
        <v>216</v>
      </c>
      <c r="J413" s="10">
        <v>835</v>
      </c>
      <c r="K413" s="10">
        <v>1289</v>
      </c>
      <c r="L413" s="10">
        <v>1672</v>
      </c>
      <c r="M413" s="10">
        <v>2215</v>
      </c>
      <c r="N413" s="10">
        <v>2595</v>
      </c>
      <c r="O413" s="10">
        <v>3324</v>
      </c>
      <c r="P413" s="4">
        <v>4102</v>
      </c>
      <c r="Q413" s="4">
        <v>5023</v>
      </c>
      <c r="R413" s="10">
        <v>5444</v>
      </c>
      <c r="S413" s="24">
        <f>SUM(tblSalesData[[#This Row],[FY 2000]:[FY 2012]])</f>
        <v>26715</v>
      </c>
      <c r="T413" s="11">
        <v>1.49</v>
      </c>
      <c r="U413" s="12">
        <f>tblSalesData[[#This Row],[Total Units 
to Date]]*tblSalesData[[#This Row],[Sell Price]]</f>
        <v>39805.35</v>
      </c>
      <c r="V413" s="3"/>
    </row>
    <row r="414" spans="1:22" x14ac:dyDescent="0.25">
      <c r="A414" s="4">
        <v>1013</v>
      </c>
      <c r="B414" s="9" t="s">
        <v>103</v>
      </c>
      <c r="C414" s="4" t="s">
        <v>15</v>
      </c>
      <c r="D414" s="4" t="s">
        <v>28</v>
      </c>
      <c r="E414" s="4" t="s">
        <v>19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2120</v>
      </c>
      <c r="M414" s="10">
        <v>2521</v>
      </c>
      <c r="N414" s="10">
        <v>2794</v>
      </c>
      <c r="O414" s="10">
        <v>3964</v>
      </c>
      <c r="P414" s="4">
        <v>5563</v>
      </c>
      <c r="Q414" s="4">
        <v>7522</v>
      </c>
      <c r="R414" s="10">
        <v>7543</v>
      </c>
      <c r="S414" s="24">
        <f>SUM(tblSalesData[[#This Row],[FY 2000]:[FY 2012]])</f>
        <v>32027</v>
      </c>
      <c r="T414" s="11">
        <v>3.99</v>
      </c>
      <c r="U414" s="12">
        <f>tblSalesData[[#This Row],[Total Units 
to Date]]*tblSalesData[[#This Row],[Sell Price]]</f>
        <v>127787.73000000001</v>
      </c>
      <c r="V414" s="3"/>
    </row>
    <row r="415" spans="1:22" x14ac:dyDescent="0.25">
      <c r="A415" s="4">
        <v>1015</v>
      </c>
      <c r="B415" s="9" t="s">
        <v>117</v>
      </c>
      <c r="C415" s="4" t="s">
        <v>15</v>
      </c>
      <c r="D415" s="4" t="s">
        <v>28</v>
      </c>
      <c r="E415" s="4" t="s">
        <v>16</v>
      </c>
      <c r="F415" s="10">
        <v>0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4">
        <v>0</v>
      </c>
      <c r="Q415" s="4">
        <v>4465</v>
      </c>
      <c r="R415" s="10">
        <v>5347</v>
      </c>
      <c r="S415" s="24">
        <f>SUM(tblSalesData[[#This Row],[FY 2000]:[FY 2012]])</f>
        <v>9812</v>
      </c>
      <c r="T415" s="11">
        <v>1.49</v>
      </c>
      <c r="U415" s="12">
        <f>tblSalesData[[#This Row],[Total Units 
to Date]]*tblSalesData[[#This Row],[Sell Price]]</f>
        <v>14619.88</v>
      </c>
      <c r="V415" s="3"/>
    </row>
    <row r="416" spans="1:22" x14ac:dyDescent="0.25">
      <c r="A416" s="4">
        <v>1015</v>
      </c>
      <c r="B416" s="9" t="s">
        <v>118</v>
      </c>
      <c r="C416" s="4" t="s">
        <v>15</v>
      </c>
      <c r="D416" s="4" t="s">
        <v>28</v>
      </c>
      <c r="E416" s="4" t="s">
        <v>16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4">
        <v>0</v>
      </c>
      <c r="Q416" s="4">
        <v>0</v>
      </c>
      <c r="R416" s="10">
        <v>760465</v>
      </c>
      <c r="S416" s="24">
        <f>SUM(tblSalesData[[#This Row],[FY 2000]:[FY 2012]])</f>
        <v>760465</v>
      </c>
      <c r="T416" s="11">
        <v>1.49</v>
      </c>
      <c r="U416" s="12">
        <f>tblSalesData[[#This Row],[Total Units 
to Date]]*tblSalesData[[#This Row],[Sell Price]]</f>
        <v>1133092.8500000001</v>
      </c>
      <c r="V416" s="3"/>
    </row>
    <row r="417" spans="1:22" x14ac:dyDescent="0.25">
      <c r="A417" s="4">
        <v>1015</v>
      </c>
      <c r="B417" s="9" t="s">
        <v>118</v>
      </c>
      <c r="C417" s="4" t="s">
        <v>15</v>
      </c>
      <c r="D417" s="4" t="s">
        <v>28</v>
      </c>
      <c r="E417" s="4" t="s">
        <v>19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4">
        <v>0</v>
      </c>
      <c r="Q417" s="4">
        <v>464920</v>
      </c>
      <c r="R417" s="10">
        <v>568013</v>
      </c>
      <c r="S417" s="24">
        <f>SUM(tblSalesData[[#This Row],[FY 2000]:[FY 2012]])</f>
        <v>1032933</v>
      </c>
      <c r="T417" s="11">
        <v>3.99</v>
      </c>
      <c r="U417" s="12">
        <f>tblSalesData[[#This Row],[Total Units 
to Date]]*tblSalesData[[#This Row],[Sell Price]]</f>
        <v>4121402.6700000004</v>
      </c>
      <c r="V417" s="3"/>
    </row>
    <row r="418" spans="1:22" x14ac:dyDescent="0.25">
      <c r="A418" s="4">
        <v>1032</v>
      </c>
      <c r="B418" s="9" t="s">
        <v>156</v>
      </c>
      <c r="C418" s="4" t="s">
        <v>15</v>
      </c>
      <c r="D418" s="4" t="s">
        <v>28</v>
      </c>
      <c r="E418" s="4" t="s">
        <v>17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68990</v>
      </c>
      <c r="M418" s="10">
        <v>11327</v>
      </c>
      <c r="N418" s="10">
        <v>8467</v>
      </c>
      <c r="O418" s="10">
        <v>57582</v>
      </c>
      <c r="P418" s="4">
        <v>80334</v>
      </c>
      <c r="Q418" s="4">
        <v>26641</v>
      </c>
      <c r="R418" s="10">
        <v>27160</v>
      </c>
      <c r="S418" s="24">
        <f>SUM(tblSalesData[[#This Row],[FY 2000]:[FY 2012]])</f>
        <v>280501</v>
      </c>
      <c r="T418" s="11">
        <v>1.99</v>
      </c>
      <c r="U418" s="12">
        <f>tblSalesData[[#This Row],[Total Units 
to Date]]*tblSalesData[[#This Row],[Sell Price]]</f>
        <v>558196.99</v>
      </c>
      <c r="V418" s="3"/>
    </row>
    <row r="419" spans="1:22" x14ac:dyDescent="0.25">
      <c r="A419" s="4">
        <v>1033</v>
      </c>
      <c r="B419" s="9" t="s">
        <v>168</v>
      </c>
      <c r="C419" s="4" t="s">
        <v>15</v>
      </c>
      <c r="D419" s="4" t="s">
        <v>28</v>
      </c>
      <c r="E419" s="4" t="s">
        <v>19</v>
      </c>
      <c r="F419" s="10">
        <v>0</v>
      </c>
      <c r="G419" s="10">
        <v>0</v>
      </c>
      <c r="H419" s="10">
        <v>0</v>
      </c>
      <c r="I419" s="10">
        <v>4136</v>
      </c>
      <c r="J419" s="10">
        <v>5902</v>
      </c>
      <c r="K419" s="10">
        <v>9285</v>
      </c>
      <c r="L419" s="10">
        <v>10051</v>
      </c>
      <c r="M419" s="10">
        <v>15925</v>
      </c>
      <c r="N419" s="10">
        <v>19311</v>
      </c>
      <c r="O419" s="10">
        <v>26245</v>
      </c>
      <c r="P419" s="4">
        <v>40403</v>
      </c>
      <c r="Q419" s="4">
        <v>55140</v>
      </c>
      <c r="R419" s="10">
        <v>64891</v>
      </c>
      <c r="S419" s="24">
        <f>SUM(tblSalesData[[#This Row],[FY 2000]:[FY 2012]])</f>
        <v>251289</v>
      </c>
      <c r="T419" s="11">
        <v>3.99</v>
      </c>
      <c r="U419" s="12">
        <f>tblSalesData[[#This Row],[Total Units 
to Date]]*tblSalesData[[#This Row],[Sell Price]]</f>
        <v>1002643.1100000001</v>
      </c>
      <c r="V419" s="3"/>
    </row>
    <row r="420" spans="1:22" x14ac:dyDescent="0.25">
      <c r="A420" s="4">
        <v>1033</v>
      </c>
      <c r="B420" s="9" t="s">
        <v>172</v>
      </c>
      <c r="C420" s="4" t="s">
        <v>15</v>
      </c>
      <c r="D420" s="4" t="s">
        <v>28</v>
      </c>
      <c r="E420" s="4" t="s">
        <v>17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9007</v>
      </c>
      <c r="L420" s="10">
        <v>11459</v>
      </c>
      <c r="M420" s="10">
        <v>16581</v>
      </c>
      <c r="N420" s="10">
        <v>17716</v>
      </c>
      <c r="O420" s="10">
        <v>26215</v>
      </c>
      <c r="P420" s="4">
        <v>35130</v>
      </c>
      <c r="Q420" s="4">
        <v>66519</v>
      </c>
      <c r="R420" s="10">
        <v>72571</v>
      </c>
      <c r="S420" s="24">
        <f>SUM(tblSalesData[[#This Row],[FY 2000]:[FY 2012]])</f>
        <v>255198</v>
      </c>
      <c r="T420" s="11">
        <v>1.99</v>
      </c>
      <c r="U420" s="12">
        <f>tblSalesData[[#This Row],[Total Units 
to Date]]*tblSalesData[[#This Row],[Sell Price]]</f>
        <v>507844.02</v>
      </c>
      <c r="V420" s="3"/>
    </row>
    <row r="421" spans="1:22" x14ac:dyDescent="0.25">
      <c r="A421" s="4">
        <v>1033</v>
      </c>
      <c r="B421" s="9" t="s">
        <v>184</v>
      </c>
      <c r="C421" s="4" t="s">
        <v>15</v>
      </c>
      <c r="D421" s="4" t="s">
        <v>28</v>
      </c>
      <c r="E421" s="4" t="s">
        <v>16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4">
        <v>43012</v>
      </c>
      <c r="Q421" s="4">
        <v>63861</v>
      </c>
      <c r="R421" s="10">
        <v>64833</v>
      </c>
      <c r="S421" s="24">
        <f>SUM(tblSalesData[[#This Row],[FY 2000]:[FY 2012]])</f>
        <v>171706</v>
      </c>
      <c r="T421" s="11">
        <v>1.49</v>
      </c>
      <c r="U421" s="12">
        <f>tblSalesData[[#This Row],[Total Units 
to Date]]*tblSalesData[[#This Row],[Sell Price]]</f>
        <v>255841.94</v>
      </c>
      <c r="V421" s="3"/>
    </row>
    <row r="422" spans="1:22" x14ac:dyDescent="0.25">
      <c r="A422" s="4">
        <v>1037</v>
      </c>
      <c r="B422" s="9" t="s">
        <v>196</v>
      </c>
      <c r="C422" s="4" t="s">
        <v>15</v>
      </c>
      <c r="D422" s="4" t="s">
        <v>28</v>
      </c>
      <c r="E422" s="4" t="s">
        <v>19</v>
      </c>
      <c r="F422" s="10">
        <v>0</v>
      </c>
      <c r="G422" s="10">
        <v>0</v>
      </c>
      <c r="H422" s="10">
        <v>0</v>
      </c>
      <c r="I422" s="10">
        <v>0</v>
      </c>
      <c r="J422" s="10">
        <v>14675</v>
      </c>
      <c r="K422" s="10">
        <v>17700</v>
      </c>
      <c r="L422" s="10">
        <v>29384</v>
      </c>
      <c r="M422" s="10">
        <v>44387</v>
      </c>
      <c r="N422" s="10">
        <v>51981</v>
      </c>
      <c r="O422" s="10">
        <v>97297</v>
      </c>
      <c r="P422" s="4">
        <v>168211</v>
      </c>
      <c r="Q422" s="4">
        <v>390997</v>
      </c>
      <c r="R422" s="10">
        <v>521872</v>
      </c>
      <c r="S422" s="24">
        <f>SUM(tblSalesData[[#This Row],[FY 2000]:[FY 2012]])</f>
        <v>1336504</v>
      </c>
      <c r="T422" s="11">
        <v>3.99</v>
      </c>
      <c r="U422" s="12">
        <f>tblSalesData[[#This Row],[Total Units 
to Date]]*tblSalesData[[#This Row],[Sell Price]]</f>
        <v>5332650.96</v>
      </c>
      <c r="V422" s="3"/>
    </row>
    <row r="423" spans="1:22" x14ac:dyDescent="0.25">
      <c r="A423" s="4">
        <v>1039</v>
      </c>
      <c r="B423" s="9" t="s">
        <v>238</v>
      </c>
      <c r="C423" s="4" t="s">
        <v>15</v>
      </c>
      <c r="D423" s="4" t="s">
        <v>28</v>
      </c>
      <c r="E423" s="4" t="s">
        <v>16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4">
        <v>399781</v>
      </c>
      <c r="Q423" s="4">
        <v>375589</v>
      </c>
      <c r="R423" s="10">
        <v>339083</v>
      </c>
      <c r="S423" s="24">
        <f>SUM(tblSalesData[[#This Row],[FY 2000]:[FY 2012]])</f>
        <v>1114453</v>
      </c>
      <c r="T423" s="11">
        <v>1.49</v>
      </c>
      <c r="U423" s="12">
        <f>tblSalesData[[#This Row],[Total Units 
to Date]]*tblSalesData[[#This Row],[Sell Price]]</f>
        <v>1660534.97</v>
      </c>
      <c r="V423" s="3"/>
    </row>
    <row r="424" spans="1:22" x14ac:dyDescent="0.25">
      <c r="A424" s="4">
        <v>1049</v>
      </c>
      <c r="B424" s="9" t="s">
        <v>270</v>
      </c>
      <c r="C424" s="4" t="s">
        <v>15</v>
      </c>
      <c r="D424" s="4" t="s">
        <v>28</v>
      </c>
      <c r="E424" s="4" t="s">
        <v>16</v>
      </c>
      <c r="F424" s="10">
        <v>0</v>
      </c>
      <c r="G424" s="10">
        <v>0</v>
      </c>
      <c r="H424" s="10">
        <v>19034</v>
      </c>
      <c r="I424" s="10">
        <v>56576</v>
      </c>
      <c r="J424" s="10">
        <v>86263</v>
      </c>
      <c r="K424" s="10">
        <v>132474</v>
      </c>
      <c r="L424" s="10">
        <v>160122</v>
      </c>
      <c r="M424" s="10">
        <v>203458</v>
      </c>
      <c r="N424" s="10">
        <v>308716</v>
      </c>
      <c r="O424" s="10">
        <v>359264</v>
      </c>
      <c r="P424" s="4">
        <v>1056599</v>
      </c>
      <c r="Q424" s="4">
        <v>1471425</v>
      </c>
      <c r="R424" s="10">
        <v>1892215</v>
      </c>
      <c r="S424" s="24">
        <f>SUM(tblSalesData[[#This Row],[FY 2000]:[FY 2012]])</f>
        <v>5746146</v>
      </c>
      <c r="T424" s="11">
        <v>1.49</v>
      </c>
      <c r="U424" s="12">
        <f>tblSalesData[[#This Row],[Total Units 
to Date]]*tblSalesData[[#This Row],[Sell Price]]</f>
        <v>8561757.5399999991</v>
      </c>
      <c r="V424" s="3"/>
    </row>
    <row r="425" spans="1:22" x14ac:dyDescent="0.25">
      <c r="A425" s="4">
        <v>1055</v>
      </c>
      <c r="B425" s="9" t="s">
        <v>276</v>
      </c>
      <c r="C425" s="4" t="s">
        <v>15</v>
      </c>
      <c r="D425" s="4" t="s">
        <v>28</v>
      </c>
      <c r="E425" s="4" t="s">
        <v>19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44365</v>
      </c>
      <c r="N425" s="10">
        <v>21996</v>
      </c>
      <c r="O425" s="10">
        <v>5287</v>
      </c>
      <c r="P425" s="4">
        <v>93716</v>
      </c>
      <c r="Q425" s="4">
        <v>5314</v>
      </c>
      <c r="R425" s="10">
        <v>33718</v>
      </c>
      <c r="S425" s="24">
        <f>SUM(tblSalesData[[#This Row],[FY 2000]:[FY 2012]])</f>
        <v>204396</v>
      </c>
      <c r="T425" s="11">
        <v>3.99</v>
      </c>
      <c r="U425" s="12">
        <f>tblSalesData[[#This Row],[Total Units 
to Date]]*tblSalesData[[#This Row],[Sell Price]]</f>
        <v>815540.04</v>
      </c>
      <c r="V425" s="3"/>
    </row>
    <row r="426" spans="1:22" x14ac:dyDescent="0.25">
      <c r="A426" s="4">
        <v>1056</v>
      </c>
      <c r="B426" s="9" t="s">
        <v>278</v>
      </c>
      <c r="C426" s="4" t="s">
        <v>15</v>
      </c>
      <c r="D426" s="4" t="s">
        <v>28</v>
      </c>
      <c r="E426" s="4" t="s">
        <v>17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4">
        <v>73192</v>
      </c>
      <c r="Q426" s="4">
        <v>28249</v>
      </c>
      <c r="R426" s="10">
        <v>12443</v>
      </c>
      <c r="S426" s="24">
        <f>SUM(tblSalesData[[#This Row],[FY 2000]:[FY 2012]])</f>
        <v>113884</v>
      </c>
      <c r="T426" s="11">
        <v>1.99</v>
      </c>
      <c r="U426" s="12">
        <f>tblSalesData[[#This Row],[Total Units 
to Date]]*tblSalesData[[#This Row],[Sell Price]]</f>
        <v>226629.16</v>
      </c>
      <c r="V426" s="3"/>
    </row>
    <row r="427" spans="1:22" x14ac:dyDescent="0.25">
      <c r="A427" s="4">
        <v>1056</v>
      </c>
      <c r="B427" s="9" t="s">
        <v>280</v>
      </c>
      <c r="C427" s="4" t="s">
        <v>15</v>
      </c>
      <c r="D427" s="4" t="s">
        <v>28</v>
      </c>
      <c r="E427" s="4" t="s">
        <v>17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4">
        <v>24340</v>
      </c>
      <c r="Q427" s="4">
        <v>6216</v>
      </c>
      <c r="R427" s="10">
        <v>31890</v>
      </c>
      <c r="S427" s="24">
        <f>SUM(tblSalesData[[#This Row],[FY 2000]:[FY 2012]])</f>
        <v>62446</v>
      </c>
      <c r="T427" s="11">
        <v>1.99</v>
      </c>
      <c r="U427" s="12">
        <f>tblSalesData[[#This Row],[Total Units 
to Date]]*tblSalesData[[#This Row],[Sell Price]]</f>
        <v>124267.54</v>
      </c>
      <c r="V427" s="3"/>
    </row>
    <row r="428" spans="1:22" x14ac:dyDescent="0.25">
      <c r="A428" s="4">
        <v>1057</v>
      </c>
      <c r="B428" s="9" t="s">
        <v>295</v>
      </c>
      <c r="C428" s="4" t="s">
        <v>15</v>
      </c>
      <c r="D428" s="4" t="s">
        <v>28</v>
      </c>
      <c r="E428" s="4" t="s">
        <v>16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58590</v>
      </c>
      <c r="P428" s="4">
        <v>105368</v>
      </c>
      <c r="Q428" s="4">
        <v>114700</v>
      </c>
      <c r="R428" s="10">
        <v>71481</v>
      </c>
      <c r="S428" s="24">
        <f>SUM(tblSalesData[[#This Row],[FY 2000]:[FY 2012]])</f>
        <v>350139</v>
      </c>
      <c r="T428" s="11">
        <v>1.49</v>
      </c>
      <c r="U428" s="12">
        <f>tblSalesData[[#This Row],[Total Units 
to Date]]*tblSalesData[[#This Row],[Sell Price]]</f>
        <v>521707.11</v>
      </c>
      <c r="V428" s="3"/>
    </row>
    <row r="429" spans="1:22" x14ac:dyDescent="0.25">
      <c r="A429" s="4">
        <v>1057</v>
      </c>
      <c r="B429" s="9" t="s">
        <v>309</v>
      </c>
      <c r="C429" s="4" t="s">
        <v>15</v>
      </c>
      <c r="D429" s="4" t="s">
        <v>28</v>
      </c>
      <c r="E429" s="4" t="s">
        <v>19</v>
      </c>
      <c r="F429" s="10">
        <v>98264</v>
      </c>
      <c r="G429" s="10">
        <v>66526</v>
      </c>
      <c r="H429" s="10">
        <v>29736</v>
      </c>
      <c r="I429" s="10">
        <v>15395</v>
      </c>
      <c r="J429" s="10">
        <v>64053</v>
      </c>
      <c r="K429" s="10">
        <v>67625</v>
      </c>
      <c r="L429" s="10">
        <v>66757</v>
      </c>
      <c r="M429" s="10">
        <v>80534</v>
      </c>
      <c r="N429" s="10">
        <v>23142</v>
      </c>
      <c r="O429" s="10">
        <v>21739</v>
      </c>
      <c r="P429" s="4">
        <v>46397</v>
      </c>
      <c r="Q429" s="4">
        <v>88645</v>
      </c>
      <c r="R429" s="10">
        <v>56559</v>
      </c>
      <c r="S429" s="24">
        <f>SUM(tblSalesData[[#This Row],[FY 2000]:[FY 2012]])</f>
        <v>725372</v>
      </c>
      <c r="T429" s="11">
        <v>3.99</v>
      </c>
      <c r="U429" s="12">
        <f>tblSalesData[[#This Row],[Total Units 
to Date]]*tblSalesData[[#This Row],[Sell Price]]</f>
        <v>2894234.2800000003</v>
      </c>
      <c r="V429" s="3"/>
    </row>
    <row r="430" spans="1:22" x14ac:dyDescent="0.25">
      <c r="A430" s="4">
        <v>1057</v>
      </c>
      <c r="B430" s="9" t="s">
        <v>315</v>
      </c>
      <c r="C430" s="4" t="s">
        <v>15</v>
      </c>
      <c r="D430" s="4" t="s">
        <v>28</v>
      </c>
      <c r="E430" s="4" t="s">
        <v>17</v>
      </c>
      <c r="F430" s="10">
        <v>0</v>
      </c>
      <c r="G430" s="10">
        <v>76702</v>
      </c>
      <c r="H430" s="10">
        <v>69712</v>
      </c>
      <c r="I430" s="10">
        <v>62623</v>
      </c>
      <c r="J430" s="10">
        <v>39615</v>
      </c>
      <c r="K430" s="10">
        <v>25887</v>
      </c>
      <c r="L430" s="10">
        <v>2247</v>
      </c>
      <c r="M430" s="10">
        <v>43340</v>
      </c>
      <c r="N430" s="10">
        <v>97788</v>
      </c>
      <c r="O430" s="10">
        <v>29979</v>
      </c>
      <c r="P430" s="4">
        <v>38377</v>
      </c>
      <c r="Q430" s="4">
        <v>101959</v>
      </c>
      <c r="R430" s="10">
        <v>69048</v>
      </c>
      <c r="S430" s="24">
        <f>SUM(tblSalesData[[#This Row],[FY 2000]:[FY 2012]])</f>
        <v>657277</v>
      </c>
      <c r="T430" s="11">
        <v>1.99</v>
      </c>
      <c r="U430" s="12">
        <f>tblSalesData[[#This Row],[Total Units 
to Date]]*tblSalesData[[#This Row],[Sell Price]]</f>
        <v>1307981.23</v>
      </c>
      <c r="V430" s="3"/>
    </row>
    <row r="431" spans="1:22" x14ac:dyDescent="0.25">
      <c r="A431" s="4">
        <v>1057</v>
      </c>
      <c r="B431" s="9" t="s">
        <v>318</v>
      </c>
      <c r="C431" s="4" t="s">
        <v>15</v>
      </c>
      <c r="D431" s="4" t="s">
        <v>28</v>
      </c>
      <c r="E431" s="4" t="s">
        <v>19</v>
      </c>
      <c r="F431" s="10">
        <v>0</v>
      </c>
      <c r="G431" s="10">
        <v>60071</v>
      </c>
      <c r="H431" s="10">
        <v>30470</v>
      </c>
      <c r="I431" s="10">
        <v>45287</v>
      </c>
      <c r="J431" s="10">
        <v>52005</v>
      </c>
      <c r="K431" s="10">
        <v>53472</v>
      </c>
      <c r="L431" s="10">
        <v>32288</v>
      </c>
      <c r="M431" s="10">
        <v>96739</v>
      </c>
      <c r="N431" s="10">
        <v>18019</v>
      </c>
      <c r="O431" s="10">
        <v>38600</v>
      </c>
      <c r="P431" s="4">
        <v>28718</v>
      </c>
      <c r="Q431" s="4">
        <v>24742</v>
      </c>
      <c r="R431" s="10">
        <v>45654</v>
      </c>
      <c r="S431" s="24">
        <f>SUM(tblSalesData[[#This Row],[FY 2000]:[FY 2012]])</f>
        <v>526065</v>
      </c>
      <c r="T431" s="11">
        <v>3.99</v>
      </c>
      <c r="U431" s="12">
        <f>tblSalesData[[#This Row],[Total Units 
to Date]]*tblSalesData[[#This Row],[Sell Price]]</f>
        <v>2098999.35</v>
      </c>
      <c r="V431" s="3"/>
    </row>
    <row r="432" spans="1:22" x14ac:dyDescent="0.25">
      <c r="A432" s="4">
        <v>1063</v>
      </c>
      <c r="B432" s="9" t="s">
        <v>326</v>
      </c>
      <c r="C432" s="4" t="s">
        <v>15</v>
      </c>
      <c r="D432" s="4" t="s">
        <v>28</v>
      </c>
      <c r="E432" s="4" t="s">
        <v>16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65216</v>
      </c>
      <c r="O432" s="10">
        <v>10326</v>
      </c>
      <c r="P432" s="4">
        <v>73335</v>
      </c>
      <c r="Q432" s="4">
        <v>37856</v>
      </c>
      <c r="R432" s="10">
        <v>79655</v>
      </c>
      <c r="S432" s="24">
        <f>SUM(tblSalesData[[#This Row],[FY 2000]:[FY 2012]])</f>
        <v>266388</v>
      </c>
      <c r="T432" s="11">
        <v>1.49</v>
      </c>
      <c r="U432" s="12">
        <f>tblSalesData[[#This Row],[Total Units 
to Date]]*tblSalesData[[#This Row],[Sell Price]]</f>
        <v>396918.12</v>
      </c>
      <c r="V432" s="3"/>
    </row>
    <row r="433" spans="1:23" x14ac:dyDescent="0.25">
      <c r="A433" s="4">
        <v>1063</v>
      </c>
      <c r="B433" s="9" t="s">
        <v>327</v>
      </c>
      <c r="C433" s="4" t="s">
        <v>15</v>
      </c>
      <c r="D433" s="4" t="s">
        <v>28</v>
      </c>
      <c r="E433" s="4" t="s">
        <v>16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23536</v>
      </c>
      <c r="O433" s="10">
        <v>23076</v>
      </c>
      <c r="P433" s="4">
        <v>77669</v>
      </c>
      <c r="Q433" s="4">
        <v>87771</v>
      </c>
      <c r="R433" s="10">
        <v>50646</v>
      </c>
      <c r="S433" s="24">
        <f>SUM(tblSalesData[[#This Row],[FY 2000]:[FY 2012]])</f>
        <v>262698</v>
      </c>
      <c r="T433" s="11">
        <v>1.49</v>
      </c>
      <c r="U433" s="12">
        <f>tblSalesData[[#This Row],[Total Units 
to Date]]*tblSalesData[[#This Row],[Sell Price]]</f>
        <v>391420.02</v>
      </c>
      <c r="V433" s="3"/>
    </row>
    <row r="434" spans="1:23" x14ac:dyDescent="0.25">
      <c r="A434" s="4">
        <v>1063</v>
      </c>
      <c r="B434" s="9" t="s">
        <v>328</v>
      </c>
      <c r="C434" s="4" t="s">
        <v>15</v>
      </c>
      <c r="D434" s="4" t="s">
        <v>28</v>
      </c>
      <c r="E434" s="4" t="s">
        <v>16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72614</v>
      </c>
      <c r="O434" s="10">
        <v>99887</v>
      </c>
      <c r="P434" s="4">
        <v>33758</v>
      </c>
      <c r="Q434" s="4">
        <v>80846</v>
      </c>
      <c r="R434" s="10">
        <v>7880</v>
      </c>
      <c r="S434" s="24">
        <f>SUM(tblSalesData[[#This Row],[FY 2000]:[FY 2012]])</f>
        <v>294985</v>
      </c>
      <c r="T434" s="11">
        <v>1.49</v>
      </c>
      <c r="U434" s="12">
        <f>tblSalesData[[#This Row],[Total Units 
to Date]]*tblSalesData[[#This Row],[Sell Price]]</f>
        <v>439527.65</v>
      </c>
      <c r="V434" s="3"/>
    </row>
    <row r="435" spans="1:23" x14ac:dyDescent="0.25">
      <c r="A435" s="4">
        <v>1067</v>
      </c>
      <c r="B435" s="9" t="s">
        <v>369</v>
      </c>
      <c r="C435" s="4" t="s">
        <v>15</v>
      </c>
      <c r="D435" s="4" t="s">
        <v>28</v>
      </c>
      <c r="E435" s="4" t="s">
        <v>16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4">
        <v>0</v>
      </c>
      <c r="Q435" s="4">
        <v>0</v>
      </c>
      <c r="R435" s="10">
        <v>2020461</v>
      </c>
      <c r="S435" s="24">
        <f>SUM(tblSalesData[[#This Row],[FY 2000]:[FY 2012]])</f>
        <v>2020461</v>
      </c>
      <c r="T435" s="11">
        <v>1.49</v>
      </c>
      <c r="U435" s="12">
        <f>tblSalesData[[#This Row],[Total Units 
to Date]]*tblSalesData[[#This Row],[Sell Price]]</f>
        <v>3010486.89</v>
      </c>
      <c r="V435" s="3"/>
    </row>
    <row r="436" spans="1:23" x14ac:dyDescent="0.25">
      <c r="A436" t="s">
        <v>382</v>
      </c>
      <c r="F436" s="4">
        <f>SUBTOTAL(109,tblSalesData[FY 2000])</f>
        <v>528802</v>
      </c>
      <c r="G436" s="4">
        <f>SUBTOTAL(109,tblSalesData[FY 2001])</f>
        <v>1127903</v>
      </c>
      <c r="H436" s="4">
        <f>SUBTOTAL(109,tblSalesData[FY 2002])</f>
        <v>4087014</v>
      </c>
      <c r="I436" s="4">
        <f>SUBTOTAL(109,tblSalesData[FY 2003])</f>
        <v>5078275</v>
      </c>
      <c r="J436" s="4">
        <f>SUBTOTAL(109,tblSalesData[FY 2004])</f>
        <v>6459215</v>
      </c>
      <c r="K436" s="4">
        <f>SUBTOTAL(109,tblSalesData[FY 2005])</f>
        <v>8215642</v>
      </c>
      <c r="L436" s="4">
        <f>SUBTOTAL(109,tblSalesData[FY 2006])</f>
        <v>12067080</v>
      </c>
      <c r="M436" s="4">
        <f>SUBTOTAL(109,tblSalesData[FY 2007])</f>
        <v>17053278</v>
      </c>
      <c r="N436" s="4">
        <f>SUBTOTAL(109,tblSalesData[FY 2008])</f>
        <v>21792100</v>
      </c>
      <c r="O436" s="4">
        <f>SUBTOTAL(109,tblSalesData[FY 2009])</f>
        <v>31219622</v>
      </c>
      <c r="P436" s="4">
        <f>SUBTOTAL(109,tblSalesData[FY 2010])</f>
        <v>44946579</v>
      </c>
      <c r="Q436" s="4">
        <f>SUBTOTAL(109,tblSalesData[FY 2011])</f>
        <v>54767021</v>
      </c>
      <c r="R436" s="4">
        <f>SUBTOTAL(109,tblSalesData[FY 2012])</f>
        <v>79004088</v>
      </c>
      <c r="S436" s="25">
        <f>SUBTOTAL(109,tblSalesData[Total Units 
to Date])</f>
        <v>286346619</v>
      </c>
      <c r="T436" s="2"/>
      <c r="U436" s="6">
        <f>SUBTOTAL(109,tblSalesData[Total Earnings 
to Date])</f>
        <v>2025851411.3099997</v>
      </c>
      <c r="V436" s="3"/>
      <c r="W436" s="2"/>
    </row>
    <row r="437" spans="1:23" x14ac:dyDescent="0.25">
      <c r="V437" s="3"/>
      <c r="W437" s="2"/>
    </row>
    <row r="438" spans="1:23" x14ac:dyDescent="0.25">
      <c r="V438" s="3"/>
      <c r="W438" s="2"/>
    </row>
    <row r="439" spans="1:23" x14ac:dyDescent="0.25">
      <c r="V439" s="3"/>
      <c r="W439" s="2"/>
    </row>
    <row r="440" spans="1:23" x14ac:dyDescent="0.25">
      <c r="V440" s="3"/>
      <c r="W440" s="2"/>
    </row>
    <row r="441" spans="1:23" x14ac:dyDescent="0.25">
      <c r="V441" s="3"/>
      <c r="W441" s="2"/>
    </row>
    <row r="442" spans="1:23" x14ac:dyDescent="0.25">
      <c r="V442" s="3"/>
      <c r="W442" s="2"/>
    </row>
    <row r="443" spans="1:23" x14ac:dyDescent="0.25">
      <c r="V443" s="3"/>
      <c r="W443" s="2"/>
    </row>
    <row r="444" spans="1:23" x14ac:dyDescent="0.25">
      <c r="V444" s="3"/>
      <c r="W444" s="2"/>
    </row>
    <row r="445" spans="1:23" x14ac:dyDescent="0.25">
      <c r="V445" s="3"/>
      <c r="W445" s="2"/>
    </row>
    <row r="446" spans="1:23" x14ac:dyDescent="0.25">
      <c r="V446" s="3"/>
      <c r="W446" s="2"/>
    </row>
    <row r="447" spans="1:23" x14ac:dyDescent="0.25">
      <c r="V447" s="3"/>
      <c r="W447" s="2"/>
    </row>
    <row r="448" spans="1:23" x14ac:dyDescent="0.25">
      <c r="V448" s="3"/>
      <c r="W448" s="2"/>
    </row>
    <row r="449" spans="22:23" x14ac:dyDescent="0.25">
      <c r="V449" s="3"/>
      <c r="W449" s="2"/>
    </row>
    <row r="450" spans="22:23" x14ac:dyDescent="0.25">
      <c r="V450" s="3"/>
      <c r="W450" s="2"/>
    </row>
    <row r="451" spans="22:23" x14ac:dyDescent="0.25">
      <c r="V451" s="3"/>
      <c r="W451" s="2"/>
    </row>
    <row r="452" spans="22:23" x14ac:dyDescent="0.25">
      <c r="V452" s="3"/>
      <c r="W452" s="2"/>
    </row>
    <row r="453" spans="22:23" x14ac:dyDescent="0.25">
      <c r="V453" s="3"/>
      <c r="W453" s="2"/>
    </row>
    <row r="454" spans="22:23" x14ac:dyDescent="0.25">
      <c r="V454" s="3"/>
      <c r="W454" s="2"/>
    </row>
    <row r="455" spans="22:23" x14ac:dyDescent="0.25">
      <c r="V455" s="3"/>
      <c r="W455" s="2"/>
    </row>
    <row r="456" spans="22:23" x14ac:dyDescent="0.25">
      <c r="V456" s="3"/>
      <c r="W456" s="2"/>
    </row>
    <row r="457" spans="22:23" x14ac:dyDescent="0.25">
      <c r="V457" s="3"/>
      <c r="W457" s="2"/>
    </row>
    <row r="458" spans="22:23" x14ac:dyDescent="0.25">
      <c r="V458" s="3"/>
      <c r="W458" s="2"/>
    </row>
    <row r="459" spans="22:23" x14ac:dyDescent="0.25">
      <c r="V459" s="3"/>
      <c r="W459" s="2"/>
    </row>
    <row r="460" spans="22:23" x14ac:dyDescent="0.25">
      <c r="V460" s="3"/>
      <c r="W460" s="2"/>
    </row>
    <row r="461" spans="22:23" x14ac:dyDescent="0.25">
      <c r="V461" s="3"/>
      <c r="W461" s="2"/>
    </row>
    <row r="462" spans="22:23" x14ac:dyDescent="0.25">
      <c r="V462" s="3"/>
      <c r="W462" s="2"/>
    </row>
    <row r="463" spans="22:23" x14ac:dyDescent="0.25">
      <c r="V463" s="3"/>
      <c r="W463" s="2"/>
    </row>
    <row r="464" spans="22:23" x14ac:dyDescent="0.25">
      <c r="V464" s="3"/>
      <c r="W464" s="2"/>
    </row>
    <row r="465" spans="22:23" x14ac:dyDescent="0.25">
      <c r="V465" s="3"/>
      <c r="W465" s="2"/>
    </row>
    <row r="466" spans="22:23" x14ac:dyDescent="0.25">
      <c r="V466" s="3"/>
      <c r="W466" s="2"/>
    </row>
    <row r="467" spans="22:23" x14ac:dyDescent="0.25">
      <c r="V467" s="3"/>
      <c r="W467" s="2"/>
    </row>
    <row r="468" spans="22:23" x14ac:dyDescent="0.25">
      <c r="V468" s="3"/>
      <c r="W468" s="2"/>
    </row>
    <row r="469" spans="22:23" x14ac:dyDescent="0.25">
      <c r="V469" s="3"/>
      <c r="W469" s="2"/>
    </row>
    <row r="470" spans="22:23" x14ac:dyDescent="0.25">
      <c r="V470" s="3"/>
      <c r="W470" s="2"/>
    </row>
    <row r="471" spans="22:23" x14ac:dyDescent="0.25">
      <c r="V471" s="3"/>
      <c r="W471" s="2"/>
    </row>
    <row r="472" spans="22:23" x14ac:dyDescent="0.25">
      <c r="V472" s="3"/>
      <c r="W472" s="2"/>
    </row>
    <row r="473" spans="22:23" x14ac:dyDescent="0.25">
      <c r="V473" s="3"/>
      <c r="W473" s="2"/>
    </row>
    <row r="474" spans="22:23" x14ac:dyDescent="0.25">
      <c r="V474" s="3"/>
      <c r="W474" s="2"/>
    </row>
    <row r="475" spans="22:23" x14ac:dyDescent="0.25">
      <c r="V475" s="3"/>
      <c r="W475" s="2"/>
    </row>
    <row r="476" spans="22:23" x14ac:dyDescent="0.25">
      <c r="V476" s="3"/>
    </row>
    <row r="477" spans="22:23" x14ac:dyDescent="0.25">
      <c r="V477" s="3"/>
    </row>
    <row r="478" spans="22:23" x14ac:dyDescent="0.25">
      <c r="V478" s="3"/>
    </row>
    <row r="479" spans="22:23" x14ac:dyDescent="0.25">
      <c r="V479" s="3"/>
    </row>
    <row r="480" spans="22:23" x14ac:dyDescent="0.25">
      <c r="V480" s="3"/>
    </row>
  </sheetData>
  <conditionalFormatting sqref="F233:Q435 F31:O232">
    <cfRule type="containsBlanks" dxfId="44" priority="5">
      <formula>LEN(TRIM(F31))=0</formula>
    </cfRule>
  </conditionalFormatting>
  <conditionalFormatting sqref="F2:O30">
    <cfRule type="containsBlanks" dxfId="43" priority="4">
      <formula>LEN(TRIM(F2))=0</formula>
    </cfRule>
  </conditionalFormatting>
  <conditionalFormatting sqref="F233:Q435 F2:O232">
    <cfRule type="cellIs" dxfId="42" priority="3" operator="equal">
      <formula>0</formula>
    </cfRule>
  </conditionalFormatting>
  <conditionalFormatting sqref="F233:R435 F2:O232">
    <cfRule type="cellIs" dxfId="41" priority="2" operator="equal">
      <formula>0</formula>
    </cfRule>
  </conditionalFormatting>
  <conditionalFormatting sqref="P2:R232">
    <cfRule type="cellIs" dxfId="40" priority="1" operator="equal">
      <formula>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N16"/>
  <sheetViews>
    <sheetView tabSelected="1" topLeftCell="A21" workbookViewId="0">
      <selection activeCell="N26" sqref="N26"/>
    </sheetView>
  </sheetViews>
  <sheetFormatPr defaultRowHeight="15" x14ac:dyDescent="0.25"/>
  <cols>
    <col min="27" max="27" width="10.28515625" customWidth="1"/>
    <col min="28" max="28" width="18.42578125" customWidth="1"/>
    <col min="29" max="29" width="1.42578125" customWidth="1"/>
    <col min="30" max="30" width="10.28515625" customWidth="1"/>
    <col min="31" max="31" width="15.5703125" customWidth="1"/>
    <col min="32" max="32" width="1.42578125" customWidth="1"/>
    <col min="33" max="33" width="10.5703125" customWidth="1"/>
    <col min="34" max="34" width="13.140625" customWidth="1"/>
    <col min="35" max="35" width="1.28515625" customWidth="1"/>
    <col min="36" max="37" width="10.28515625" customWidth="1"/>
    <col min="38" max="38" width="11.85546875" customWidth="1"/>
    <col min="39" max="39" width="14.140625" customWidth="1"/>
    <col min="40" max="40" width="13.7109375" customWidth="1"/>
    <col min="41" max="41" width="2" customWidth="1"/>
  </cols>
  <sheetData>
    <row r="1" spans="25:40" ht="15.75" thickBot="1" x14ac:dyDescent="0.3">
      <c r="AA1" s="20"/>
      <c r="AB1" s="20"/>
    </row>
    <row r="2" spans="25:40" ht="32.25" customHeight="1" thickTop="1" thickBot="1" x14ac:dyDescent="0.3">
      <c r="Y2" s="27"/>
      <c r="AA2" s="21" t="s">
        <v>21</v>
      </c>
      <c r="AB2" s="23" t="s">
        <v>385</v>
      </c>
      <c r="AD2" s="21" t="s">
        <v>12</v>
      </c>
      <c r="AE2" s="23" t="s">
        <v>385</v>
      </c>
      <c r="AG2" s="21" t="s">
        <v>25</v>
      </c>
      <c r="AH2" s="23" t="s">
        <v>385</v>
      </c>
      <c r="AJ2" s="21" t="s">
        <v>383</v>
      </c>
      <c r="AK2" s="23" t="s">
        <v>388</v>
      </c>
      <c r="AL2" s="23" t="s">
        <v>386</v>
      </c>
      <c r="AM2" s="23" t="s">
        <v>387</v>
      </c>
      <c r="AN2" s="23" t="s">
        <v>384</v>
      </c>
    </row>
    <row r="3" spans="25:40" ht="16.5" thickTop="1" thickBot="1" x14ac:dyDescent="0.3">
      <c r="Y3" s="27"/>
      <c r="AA3" s="22" t="s">
        <v>19</v>
      </c>
      <c r="AB3" s="26">
        <f>SUMIF(Market,AA3,Total_Earnings_to_Date)</f>
        <v>757850410.05000019</v>
      </c>
      <c r="AD3" s="22" t="s">
        <v>13</v>
      </c>
      <c r="AE3" s="26">
        <f>SUMIF(Genre,AD3,Total_Earnings_to_Date)</f>
        <v>749934328.6099999</v>
      </c>
      <c r="AG3" s="22" t="s">
        <v>27</v>
      </c>
      <c r="AH3" s="26">
        <f>SUMIF(Format,AG3,Total_Earnings_to_Date)</f>
        <v>1645956700.3699999</v>
      </c>
      <c r="AJ3" s="22">
        <v>2000</v>
      </c>
      <c r="AK3" s="22">
        <f>SUMIF(Format,"Print",FY_2000)</f>
        <v>264310</v>
      </c>
      <c r="AL3" s="22">
        <f>SUMIF(Format,"Electronic",FY_2000)</f>
        <v>264492</v>
      </c>
      <c r="AM3" s="22">
        <f>SUM(FY_2000)</f>
        <v>528802</v>
      </c>
      <c r="AN3" s="26">
        <f>SUMPRODUCT(FY_2000,Sell_Price)</f>
        <v>3832258.48</v>
      </c>
    </row>
    <row r="4" spans="25:40" ht="16.5" thickTop="1" thickBot="1" x14ac:dyDescent="0.3">
      <c r="Y4" s="27"/>
      <c r="AA4" s="22" t="s">
        <v>17</v>
      </c>
      <c r="AB4" s="26">
        <f>SUMIF(Market,AA4,Total_Earnings_to_Date)</f>
        <v>498731088.01000011</v>
      </c>
      <c r="AD4" s="22" t="s">
        <v>14</v>
      </c>
      <c r="AE4" s="26">
        <f>SUMIF(Genre,AD4,Total_Earnings_to_Date)</f>
        <v>451409499.53999978</v>
      </c>
      <c r="AG4" s="22" t="s">
        <v>28</v>
      </c>
      <c r="AH4" s="26">
        <f>SUMIF(Format,AG4,Total_Earnings_to_Date)</f>
        <v>379894710.94000018</v>
      </c>
      <c r="AJ4" s="22">
        <v>2001</v>
      </c>
      <c r="AK4" s="22">
        <f>SUMIF(Format,"Print",FY_2001)</f>
        <v>512078</v>
      </c>
      <c r="AL4" s="22">
        <f>SUMIF(Format,"Electronic",FY_2001)</f>
        <v>615825</v>
      </c>
      <c r="AM4" s="22">
        <f>SUM(FY_2001)</f>
        <v>1127903</v>
      </c>
      <c r="AN4" s="26">
        <f>SUMPRODUCT(FY_2001,Sell_Price)</f>
        <v>8701500.9700000007</v>
      </c>
    </row>
    <row r="5" spans="25:40" ht="16.5" thickTop="1" thickBot="1" x14ac:dyDescent="0.3">
      <c r="Y5" s="27"/>
      <c r="AA5" s="22" t="s">
        <v>16</v>
      </c>
      <c r="AB5" s="26">
        <f>SUMIF(Market,AA5,Total_Earnings_to_Date)</f>
        <v>483989204.92999995</v>
      </c>
      <c r="AD5" s="22" t="s">
        <v>15</v>
      </c>
      <c r="AE5" s="26">
        <f>SUMIF(Genre,AD5,Total_Earnings_to_Date)</f>
        <v>513703279.69000024</v>
      </c>
      <c r="AJ5" s="22">
        <v>2002</v>
      </c>
      <c r="AK5" s="22">
        <f>SUMIF(Format,"Print",FY_2002)</f>
        <v>2702800</v>
      </c>
      <c r="AL5" s="22">
        <f>SUMIF(Format,"Electronic",FY_2002)</f>
        <v>1384214</v>
      </c>
      <c r="AM5" s="22">
        <f>SUM(FY_2002)</f>
        <v>4087014</v>
      </c>
      <c r="AN5" s="26">
        <f>SUMPRODUCT(FY_2002,Sell_Price)</f>
        <v>40865053.359999992</v>
      </c>
    </row>
    <row r="6" spans="25:40" ht="16.5" thickTop="1" thickBot="1" x14ac:dyDescent="0.3">
      <c r="Y6" s="27"/>
      <c r="AA6" s="22" t="s">
        <v>18</v>
      </c>
      <c r="AB6" s="26">
        <f>SUMIF(Market,AA6,Total_Earnings_to_Date)</f>
        <v>285280708.31999993</v>
      </c>
      <c r="AD6" s="22" t="s">
        <v>26</v>
      </c>
      <c r="AE6" s="26">
        <f>SUMIF(Genre,AD6,Total_Earnings_to_Date)</f>
        <v>310804303.47000009</v>
      </c>
      <c r="AJ6" s="22">
        <v>2003</v>
      </c>
      <c r="AK6" s="22">
        <f>SUMIF(Format,"Print",FY_2003)</f>
        <v>3438234</v>
      </c>
      <c r="AL6" s="22">
        <f>SUMIF(Format,"Electronic",FY_2003)</f>
        <v>1640041</v>
      </c>
      <c r="AM6" s="22">
        <f>SUM(FY_2003)</f>
        <v>5078275</v>
      </c>
      <c r="AN6" s="26">
        <f>SUMPRODUCT(FY_2003,Sell_Price)</f>
        <v>51055026.750000015</v>
      </c>
    </row>
    <row r="7" spans="25:40" ht="16.5" thickTop="1" thickBot="1" x14ac:dyDescent="0.3">
      <c r="AD7" s="18"/>
      <c r="AE7" s="19"/>
      <c r="AJ7" s="22">
        <v>2004</v>
      </c>
      <c r="AK7" s="22">
        <f>SUMIF(Format,"Print",FY_2004)</f>
        <v>4046876</v>
      </c>
      <c r="AL7" s="22">
        <f>SUMIF(Format,"Electronic",FY_2004)</f>
        <v>2412339</v>
      </c>
      <c r="AM7" s="22">
        <f>SUM(FY_2004)</f>
        <v>6459215</v>
      </c>
      <c r="AN7" s="26">
        <f>SUMPRODUCT(FY_2004,Sell_Price)</f>
        <v>60618765.850000016</v>
      </c>
    </row>
    <row r="8" spans="25:40" ht="18" customHeight="1" thickTop="1" thickBot="1" x14ac:dyDescent="0.3">
      <c r="AJ8" s="22">
        <v>2005</v>
      </c>
      <c r="AK8" s="22">
        <f>SUMIF(Format,"Print",FY_2005)</f>
        <v>4977337</v>
      </c>
      <c r="AL8" s="22">
        <f>SUMIF(Format,"Electronic",FY_2005)</f>
        <v>3238305</v>
      </c>
      <c r="AM8" s="22">
        <f>SUM(FY_2005)</f>
        <v>8215642</v>
      </c>
      <c r="AN8" s="26">
        <f>SUMPRODUCT(FY_2005,Sell_Price)</f>
        <v>74423324.580000028</v>
      </c>
    </row>
    <row r="9" spans="25:40" ht="16.5" thickTop="1" thickBot="1" x14ac:dyDescent="0.3">
      <c r="AJ9" s="22">
        <v>2006</v>
      </c>
      <c r="AK9" s="22">
        <f>SUMIF(Format,"Print",FY_2006)</f>
        <v>6851202</v>
      </c>
      <c r="AL9" s="22">
        <f>SUMIF(Format,"Electronic",FY_2006)</f>
        <v>5215878</v>
      </c>
      <c r="AM9" s="22">
        <f>SUM(FY_2006)</f>
        <v>12067080</v>
      </c>
      <c r="AN9" s="26">
        <f>SUMPRODUCT(FY_2006,Sell_Price)</f>
        <v>101689193.69999996</v>
      </c>
    </row>
    <row r="10" spans="25:40" ht="16.5" thickTop="1" thickBot="1" x14ac:dyDescent="0.3">
      <c r="AJ10" s="22">
        <v>2007</v>
      </c>
      <c r="AK10" s="22">
        <f>SUMIF(Format,"Print",FY_2007)</f>
        <v>10172505</v>
      </c>
      <c r="AL10" s="22">
        <f>SUMIF(Format,"Electronic",FY_2007)</f>
        <v>6880773</v>
      </c>
      <c r="AM10" s="22">
        <f>SUM(FY_2007)</f>
        <v>17053278</v>
      </c>
      <c r="AN10" s="26">
        <f>SUMPRODUCT(FY_2007,Sell_Price)</f>
        <v>148088612.71999988</v>
      </c>
    </row>
    <row r="11" spans="25:40" ht="16.5" thickTop="1" thickBot="1" x14ac:dyDescent="0.3">
      <c r="AJ11" s="22">
        <v>2008</v>
      </c>
      <c r="AK11" s="22">
        <f>SUMIF(Format,"Print",FY_2008)</f>
        <v>11394732</v>
      </c>
      <c r="AL11" s="22">
        <f>SUMIF(Format,"Electronic",FY_2008)</f>
        <v>10397368</v>
      </c>
      <c r="AM11" s="22">
        <f>SUM(FY_2008)</f>
        <v>21792100</v>
      </c>
      <c r="AN11" s="26">
        <f>SUMPRODUCT(FY_2008,Sell_Price)</f>
        <v>171792498.50000024</v>
      </c>
    </row>
    <row r="12" spans="25:40" ht="16.5" thickTop="1" thickBot="1" x14ac:dyDescent="0.3">
      <c r="AJ12" s="22">
        <v>2009</v>
      </c>
      <c r="AK12" s="22">
        <f>SUMIF(Format,"Print",FY_2009)</f>
        <v>16835099</v>
      </c>
      <c r="AL12" s="22">
        <f>SUMIF(Format,"Electronic",FY_2009)</f>
        <v>14384523</v>
      </c>
      <c r="AM12" s="22">
        <f>SUM(FY_2009)</f>
        <v>31219622</v>
      </c>
      <c r="AN12" s="26">
        <f>SUMPRODUCT(FY_2009,Sell_Price)</f>
        <v>251645368.28000036</v>
      </c>
    </row>
    <row r="13" spans="25:40" ht="16.5" thickTop="1" thickBot="1" x14ac:dyDescent="0.3">
      <c r="AJ13" s="22">
        <v>2010</v>
      </c>
      <c r="AK13" s="22">
        <f>SUMIF(Format,"Print",FY_2010)</f>
        <v>21265234</v>
      </c>
      <c r="AL13" s="22">
        <f>SUMIF(Format,"Electronic",FY_2010)</f>
        <v>23681345</v>
      </c>
      <c r="AM13" s="22">
        <f>SUM(FY_2010)</f>
        <v>44946579</v>
      </c>
      <c r="AN13" s="26">
        <f>SUMPRODUCT(FY_2010,Sell_Price)</f>
        <v>330389929.20999998</v>
      </c>
    </row>
    <row r="14" spans="25:40" ht="16.5" thickTop="1" thickBot="1" x14ac:dyDescent="0.3">
      <c r="AJ14" s="22">
        <v>2011</v>
      </c>
      <c r="AK14" s="22">
        <f>SUMIF(Format,"Print",FY_2011)</f>
        <v>21960041</v>
      </c>
      <c r="AL14" s="22">
        <f>SUMIF(Format,"Electronic",FY_2011)</f>
        <v>32806980</v>
      </c>
      <c r="AM14" s="22">
        <f>SUM(FY_2011)</f>
        <v>54767021</v>
      </c>
      <c r="AN14" s="26">
        <f>SUMPRODUCT(FY_2011,Sell_Price)</f>
        <v>357862725.79000002</v>
      </c>
    </row>
    <row r="15" spans="25:40" ht="16.5" thickTop="1" thickBot="1" x14ac:dyDescent="0.3">
      <c r="AJ15" s="22">
        <v>2012</v>
      </c>
      <c r="AK15" s="22">
        <f>SUMIF(Format,"Print",FY_2012)</f>
        <v>23279315</v>
      </c>
      <c r="AL15" s="22">
        <f>SUMIF(Format,"Electronic",FY_2012)</f>
        <v>55724773</v>
      </c>
      <c r="AM15" s="22">
        <f>SUM(FY_2012)</f>
        <v>79004088</v>
      </c>
      <c r="AN15" s="26">
        <f>SUMPRODUCT(FY_2012,Sell_Price)</f>
        <v>424887153.11999971</v>
      </c>
    </row>
    <row r="16" spans="25:40" ht="15.75" thickTop="1" x14ac:dyDescent="0.25"/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size="35" baseType="lpstr">
      <vt:lpstr>Summary Data</vt:lpstr>
      <vt:lpstr>Sales</vt:lpstr>
      <vt:lpstr>Sales Dashboard</vt:lpstr>
      <vt:lpstr>Sheet1</vt:lpstr>
      <vt:lpstr>_5__Years_and_350K__Units_Sold_or__1M__Earned?</vt:lpstr>
      <vt:lpstr>_5__Years_or_High_Producer?</vt:lpstr>
      <vt:lpstr>Author</vt:lpstr>
      <vt:lpstr>AuthorID</vt:lpstr>
      <vt:lpstr>Early_Producer?</vt:lpstr>
      <vt:lpstr>Format</vt:lpstr>
      <vt:lpstr>FY_2000</vt:lpstr>
      <vt:lpstr>FY_2001</vt:lpstr>
      <vt:lpstr>FY_2002</vt:lpstr>
      <vt:lpstr>FY_2003</vt:lpstr>
      <vt:lpstr>FY_2004</vt:lpstr>
      <vt:lpstr>FY_2005</vt:lpstr>
      <vt:lpstr>FY_2006</vt:lpstr>
      <vt:lpstr>FY_2007</vt:lpstr>
      <vt:lpstr>FY_2008</vt:lpstr>
      <vt:lpstr>FY_2009</vt:lpstr>
      <vt:lpstr>FY_2010</vt:lpstr>
      <vt:lpstr>FY_2011</vt:lpstr>
      <vt:lpstr>FY_2012</vt:lpstr>
      <vt:lpstr>Genre</vt:lpstr>
      <vt:lpstr>Income_Earned</vt:lpstr>
      <vt:lpstr>Initial_Contract_Date</vt:lpstr>
      <vt:lpstr>Market</vt:lpstr>
      <vt:lpstr>Number_of_Books_in_Print</vt:lpstr>
      <vt:lpstr>Number_of_Books_Sold</vt:lpstr>
      <vt:lpstr>Royalty_Rate</vt:lpstr>
      <vt:lpstr>Sell_Price</vt:lpstr>
      <vt:lpstr>Title</vt:lpstr>
      <vt:lpstr>Total_Earnings_to_Date</vt:lpstr>
      <vt:lpstr>Total_Units_to_Date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</cp:lastModifiedBy>
  <dcterms:created xsi:type="dcterms:W3CDTF">2012-06-06T16:44:25Z</dcterms:created>
  <dcterms:modified xsi:type="dcterms:W3CDTF">2012-07-02T10:24:32Z</dcterms:modified>
</cp:coreProperties>
</file>