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15" yWindow="-15" windowWidth="24030" windowHeight="9855"/>
  </bookViews>
  <sheets>
    <sheet name="Navigation" sheetId="11" r:id="rId1"/>
    <sheet name="Author Dashboard" sheetId="10" r:id="rId2"/>
    <sheet name="Summary Data" sheetId="1" r:id="rId3"/>
    <sheet name="Sales" sheetId="8" r:id="rId4"/>
    <sheet name="Sales Dashboard" sheetId="3" r:id="rId5"/>
    <sheet name="Author Photos" sheetId="9" r:id="rId6"/>
  </sheets>
  <definedNames>
    <definedName name="_5__Years_and_350K__Units_Sold_or__1M__Earned?">'Summary Data'!$I$2:$I$30</definedName>
    <definedName name="_5__Years_or_High_Producer?">'Summary Data'!$H$2:$H$30</definedName>
    <definedName name="_xlnm._FilterDatabase" localSheetId="2" hidden="1">'Summary Data'!$A$1:$J$30</definedName>
    <definedName name="Author">Sales!$A$2:$A$435</definedName>
    <definedName name="AuthorID">'Summary Data'!$A$1:$A$30</definedName>
    <definedName name="AuthorPic">'Author Photos'!$A$1:$A$3</definedName>
    <definedName name="Early_Producer?">'Summary Data'!$G$2:$G$30</definedName>
    <definedName name="FindAuthorPhoto">OFFSET('Author Photos'!$B$1,MATCH('Author Dashboard'!$C$2,'Author Photos'!$A$1:$A$10000,0)-1,0)</definedName>
    <definedName name="Format">Sales!$D$2:$D$435</definedName>
    <definedName name="FY_2000">Sales!$F$2:$F$435</definedName>
    <definedName name="FY_2001">Sales!$G$2:$G$435</definedName>
    <definedName name="FY_2002">Sales!$H$2:$H$435</definedName>
    <definedName name="FY_2003">Sales!$I$2:$I$435</definedName>
    <definedName name="FY_2004">Sales!$J$2:$J$435</definedName>
    <definedName name="FY_2005">Sales!$K$2:$K$435</definedName>
    <definedName name="FY_2006">Sales!$L$2:$L$435</definedName>
    <definedName name="FY_2007">Sales!$M$2:$M$435</definedName>
    <definedName name="FY_2008">Sales!$N$2:$N$435</definedName>
    <definedName name="FY_2009">Sales!$O$2:$O$435</definedName>
    <definedName name="FY_2010">Sales!$P$2:$P$435</definedName>
    <definedName name="FY_2011">Sales!$Q$2:$Q$435</definedName>
    <definedName name="FY_2012">Sales!$R$2:$R$435</definedName>
    <definedName name="Genre">Sales!$C$2:$C$435</definedName>
    <definedName name="Income_Earned">'Summary Data'!$F$2:$F$30</definedName>
    <definedName name="Initial_Contract_Date">'Summary Data'!$B$1:$B$30</definedName>
    <definedName name="Market">Sales!$E$2:$E$435</definedName>
    <definedName name="Number_of_Books_in_Print">'Summary Data'!$D$2:$D$30</definedName>
    <definedName name="Number_of_Books_Sold">'Summary Data'!$E$2:$E$30</definedName>
    <definedName name="Royalty_Rate">'Summary Data'!$J$2:$J$30</definedName>
    <definedName name="Sell_Price">Sales!$T$2:$T$435</definedName>
    <definedName name="Slicer_Author">#N/A</definedName>
    <definedName name="Slicer_Format">#N/A</definedName>
    <definedName name="Slicer_Genre">#N/A</definedName>
    <definedName name="Slicer_Market">#N/A</definedName>
    <definedName name="Slicer_Title">#N/A</definedName>
    <definedName name="Title">Sales!$B$2:$B$435</definedName>
    <definedName name="Total_Earnings_to_Date">Sales!$U$2:$U$435</definedName>
    <definedName name="Total_Units_to_Date">Sales!$S$2:$S$435</definedName>
    <definedName name="Years_Under_Contract">'Summary Data'!$C$1:$C$30</definedName>
  </definedNames>
  <calcPr calcId="145621"/>
  <pivotCaches>
    <pivotCache cacheId="16"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AD3" i="10" l="1"/>
  <c r="AC12" i="10" l="1"/>
  <c r="AC6" i="10"/>
  <c r="L14" i="1"/>
  <c r="L15" i="1"/>
  <c r="L16" i="1"/>
  <c r="L17" i="1"/>
  <c r="L18" i="1"/>
  <c r="L19" i="1"/>
  <c r="L20" i="1"/>
  <c r="L21" i="1"/>
  <c r="L22" i="1"/>
  <c r="L23" i="1"/>
  <c r="L13" i="1"/>
  <c r="AN15" i="3" l="1"/>
  <c r="AM15" i="3"/>
  <c r="AL15" i="3"/>
  <c r="AK15" i="3"/>
  <c r="AN14" i="3"/>
  <c r="AM14" i="3"/>
  <c r="AL14" i="3"/>
  <c r="AK14" i="3"/>
  <c r="AN13" i="3"/>
  <c r="AM13" i="3"/>
  <c r="AL13" i="3"/>
  <c r="AK13" i="3"/>
  <c r="AN12" i="3"/>
  <c r="AM12" i="3"/>
  <c r="AL12" i="3"/>
  <c r="AK12" i="3"/>
  <c r="AN11" i="3"/>
  <c r="AM11" i="3"/>
  <c r="AL11" i="3"/>
  <c r="AK11" i="3"/>
  <c r="AN10" i="3"/>
  <c r="AM10" i="3"/>
  <c r="AL10" i="3"/>
  <c r="AK10" i="3"/>
  <c r="AN9" i="3"/>
  <c r="AM9" i="3"/>
  <c r="AL9" i="3"/>
  <c r="AK9" i="3"/>
  <c r="AN8" i="3"/>
  <c r="AM8" i="3"/>
  <c r="AL8" i="3"/>
  <c r="AK8" i="3"/>
  <c r="AN7" i="3"/>
  <c r="AM7" i="3"/>
  <c r="AL7" i="3"/>
  <c r="AK7" i="3"/>
  <c r="AN6" i="3"/>
  <c r="AM6" i="3"/>
  <c r="AL6" i="3"/>
  <c r="AK6" i="3"/>
  <c r="AE6" i="3"/>
  <c r="AB6" i="3"/>
  <c r="AN5" i="3"/>
  <c r="AM5" i="3"/>
  <c r="AL5" i="3"/>
  <c r="AK5" i="3"/>
  <c r="AE5" i="3"/>
  <c r="AB5" i="3"/>
  <c r="AN4" i="3"/>
  <c r="AM4" i="3"/>
  <c r="AL4" i="3"/>
  <c r="AK4" i="3"/>
  <c r="AH4" i="3"/>
  <c r="AE4" i="3"/>
  <c r="AB4" i="3"/>
  <c r="AN3" i="3"/>
  <c r="AM3" i="3"/>
  <c r="AL3" i="3"/>
  <c r="AK3" i="3"/>
  <c r="AH3" i="3"/>
  <c r="AE3" i="3"/>
  <c r="AB3" i="3"/>
  <c r="U436" i="8"/>
  <c r="S436" i="8"/>
  <c r="R436" i="8"/>
  <c r="Q436" i="8"/>
  <c r="P436" i="8"/>
  <c r="O436" i="8"/>
  <c r="N436" i="8"/>
  <c r="M436" i="8"/>
  <c r="L436" i="8"/>
  <c r="K436" i="8"/>
  <c r="J436" i="8"/>
  <c r="I436" i="8"/>
  <c r="H436" i="8"/>
  <c r="G436" i="8"/>
  <c r="F436" i="8"/>
  <c r="U435" i="8"/>
  <c r="S435" i="8"/>
  <c r="U434" i="8"/>
  <c r="S434" i="8"/>
  <c r="U433" i="8"/>
  <c r="S433" i="8"/>
  <c r="U432" i="8"/>
  <c r="S432" i="8"/>
  <c r="U431" i="8"/>
  <c r="S431" i="8"/>
  <c r="U430" i="8"/>
  <c r="S430" i="8"/>
  <c r="U429" i="8"/>
  <c r="S429" i="8"/>
  <c r="U428" i="8"/>
  <c r="S428" i="8"/>
  <c r="U427" i="8"/>
  <c r="S427" i="8"/>
  <c r="U426" i="8"/>
  <c r="S426" i="8"/>
  <c r="U425" i="8"/>
  <c r="S425" i="8"/>
  <c r="U424" i="8"/>
  <c r="S424" i="8"/>
  <c r="U423" i="8"/>
  <c r="S423" i="8"/>
  <c r="U422" i="8"/>
  <c r="S422" i="8"/>
  <c r="U421" i="8"/>
  <c r="S421" i="8"/>
  <c r="U420" i="8"/>
  <c r="S420" i="8"/>
  <c r="U419" i="8"/>
  <c r="S419" i="8"/>
  <c r="U418" i="8"/>
  <c r="S418" i="8"/>
  <c r="U417" i="8"/>
  <c r="S417" i="8"/>
  <c r="U416" i="8"/>
  <c r="S416" i="8"/>
  <c r="U415" i="8"/>
  <c r="S415" i="8"/>
  <c r="U414" i="8"/>
  <c r="S414" i="8"/>
  <c r="U413" i="8"/>
  <c r="S413" i="8"/>
  <c r="U412" i="8"/>
  <c r="S412" i="8"/>
  <c r="U411" i="8"/>
  <c r="S411" i="8"/>
  <c r="U410" i="8"/>
  <c r="S410" i="8"/>
  <c r="U409" i="8"/>
  <c r="S409" i="8"/>
  <c r="U408" i="8"/>
  <c r="S408" i="8"/>
  <c r="U407" i="8"/>
  <c r="S407" i="8"/>
  <c r="U406" i="8"/>
  <c r="S406" i="8"/>
  <c r="U405" i="8"/>
  <c r="S405" i="8"/>
  <c r="U404" i="8"/>
  <c r="S404" i="8"/>
  <c r="U403" i="8"/>
  <c r="S403" i="8"/>
  <c r="U402" i="8"/>
  <c r="S402" i="8"/>
  <c r="U401" i="8"/>
  <c r="S401" i="8"/>
  <c r="U400" i="8"/>
  <c r="S400" i="8"/>
  <c r="U399" i="8"/>
  <c r="S399" i="8"/>
  <c r="U398" i="8"/>
  <c r="S398" i="8"/>
  <c r="U397" i="8"/>
  <c r="S397" i="8"/>
  <c r="U396" i="8"/>
  <c r="S396" i="8"/>
  <c r="U395" i="8"/>
  <c r="S395" i="8"/>
  <c r="U394" i="8"/>
  <c r="S394" i="8"/>
  <c r="U393" i="8"/>
  <c r="S393" i="8"/>
  <c r="U392" i="8"/>
  <c r="S392" i="8"/>
  <c r="U391" i="8"/>
  <c r="S391" i="8"/>
  <c r="U390" i="8"/>
  <c r="S390" i="8"/>
  <c r="U389" i="8"/>
  <c r="S389" i="8"/>
  <c r="U388" i="8"/>
  <c r="S388" i="8"/>
  <c r="U387" i="8"/>
  <c r="S387" i="8"/>
  <c r="U386" i="8"/>
  <c r="S386" i="8"/>
  <c r="U385" i="8"/>
  <c r="S385" i="8"/>
  <c r="U384" i="8"/>
  <c r="S384" i="8"/>
  <c r="U383" i="8"/>
  <c r="S383" i="8"/>
  <c r="U382" i="8"/>
  <c r="S382" i="8"/>
  <c r="U381" i="8"/>
  <c r="S381" i="8"/>
  <c r="U380" i="8"/>
  <c r="S380" i="8"/>
  <c r="U379" i="8"/>
  <c r="S379" i="8"/>
  <c r="U378" i="8"/>
  <c r="S378" i="8"/>
  <c r="U377" i="8"/>
  <c r="S377" i="8"/>
  <c r="U376" i="8"/>
  <c r="S376" i="8"/>
  <c r="U375" i="8"/>
  <c r="S375" i="8"/>
  <c r="U374" i="8"/>
  <c r="S374" i="8"/>
  <c r="U373" i="8"/>
  <c r="S373" i="8"/>
  <c r="U372" i="8"/>
  <c r="S372" i="8"/>
  <c r="U371" i="8"/>
  <c r="S371" i="8"/>
  <c r="U370" i="8"/>
  <c r="S370" i="8"/>
  <c r="U369" i="8"/>
  <c r="S369" i="8"/>
  <c r="U368" i="8"/>
  <c r="S368" i="8"/>
  <c r="U367" i="8"/>
  <c r="S367" i="8"/>
  <c r="U366" i="8"/>
  <c r="S366" i="8"/>
  <c r="U365" i="8"/>
  <c r="S365" i="8"/>
  <c r="U364" i="8"/>
  <c r="S364" i="8"/>
  <c r="U363" i="8"/>
  <c r="S363" i="8"/>
  <c r="U362" i="8"/>
  <c r="S362" i="8"/>
  <c r="U361" i="8"/>
  <c r="S361" i="8"/>
  <c r="U360" i="8"/>
  <c r="S360" i="8"/>
  <c r="U359" i="8"/>
  <c r="S359" i="8"/>
  <c r="U358" i="8"/>
  <c r="S358" i="8"/>
  <c r="U357" i="8"/>
  <c r="S357" i="8"/>
  <c r="U356" i="8"/>
  <c r="S356" i="8"/>
  <c r="U355" i="8"/>
  <c r="S355" i="8"/>
  <c r="U354" i="8"/>
  <c r="S354" i="8"/>
  <c r="U353" i="8"/>
  <c r="S353" i="8"/>
  <c r="U352" i="8"/>
  <c r="S352" i="8"/>
  <c r="U351" i="8"/>
  <c r="S351" i="8"/>
  <c r="U350" i="8"/>
  <c r="S350" i="8"/>
  <c r="U349" i="8"/>
  <c r="S349" i="8"/>
  <c r="U348" i="8"/>
  <c r="S348" i="8"/>
  <c r="U347" i="8"/>
  <c r="S347" i="8"/>
  <c r="U346" i="8"/>
  <c r="S346" i="8"/>
  <c r="U345" i="8"/>
  <c r="S345" i="8"/>
  <c r="U344" i="8"/>
  <c r="S344" i="8"/>
  <c r="U343" i="8"/>
  <c r="S343" i="8"/>
  <c r="U342" i="8"/>
  <c r="S342" i="8"/>
  <c r="U341" i="8"/>
  <c r="S341" i="8"/>
  <c r="U340" i="8"/>
  <c r="S340" i="8"/>
  <c r="U339" i="8"/>
  <c r="S339" i="8"/>
  <c r="U338" i="8"/>
  <c r="S338" i="8"/>
  <c r="U337" i="8"/>
  <c r="S337" i="8"/>
  <c r="U336" i="8"/>
  <c r="S336" i="8"/>
  <c r="U335" i="8"/>
  <c r="S335" i="8"/>
  <c r="U334" i="8"/>
  <c r="S334" i="8"/>
  <c r="U333" i="8"/>
  <c r="S333" i="8"/>
  <c r="U332" i="8"/>
  <c r="S332" i="8"/>
  <c r="U331" i="8"/>
  <c r="S331" i="8"/>
  <c r="U330" i="8"/>
  <c r="S330" i="8"/>
  <c r="U329" i="8"/>
  <c r="S329" i="8"/>
  <c r="U328" i="8"/>
  <c r="S328" i="8"/>
  <c r="U327" i="8"/>
  <c r="S327" i="8"/>
  <c r="U326" i="8"/>
  <c r="S326" i="8"/>
  <c r="U325" i="8"/>
  <c r="S325" i="8"/>
  <c r="U324" i="8"/>
  <c r="S324" i="8"/>
  <c r="U323" i="8"/>
  <c r="S323" i="8"/>
  <c r="U322" i="8"/>
  <c r="S322" i="8"/>
  <c r="U321" i="8"/>
  <c r="S321" i="8"/>
  <c r="U320" i="8"/>
  <c r="S320" i="8"/>
  <c r="U319" i="8"/>
  <c r="S319" i="8"/>
  <c r="U318" i="8"/>
  <c r="S318" i="8"/>
  <c r="U317" i="8"/>
  <c r="S317" i="8"/>
  <c r="U316" i="8"/>
  <c r="S316" i="8"/>
  <c r="U315" i="8"/>
  <c r="S315" i="8"/>
  <c r="U314" i="8"/>
  <c r="S314" i="8"/>
  <c r="U313" i="8"/>
  <c r="S313" i="8"/>
  <c r="U312" i="8"/>
  <c r="S312" i="8"/>
  <c r="U311" i="8"/>
  <c r="S311" i="8"/>
  <c r="U310" i="8"/>
  <c r="S310" i="8"/>
  <c r="U309" i="8"/>
  <c r="S309" i="8"/>
  <c r="U308" i="8"/>
  <c r="S308" i="8"/>
  <c r="U307" i="8"/>
  <c r="S307" i="8"/>
  <c r="U306" i="8"/>
  <c r="S306" i="8"/>
  <c r="U305" i="8"/>
  <c r="S305" i="8"/>
  <c r="U304" i="8"/>
  <c r="S304" i="8"/>
  <c r="U303" i="8"/>
  <c r="S303" i="8"/>
  <c r="U302" i="8"/>
  <c r="S302" i="8"/>
  <c r="U301" i="8"/>
  <c r="S301" i="8"/>
  <c r="U300" i="8"/>
  <c r="S300" i="8"/>
  <c r="U299" i="8"/>
  <c r="S299" i="8"/>
  <c r="U298" i="8"/>
  <c r="S298" i="8"/>
  <c r="U297" i="8"/>
  <c r="S297" i="8"/>
  <c r="U296" i="8"/>
  <c r="S296" i="8"/>
  <c r="U295" i="8"/>
  <c r="S295" i="8"/>
  <c r="U294" i="8"/>
  <c r="S294" i="8"/>
  <c r="U293" i="8"/>
  <c r="S293" i="8"/>
  <c r="U292" i="8"/>
  <c r="S292" i="8"/>
  <c r="U291" i="8"/>
  <c r="S291" i="8"/>
  <c r="U290" i="8"/>
  <c r="S290" i="8"/>
  <c r="U289" i="8"/>
  <c r="S289" i="8"/>
  <c r="U288" i="8"/>
  <c r="S288" i="8"/>
  <c r="U287" i="8"/>
  <c r="S287" i="8"/>
  <c r="U286" i="8"/>
  <c r="S286" i="8"/>
  <c r="U285" i="8"/>
  <c r="S285" i="8"/>
  <c r="U284" i="8"/>
  <c r="S284" i="8"/>
  <c r="U283" i="8"/>
  <c r="S283" i="8"/>
  <c r="U282" i="8"/>
  <c r="S282" i="8"/>
  <c r="U281" i="8"/>
  <c r="S281" i="8"/>
  <c r="U280" i="8"/>
  <c r="S280" i="8"/>
  <c r="U279" i="8"/>
  <c r="S279" i="8"/>
  <c r="U278" i="8"/>
  <c r="S278" i="8"/>
  <c r="U277" i="8"/>
  <c r="S277" i="8"/>
  <c r="U276" i="8"/>
  <c r="S276" i="8"/>
  <c r="U275" i="8"/>
  <c r="S275" i="8"/>
  <c r="U274" i="8"/>
  <c r="S274" i="8"/>
  <c r="U273" i="8"/>
  <c r="S273" i="8"/>
  <c r="U272" i="8"/>
  <c r="S272" i="8"/>
  <c r="U271" i="8"/>
  <c r="S271" i="8"/>
  <c r="U270" i="8"/>
  <c r="S270" i="8"/>
  <c r="U269" i="8"/>
  <c r="S269" i="8"/>
  <c r="U268" i="8"/>
  <c r="S268" i="8"/>
  <c r="U267" i="8"/>
  <c r="S267" i="8"/>
  <c r="U266" i="8"/>
  <c r="S266" i="8"/>
  <c r="U265" i="8"/>
  <c r="S265" i="8"/>
  <c r="U264" i="8"/>
  <c r="S264" i="8"/>
  <c r="U263" i="8"/>
  <c r="S263" i="8"/>
  <c r="U262" i="8"/>
  <c r="S262" i="8"/>
  <c r="U261" i="8"/>
  <c r="S261" i="8"/>
  <c r="U260" i="8"/>
  <c r="S260" i="8"/>
  <c r="U259" i="8"/>
  <c r="S259" i="8"/>
  <c r="U258" i="8"/>
  <c r="S258" i="8"/>
  <c r="U257" i="8"/>
  <c r="S257" i="8"/>
  <c r="U256" i="8"/>
  <c r="S256" i="8"/>
  <c r="U255" i="8"/>
  <c r="S255" i="8"/>
  <c r="U254" i="8"/>
  <c r="S254" i="8"/>
  <c r="U253" i="8"/>
  <c r="S253" i="8"/>
  <c r="U252" i="8"/>
  <c r="S252" i="8"/>
  <c r="U251" i="8"/>
  <c r="S251" i="8"/>
  <c r="U250" i="8"/>
  <c r="S250" i="8"/>
  <c r="U249" i="8"/>
  <c r="S249" i="8"/>
  <c r="U248" i="8"/>
  <c r="S248" i="8"/>
  <c r="U247" i="8"/>
  <c r="S247" i="8"/>
  <c r="U246" i="8"/>
  <c r="S246" i="8"/>
  <c r="U245" i="8"/>
  <c r="S245" i="8"/>
  <c r="U244" i="8"/>
  <c r="S244" i="8"/>
  <c r="U243" i="8"/>
  <c r="S243" i="8"/>
  <c r="U242" i="8"/>
  <c r="S242" i="8"/>
  <c r="U241" i="8"/>
  <c r="S241" i="8"/>
  <c r="U240" i="8"/>
  <c r="S240" i="8"/>
  <c r="U239" i="8"/>
  <c r="S239" i="8"/>
  <c r="U238" i="8"/>
  <c r="S238" i="8"/>
  <c r="U237" i="8"/>
  <c r="S237" i="8"/>
  <c r="U236" i="8"/>
  <c r="S236" i="8"/>
  <c r="U235" i="8"/>
  <c r="S235" i="8"/>
  <c r="U234" i="8"/>
  <c r="S234" i="8"/>
  <c r="U233" i="8"/>
  <c r="S233" i="8"/>
  <c r="U232" i="8"/>
  <c r="S232" i="8"/>
  <c r="U231" i="8"/>
  <c r="S231" i="8"/>
  <c r="U230" i="8"/>
  <c r="S230" i="8"/>
  <c r="U229" i="8"/>
  <c r="S229" i="8"/>
  <c r="U228" i="8"/>
  <c r="S228" i="8"/>
  <c r="U227" i="8"/>
  <c r="S227" i="8"/>
  <c r="U226" i="8"/>
  <c r="S226" i="8"/>
  <c r="U225" i="8"/>
  <c r="S225" i="8"/>
  <c r="U224" i="8"/>
  <c r="S224" i="8"/>
  <c r="U223" i="8"/>
  <c r="S223" i="8"/>
  <c r="U222" i="8"/>
  <c r="S222" i="8"/>
  <c r="U221" i="8"/>
  <c r="S221" i="8"/>
  <c r="U220" i="8"/>
  <c r="S220" i="8"/>
  <c r="U219" i="8"/>
  <c r="S219" i="8"/>
  <c r="U218" i="8"/>
  <c r="S218" i="8"/>
  <c r="U217" i="8"/>
  <c r="S217" i="8"/>
  <c r="U216" i="8"/>
  <c r="S216" i="8"/>
  <c r="U215" i="8"/>
  <c r="S215" i="8"/>
  <c r="U214" i="8"/>
  <c r="S214" i="8"/>
  <c r="U213" i="8"/>
  <c r="S213" i="8"/>
  <c r="U212" i="8"/>
  <c r="S212" i="8"/>
  <c r="U211" i="8"/>
  <c r="S211" i="8"/>
  <c r="U210" i="8"/>
  <c r="S210" i="8"/>
  <c r="U209" i="8"/>
  <c r="S209" i="8"/>
  <c r="U208" i="8"/>
  <c r="S208" i="8"/>
  <c r="U207" i="8"/>
  <c r="S207" i="8"/>
  <c r="U206" i="8"/>
  <c r="S206" i="8"/>
  <c r="U205" i="8"/>
  <c r="S205" i="8"/>
  <c r="U204" i="8"/>
  <c r="S204" i="8"/>
  <c r="U203" i="8"/>
  <c r="S203" i="8"/>
  <c r="U202" i="8"/>
  <c r="S202" i="8"/>
  <c r="U201" i="8"/>
  <c r="S201" i="8"/>
  <c r="U200" i="8"/>
  <c r="S200" i="8"/>
  <c r="U199" i="8"/>
  <c r="S199" i="8"/>
  <c r="U198" i="8"/>
  <c r="S198" i="8"/>
  <c r="U197" i="8"/>
  <c r="S197" i="8"/>
  <c r="U196" i="8"/>
  <c r="S196" i="8"/>
  <c r="U195" i="8"/>
  <c r="S195" i="8"/>
  <c r="U194" i="8"/>
  <c r="S194" i="8"/>
  <c r="U193" i="8"/>
  <c r="S193" i="8"/>
  <c r="U192" i="8"/>
  <c r="S192" i="8"/>
  <c r="U191" i="8"/>
  <c r="S191" i="8"/>
  <c r="U190" i="8"/>
  <c r="S190" i="8"/>
  <c r="U189" i="8"/>
  <c r="S189" i="8"/>
  <c r="U188" i="8"/>
  <c r="S188" i="8"/>
  <c r="U187" i="8"/>
  <c r="S187" i="8"/>
  <c r="U186" i="8"/>
  <c r="S186" i="8"/>
  <c r="U185" i="8"/>
  <c r="S185" i="8"/>
  <c r="U184" i="8"/>
  <c r="S184" i="8"/>
  <c r="U183" i="8"/>
  <c r="S183" i="8"/>
  <c r="U182" i="8"/>
  <c r="S182" i="8"/>
  <c r="U181" i="8"/>
  <c r="S181" i="8"/>
  <c r="U180" i="8"/>
  <c r="S180" i="8"/>
  <c r="U179" i="8"/>
  <c r="S179" i="8"/>
  <c r="U178" i="8"/>
  <c r="S178" i="8"/>
  <c r="U177" i="8"/>
  <c r="S177" i="8"/>
  <c r="U176" i="8"/>
  <c r="S176" i="8"/>
  <c r="U175" i="8"/>
  <c r="S175" i="8"/>
  <c r="U174" i="8"/>
  <c r="S174" i="8"/>
  <c r="U173" i="8"/>
  <c r="S173" i="8"/>
  <c r="U172" i="8"/>
  <c r="S172" i="8"/>
  <c r="U171" i="8"/>
  <c r="S171" i="8"/>
  <c r="U170" i="8"/>
  <c r="S170" i="8"/>
  <c r="U169" i="8"/>
  <c r="S169" i="8"/>
  <c r="U168" i="8"/>
  <c r="S168" i="8"/>
  <c r="U167" i="8"/>
  <c r="S167" i="8"/>
  <c r="U166" i="8"/>
  <c r="S166" i="8"/>
  <c r="U165" i="8"/>
  <c r="S165" i="8"/>
  <c r="U164" i="8"/>
  <c r="S164" i="8"/>
  <c r="U163" i="8"/>
  <c r="S163" i="8"/>
  <c r="U162" i="8"/>
  <c r="S162" i="8"/>
  <c r="U161" i="8"/>
  <c r="S161" i="8"/>
  <c r="U160" i="8"/>
  <c r="S160" i="8"/>
  <c r="U159" i="8"/>
  <c r="S159" i="8"/>
  <c r="U158" i="8"/>
  <c r="S158" i="8"/>
  <c r="U157" i="8"/>
  <c r="S157" i="8"/>
  <c r="U156" i="8"/>
  <c r="S156" i="8"/>
  <c r="U155" i="8"/>
  <c r="S155" i="8"/>
  <c r="U154" i="8"/>
  <c r="S154" i="8"/>
  <c r="U153" i="8"/>
  <c r="S153" i="8"/>
  <c r="U152" i="8"/>
  <c r="S152" i="8"/>
  <c r="U151" i="8"/>
  <c r="S151" i="8"/>
  <c r="U150" i="8"/>
  <c r="S150" i="8"/>
  <c r="U149" i="8"/>
  <c r="S149" i="8"/>
  <c r="U148" i="8"/>
  <c r="S148" i="8"/>
  <c r="U147" i="8"/>
  <c r="S147" i="8"/>
  <c r="U146" i="8"/>
  <c r="S146" i="8"/>
  <c r="U145" i="8"/>
  <c r="S145" i="8"/>
  <c r="U144" i="8"/>
  <c r="S144" i="8"/>
  <c r="U143" i="8"/>
  <c r="S143" i="8"/>
  <c r="U142" i="8"/>
  <c r="S142" i="8"/>
  <c r="U141" i="8"/>
  <c r="S141" i="8"/>
  <c r="U140" i="8"/>
  <c r="S140" i="8"/>
  <c r="U139" i="8"/>
  <c r="S139" i="8"/>
  <c r="U138" i="8"/>
  <c r="S138" i="8"/>
  <c r="U137" i="8"/>
  <c r="S137" i="8"/>
  <c r="U136" i="8"/>
  <c r="S136" i="8"/>
  <c r="U135" i="8"/>
  <c r="S135" i="8"/>
  <c r="U134" i="8"/>
  <c r="S134" i="8"/>
  <c r="U133" i="8"/>
  <c r="S133" i="8"/>
  <c r="U132" i="8"/>
  <c r="S132" i="8"/>
  <c r="U131" i="8"/>
  <c r="S131" i="8"/>
  <c r="U130" i="8"/>
  <c r="S130" i="8"/>
  <c r="U129" i="8"/>
  <c r="S129" i="8"/>
  <c r="U128" i="8"/>
  <c r="S128" i="8"/>
  <c r="U127" i="8"/>
  <c r="S127" i="8"/>
  <c r="U126" i="8"/>
  <c r="S126" i="8"/>
  <c r="U125" i="8"/>
  <c r="S125" i="8"/>
  <c r="U124" i="8"/>
  <c r="S124" i="8"/>
  <c r="U123" i="8"/>
  <c r="S123" i="8"/>
  <c r="U122" i="8"/>
  <c r="S122" i="8"/>
  <c r="U121" i="8"/>
  <c r="S121" i="8"/>
  <c r="U120" i="8"/>
  <c r="S120" i="8"/>
  <c r="U119" i="8"/>
  <c r="S119" i="8"/>
  <c r="U118" i="8"/>
  <c r="S118" i="8"/>
  <c r="U117" i="8"/>
  <c r="S117" i="8"/>
  <c r="U116" i="8"/>
  <c r="S116" i="8"/>
  <c r="U115" i="8"/>
  <c r="S115" i="8"/>
  <c r="U114" i="8"/>
  <c r="S114" i="8"/>
  <c r="U113" i="8"/>
  <c r="S113" i="8"/>
  <c r="U112" i="8"/>
  <c r="S112" i="8"/>
  <c r="U111" i="8"/>
  <c r="S111" i="8"/>
  <c r="U110" i="8"/>
  <c r="S110" i="8"/>
  <c r="U109" i="8"/>
  <c r="S109" i="8"/>
  <c r="U108" i="8"/>
  <c r="S108" i="8"/>
  <c r="U107" i="8"/>
  <c r="S107" i="8"/>
  <c r="U106" i="8"/>
  <c r="S106" i="8"/>
  <c r="U105" i="8"/>
  <c r="S105" i="8"/>
  <c r="U104" i="8"/>
  <c r="S104" i="8"/>
  <c r="U103" i="8"/>
  <c r="S103" i="8"/>
  <c r="U102" i="8"/>
  <c r="S102" i="8"/>
  <c r="U101" i="8"/>
  <c r="S101" i="8"/>
  <c r="U100" i="8"/>
  <c r="S100" i="8"/>
  <c r="U99" i="8"/>
  <c r="S99" i="8"/>
  <c r="U98" i="8"/>
  <c r="S98" i="8"/>
  <c r="U97" i="8"/>
  <c r="S97" i="8"/>
  <c r="U96" i="8"/>
  <c r="S96" i="8"/>
  <c r="U95" i="8"/>
  <c r="S95" i="8"/>
  <c r="U94" i="8"/>
  <c r="S94" i="8"/>
  <c r="U93" i="8"/>
  <c r="S93" i="8"/>
  <c r="U92" i="8"/>
  <c r="S92" i="8"/>
  <c r="U91" i="8"/>
  <c r="S91" i="8"/>
  <c r="U90" i="8"/>
  <c r="S90" i="8"/>
  <c r="U89" i="8"/>
  <c r="S89" i="8"/>
  <c r="U88" i="8"/>
  <c r="S88" i="8"/>
  <c r="U87" i="8"/>
  <c r="S87" i="8"/>
  <c r="U86" i="8"/>
  <c r="S86" i="8"/>
  <c r="U85" i="8"/>
  <c r="S85" i="8"/>
  <c r="U84" i="8"/>
  <c r="S84" i="8"/>
  <c r="U83" i="8"/>
  <c r="S83" i="8"/>
  <c r="U82" i="8"/>
  <c r="S82" i="8"/>
  <c r="U81" i="8"/>
  <c r="S81" i="8"/>
  <c r="U80" i="8"/>
  <c r="S80" i="8"/>
  <c r="U79" i="8"/>
  <c r="S79" i="8"/>
  <c r="U78" i="8"/>
  <c r="S78" i="8"/>
  <c r="U77" i="8"/>
  <c r="S77" i="8"/>
  <c r="U76" i="8"/>
  <c r="S76" i="8"/>
  <c r="U75" i="8"/>
  <c r="S75" i="8"/>
  <c r="U74" i="8"/>
  <c r="S74" i="8"/>
  <c r="U73" i="8"/>
  <c r="S73" i="8"/>
  <c r="U72" i="8"/>
  <c r="S72" i="8"/>
  <c r="U71" i="8"/>
  <c r="S71" i="8"/>
  <c r="U70" i="8"/>
  <c r="S70" i="8"/>
  <c r="U69" i="8"/>
  <c r="S69" i="8"/>
  <c r="U68" i="8"/>
  <c r="S68" i="8"/>
  <c r="U67" i="8"/>
  <c r="S67" i="8"/>
  <c r="U66" i="8"/>
  <c r="S66" i="8"/>
  <c r="U65" i="8"/>
  <c r="S65" i="8"/>
  <c r="U64" i="8"/>
  <c r="S64" i="8"/>
  <c r="U63" i="8"/>
  <c r="S63" i="8"/>
  <c r="U62" i="8"/>
  <c r="S62" i="8"/>
  <c r="U61" i="8"/>
  <c r="S61" i="8"/>
  <c r="U60" i="8"/>
  <c r="S60" i="8"/>
  <c r="U59" i="8"/>
  <c r="S59" i="8"/>
  <c r="U58" i="8"/>
  <c r="S58" i="8"/>
  <c r="U57" i="8"/>
  <c r="S57" i="8"/>
  <c r="U56" i="8"/>
  <c r="S56" i="8"/>
  <c r="U55" i="8"/>
  <c r="S55" i="8"/>
  <c r="U54" i="8"/>
  <c r="S54" i="8"/>
  <c r="U53" i="8"/>
  <c r="S53" i="8"/>
  <c r="U52" i="8"/>
  <c r="S52" i="8"/>
  <c r="U51" i="8"/>
  <c r="S51" i="8"/>
  <c r="U50" i="8"/>
  <c r="S50" i="8"/>
  <c r="U49" i="8"/>
  <c r="S49" i="8"/>
  <c r="U48" i="8"/>
  <c r="S48" i="8"/>
  <c r="U47" i="8"/>
  <c r="S47" i="8"/>
  <c r="U46" i="8"/>
  <c r="S46" i="8"/>
  <c r="U45" i="8"/>
  <c r="S45" i="8"/>
  <c r="U44" i="8"/>
  <c r="S44" i="8"/>
  <c r="U43" i="8"/>
  <c r="S43" i="8"/>
  <c r="U42" i="8"/>
  <c r="S42" i="8"/>
  <c r="U41" i="8"/>
  <c r="S41" i="8"/>
  <c r="U40" i="8"/>
  <c r="S40" i="8"/>
  <c r="U39" i="8"/>
  <c r="S39" i="8"/>
  <c r="U38" i="8"/>
  <c r="S38" i="8"/>
  <c r="U37" i="8"/>
  <c r="S37" i="8"/>
  <c r="U36" i="8"/>
  <c r="S36" i="8"/>
  <c r="U35" i="8"/>
  <c r="S35" i="8"/>
  <c r="U34" i="8"/>
  <c r="S34" i="8"/>
  <c r="U33" i="8"/>
  <c r="S33" i="8"/>
  <c r="U32" i="8"/>
  <c r="S32" i="8"/>
  <c r="U31" i="8"/>
  <c r="S31" i="8"/>
  <c r="W30" i="8"/>
  <c r="U30" i="8"/>
  <c r="S30" i="8"/>
  <c r="U29" i="8"/>
  <c r="S29" i="8"/>
  <c r="U28" i="8"/>
  <c r="S28" i="8"/>
  <c r="U27" i="8"/>
  <c r="S27" i="8"/>
  <c r="U26" i="8"/>
  <c r="S26" i="8"/>
  <c r="U25" i="8"/>
  <c r="S25" i="8"/>
  <c r="U24" i="8"/>
  <c r="S24" i="8"/>
  <c r="U23" i="8"/>
  <c r="S23" i="8"/>
  <c r="U22" i="8"/>
  <c r="S22" i="8"/>
  <c r="U21" i="8"/>
  <c r="S21" i="8"/>
  <c r="U20" i="8"/>
  <c r="S20" i="8"/>
  <c r="U19" i="8"/>
  <c r="S19" i="8"/>
  <c r="U18" i="8"/>
  <c r="S18" i="8"/>
  <c r="U17" i="8"/>
  <c r="S17" i="8"/>
  <c r="U16" i="8"/>
  <c r="S16" i="8"/>
  <c r="U15" i="8"/>
  <c r="S15" i="8"/>
  <c r="U14" i="8"/>
  <c r="S14" i="8"/>
  <c r="U13" i="8"/>
  <c r="S13" i="8"/>
  <c r="U12" i="8"/>
  <c r="S12" i="8"/>
  <c r="U11" i="8"/>
  <c r="S11" i="8"/>
  <c r="U10" i="8"/>
  <c r="S10" i="8"/>
  <c r="U9" i="8"/>
  <c r="S9" i="8"/>
  <c r="U8" i="8"/>
  <c r="S8" i="8"/>
  <c r="U7" i="8"/>
  <c r="S7" i="8"/>
  <c r="U6" i="8"/>
  <c r="S6" i="8"/>
  <c r="U5" i="8"/>
  <c r="S5" i="8"/>
  <c r="U4" i="8"/>
  <c r="S4" i="8"/>
  <c r="U3" i="8"/>
  <c r="S3" i="8"/>
  <c r="U2" i="8"/>
  <c r="S2" i="8"/>
  <c r="F30" i="1"/>
  <c r="E30" i="1"/>
  <c r="F29" i="1"/>
  <c r="E29" i="1"/>
  <c r="F28" i="1"/>
  <c r="E28" i="1"/>
  <c r="F27" i="1"/>
  <c r="E27" i="1"/>
  <c r="F26" i="1"/>
  <c r="E26" i="1"/>
  <c r="F25" i="1"/>
  <c r="E25" i="1"/>
  <c r="F24" i="1"/>
  <c r="E24" i="1"/>
  <c r="F23" i="1"/>
  <c r="E23" i="1"/>
  <c r="F22" i="1"/>
  <c r="E22" i="1"/>
  <c r="F21" i="1"/>
  <c r="E21" i="1"/>
  <c r="F20" i="1"/>
  <c r="E20" i="1"/>
  <c r="F19" i="1"/>
  <c r="E19" i="1"/>
  <c r="F18" i="1"/>
  <c r="E18" i="1"/>
  <c r="F17" i="1"/>
  <c r="E17" i="1"/>
  <c r="F16" i="1"/>
  <c r="E16" i="1"/>
  <c r="F15" i="1"/>
  <c r="E15" i="1"/>
  <c r="F14" i="1"/>
  <c r="E14" i="1"/>
  <c r="F13" i="1"/>
  <c r="E13" i="1"/>
  <c r="F12" i="1"/>
  <c r="E12" i="1"/>
  <c r="F11" i="1"/>
  <c r="E11" i="1"/>
  <c r="F10" i="1"/>
  <c r="E10" i="1"/>
  <c r="F9" i="1"/>
  <c r="E9" i="1"/>
  <c r="F8" i="1"/>
  <c r="E8" i="1"/>
  <c r="F7" i="1"/>
  <c r="E7" i="1"/>
  <c r="F6" i="1"/>
  <c r="E6" i="1"/>
  <c r="F5" i="1"/>
  <c r="E5" i="1"/>
  <c r="F4" i="1"/>
  <c r="E4" i="1"/>
  <c r="F3" i="1"/>
  <c r="E3" i="1"/>
  <c r="F2" i="1"/>
  <c r="E2" i="1"/>
  <c r="AA3" i="10"/>
  <c r="D15" i="1"/>
  <c r="D28" i="1"/>
  <c r="D20" i="1"/>
  <c r="D29" i="1"/>
  <c r="D13" i="1"/>
  <c r="D26" i="1"/>
  <c r="D27" i="1"/>
  <c r="D11" i="1"/>
  <c r="D24" i="1"/>
  <c r="D12" i="1"/>
  <c r="D25" i="1"/>
  <c r="D9" i="1"/>
  <c r="D22" i="1"/>
  <c r="D23" i="1"/>
  <c r="D7" i="1"/>
  <c r="D18" i="1"/>
  <c r="D4" i="1"/>
  <c r="D21" i="1"/>
  <c r="D5" i="1"/>
  <c r="D14" i="1"/>
  <c r="D19" i="1"/>
  <c r="D3" i="1"/>
  <c r="D10" i="1"/>
  <c r="D2" i="1"/>
  <c r="D17" i="1"/>
  <c r="D30" i="1"/>
  <c r="D6" i="1"/>
  <c r="D16" i="1"/>
  <c r="D8" i="1"/>
  <c r="I2" i="1" l="1"/>
  <c r="G2" i="1"/>
  <c r="H2" i="1"/>
  <c r="J2" i="1"/>
  <c r="I4" i="1"/>
  <c r="G4" i="1"/>
  <c r="J4" i="1"/>
  <c r="H4" i="1"/>
  <c r="I8" i="1"/>
  <c r="G8" i="1"/>
  <c r="H8" i="1"/>
  <c r="J8" i="1"/>
  <c r="I12" i="1"/>
  <c r="G12" i="1"/>
  <c r="H12" i="1"/>
  <c r="J12" i="1"/>
  <c r="I16" i="1"/>
  <c r="G16" i="1"/>
  <c r="H16" i="1"/>
  <c r="J16" i="1"/>
  <c r="I20" i="1"/>
  <c r="G20" i="1"/>
  <c r="H20" i="1"/>
  <c r="J20" i="1"/>
  <c r="I6" i="1"/>
  <c r="G6" i="1"/>
  <c r="J6" i="1"/>
  <c r="H6" i="1"/>
  <c r="I10" i="1"/>
  <c r="G10" i="1"/>
  <c r="J10" i="1"/>
  <c r="H10" i="1"/>
  <c r="I14" i="1"/>
  <c r="G14" i="1"/>
  <c r="J14" i="1"/>
  <c r="H14" i="1"/>
  <c r="I18" i="1"/>
  <c r="G18" i="1"/>
  <c r="J18" i="1"/>
  <c r="H18" i="1"/>
  <c r="I22" i="1"/>
  <c r="G22" i="1"/>
  <c r="J22" i="1"/>
  <c r="H22" i="1"/>
  <c r="I24" i="1"/>
  <c r="G24" i="1"/>
  <c r="J24" i="1"/>
  <c r="H24" i="1"/>
  <c r="I26" i="1"/>
  <c r="G26" i="1"/>
  <c r="J26" i="1"/>
  <c r="H26" i="1"/>
  <c r="I28" i="1"/>
  <c r="G28" i="1"/>
  <c r="J28" i="1"/>
  <c r="H28" i="1"/>
  <c r="I30" i="1"/>
  <c r="G30" i="1"/>
  <c r="J30" i="1"/>
  <c r="H30" i="1"/>
  <c r="J3" i="1"/>
  <c r="H3" i="1"/>
  <c r="G3" i="1"/>
  <c r="I3" i="1"/>
  <c r="J5" i="1"/>
  <c r="H5" i="1"/>
  <c r="I5" i="1"/>
  <c r="G5" i="1"/>
  <c r="J7" i="1"/>
  <c r="H7" i="1"/>
  <c r="I7" i="1"/>
  <c r="G7" i="1"/>
  <c r="J9" i="1"/>
  <c r="H9" i="1"/>
  <c r="G9" i="1"/>
  <c r="I9" i="1"/>
  <c r="J11" i="1"/>
  <c r="H11" i="1"/>
  <c r="I11" i="1"/>
  <c r="G11" i="1"/>
  <c r="J13" i="1"/>
  <c r="H13" i="1"/>
  <c r="G13" i="1"/>
  <c r="I13" i="1"/>
  <c r="J15" i="1"/>
  <c r="H15" i="1"/>
  <c r="I15" i="1"/>
  <c r="G15" i="1"/>
  <c r="J17" i="1"/>
  <c r="H17" i="1"/>
  <c r="G17" i="1"/>
  <c r="I17" i="1"/>
  <c r="J19" i="1"/>
  <c r="H19" i="1"/>
  <c r="I19" i="1"/>
  <c r="G19" i="1"/>
  <c r="J21" i="1"/>
  <c r="H21" i="1"/>
  <c r="G21" i="1"/>
  <c r="I21" i="1"/>
  <c r="J23" i="1"/>
  <c r="H23" i="1"/>
  <c r="I23" i="1"/>
  <c r="G23" i="1"/>
  <c r="J25" i="1"/>
  <c r="H25" i="1"/>
  <c r="I25" i="1"/>
  <c r="G25" i="1"/>
  <c r="J27" i="1"/>
  <c r="H27" i="1"/>
  <c r="I27" i="1"/>
  <c r="G27" i="1"/>
  <c r="J29" i="1"/>
  <c r="H29" i="1"/>
  <c r="I29" i="1"/>
  <c r="G29" i="1"/>
  <c r="AG6" i="10" l="1"/>
</calcChain>
</file>

<file path=xl/comments1.xml><?xml version="1.0" encoding="utf-8"?>
<comments xmlns="http://schemas.openxmlformats.org/spreadsheetml/2006/main">
  <authors>
    <author>Vincent</author>
  </authors>
  <commentList>
    <comment ref="A2" authorId="0">
      <text>
        <r>
          <rPr>
            <b/>
            <sz val="9"/>
            <color indexed="81"/>
            <rFont val="Tahoma"/>
            <charset val="1"/>
          </rPr>
          <t>Peter:</t>
        </r>
        <r>
          <rPr>
            <sz val="9"/>
            <color indexed="81"/>
            <rFont val="Tahoma"/>
            <charset val="1"/>
          </rPr>
          <t xml:space="preserve">
Connect Sales worksheet to external database by end of Q4.</t>
        </r>
      </text>
    </comment>
  </commentList>
</comments>
</file>

<file path=xl/sharedStrings.xml><?xml version="1.0" encoding="utf-8"?>
<sst xmlns="http://schemas.openxmlformats.org/spreadsheetml/2006/main" count="1817" uniqueCount="402">
  <si>
    <t>AuthorID</t>
  </si>
  <si>
    <t>Years
Under Contract</t>
  </si>
  <si>
    <t>Number of
Books in Print</t>
  </si>
  <si>
    <t>Initial
Contract Date</t>
  </si>
  <si>
    <t>Number of
Books Sold</t>
  </si>
  <si>
    <t>Income
Earned</t>
  </si>
  <si>
    <t>Royalty
Rate</t>
  </si>
  <si>
    <t>Early
Producer?</t>
  </si>
  <si>
    <t>5+ Years
or High
Producer?</t>
  </si>
  <si>
    <t>5+ Years
and 350K+ Units
Sold or $1M+ Earned?</t>
  </si>
  <si>
    <t>Author</t>
  </si>
  <si>
    <t>Sell Price</t>
  </si>
  <si>
    <t>Genre</t>
  </si>
  <si>
    <t>Romance</t>
  </si>
  <si>
    <t>SF</t>
  </si>
  <si>
    <t>Thriller</t>
  </si>
  <si>
    <t>APAC</t>
  </si>
  <si>
    <t>LA</t>
  </si>
  <si>
    <t>EMEA</t>
  </si>
  <si>
    <t>NA</t>
  </si>
  <si>
    <t>Title</t>
  </si>
  <si>
    <t>Market</t>
  </si>
  <si>
    <t>BookTitle0001</t>
  </si>
  <si>
    <t>BookTitle0002</t>
  </si>
  <si>
    <t>BookTitle0003</t>
  </si>
  <si>
    <t>Format</t>
  </si>
  <si>
    <t>Fantasy</t>
  </si>
  <si>
    <t>Print</t>
  </si>
  <si>
    <t>Electronic</t>
  </si>
  <si>
    <t>BookTitle0004</t>
  </si>
  <si>
    <t>BookTitle0005</t>
  </si>
  <si>
    <t>BookTitle0006</t>
  </si>
  <si>
    <t>BookTitle0007</t>
  </si>
  <si>
    <t>BookTitle0008</t>
  </si>
  <si>
    <t>BookTitle0009</t>
  </si>
  <si>
    <t>BookTitle0010</t>
  </si>
  <si>
    <t>BookTitle0011</t>
  </si>
  <si>
    <t>BookTitle0012</t>
  </si>
  <si>
    <t>BookTitle0013</t>
  </si>
  <si>
    <t>FY 2000</t>
  </si>
  <si>
    <t>FY 2001</t>
  </si>
  <si>
    <t>FY 2002</t>
  </si>
  <si>
    <t>FY 2003</t>
  </si>
  <si>
    <t>FY 2004</t>
  </si>
  <si>
    <t>FY 2005</t>
  </si>
  <si>
    <t>FY 2006</t>
  </si>
  <si>
    <t>FY 2007</t>
  </si>
  <si>
    <t>FY 2008</t>
  </si>
  <si>
    <t>FY 2009</t>
  </si>
  <si>
    <t>FY 2010</t>
  </si>
  <si>
    <t>FY 2011</t>
  </si>
  <si>
    <t>FY 2012</t>
  </si>
  <si>
    <t>BookTitle0014</t>
  </si>
  <si>
    <t>BookTitle0015</t>
  </si>
  <si>
    <t>BookTitle0016</t>
  </si>
  <si>
    <t>BookTitle0017</t>
  </si>
  <si>
    <t>BookTitle0018</t>
  </si>
  <si>
    <t>BookTitle0019</t>
  </si>
  <si>
    <t>BookTitle0020</t>
  </si>
  <si>
    <t>BookTitle0021</t>
  </si>
  <si>
    <t>BookTitle0022</t>
  </si>
  <si>
    <t>BookTitle0023</t>
  </si>
  <si>
    <t>BookTitle0024</t>
  </si>
  <si>
    <t>BookTitle0025</t>
  </si>
  <si>
    <t>BookTitle0026</t>
  </si>
  <si>
    <t>BookTitle0029</t>
  </si>
  <si>
    <t>BookTitle0030</t>
  </si>
  <si>
    <t>BookTitle0031</t>
  </si>
  <si>
    <t>BookTitle0035</t>
  </si>
  <si>
    <t>BookTitle0036</t>
  </si>
  <si>
    <t>BookTitle0037</t>
  </si>
  <si>
    <t>BookTitle0038</t>
  </si>
  <si>
    <t>BookTitle0039</t>
  </si>
  <si>
    <t>BookTitle0040</t>
  </si>
  <si>
    <t>BookTitle0041</t>
  </si>
  <si>
    <t>BookTitle0042</t>
  </si>
  <si>
    <t>BookTitle0043</t>
  </si>
  <si>
    <t>BookTitle0050</t>
  </si>
  <si>
    <t>BookTitle0051</t>
  </si>
  <si>
    <t>BookTitle0052</t>
  </si>
  <si>
    <t>BookTitle0053</t>
  </si>
  <si>
    <t>BookTitle0055</t>
  </si>
  <si>
    <t>BookTitle0056</t>
  </si>
  <si>
    <t>BookTitle0057</t>
  </si>
  <si>
    <t>BookTitle0058</t>
  </si>
  <si>
    <t>BookTitle0059</t>
  </si>
  <si>
    <t>BookTitle0062</t>
  </si>
  <si>
    <t>BookTitle0063</t>
  </si>
  <si>
    <t>BookTitle0067</t>
  </si>
  <si>
    <t>BookTitle0068</t>
  </si>
  <si>
    <t>BookTitle0069</t>
  </si>
  <si>
    <t>BookTitle0070</t>
  </si>
  <si>
    <t>BookTitle0071</t>
  </si>
  <si>
    <t>BookTitle0072</t>
  </si>
  <si>
    <t>BookTitle0073</t>
  </si>
  <si>
    <t>BookTitle0074</t>
  </si>
  <si>
    <t>BookTitle0075</t>
  </si>
  <si>
    <t>BookTitle0076</t>
  </si>
  <si>
    <t>BookTitle0077</t>
  </si>
  <si>
    <t>BookTitle0078</t>
  </si>
  <si>
    <t>BookTitle0079</t>
  </si>
  <si>
    <t>BookTitle0080</t>
  </si>
  <si>
    <t>BookTitle0081</t>
  </si>
  <si>
    <t>BookTitle0082</t>
  </si>
  <si>
    <t>BookTitle0083</t>
  </si>
  <si>
    <t>BookTitle0084</t>
  </si>
  <si>
    <t>BookTitle0085</t>
  </si>
  <si>
    <t>BookTitle0086</t>
  </si>
  <si>
    <t>BookTitle0087</t>
  </si>
  <si>
    <t>BookTitle0088</t>
  </si>
  <si>
    <t>BookTitle0089</t>
  </si>
  <si>
    <t>BookTitle0090</t>
  </si>
  <si>
    <t>BookTitle0091</t>
  </si>
  <si>
    <t>BookTitle0092</t>
  </si>
  <si>
    <t>BookTitle0093</t>
  </si>
  <si>
    <t>BookTitle0094</t>
  </si>
  <si>
    <t>BookTitle0095</t>
  </si>
  <si>
    <t>BookTitle0096</t>
  </si>
  <si>
    <t>BookTitle0097</t>
  </si>
  <si>
    <t>BookTitle0102</t>
  </si>
  <si>
    <t>BookTitle0104</t>
  </si>
  <si>
    <t>BookTitle0105</t>
  </si>
  <si>
    <t>BookTitle0106</t>
  </si>
  <si>
    <t>BookTitle0109</t>
  </si>
  <si>
    <t>BookTitle0110</t>
  </si>
  <si>
    <t>BookTitle0113</t>
  </si>
  <si>
    <t>BookTitle0114</t>
  </si>
  <si>
    <t>BookTitle0115</t>
  </si>
  <si>
    <t>BookTitle0116</t>
  </si>
  <si>
    <t>BookTitle0117</t>
  </si>
  <si>
    <t>BookTitle0118</t>
  </si>
  <si>
    <t>BookTitle0119</t>
  </si>
  <si>
    <t>BookTitle0120</t>
  </si>
  <si>
    <t>BookTitle0121</t>
  </si>
  <si>
    <t>BookTitle0122</t>
  </si>
  <si>
    <t>BookTitle0123</t>
  </si>
  <si>
    <t>BookTitle0124</t>
  </si>
  <si>
    <t>BookTitle0125</t>
  </si>
  <si>
    <t>BookTitle0126</t>
  </si>
  <si>
    <t>BookTitle0127</t>
  </si>
  <si>
    <t>BookTitle0128</t>
  </si>
  <si>
    <t>BookTitle0129</t>
  </si>
  <si>
    <t>BookTitle0130</t>
  </si>
  <si>
    <t>BookTitle0131</t>
  </si>
  <si>
    <t>BookTitle0132</t>
  </si>
  <si>
    <t>BookTitle0133</t>
  </si>
  <si>
    <t>BookTitle0134</t>
  </si>
  <si>
    <t>BookTitle0135</t>
  </si>
  <si>
    <t>BookTitle0140</t>
  </si>
  <si>
    <t>BookTitle0141</t>
  </si>
  <si>
    <t>BookTitle0142</t>
  </si>
  <si>
    <t>BookTitle0145</t>
  </si>
  <si>
    <t>BookTitle0146</t>
  </si>
  <si>
    <t>BookTitle0147</t>
  </si>
  <si>
    <t>BookTitle0148</t>
  </si>
  <si>
    <t>BookTitle0149</t>
  </si>
  <si>
    <t>BookTitle0150</t>
  </si>
  <si>
    <t>BookTitle0151</t>
  </si>
  <si>
    <t>BookTitle0152</t>
  </si>
  <si>
    <t>BookTitle0153</t>
  </si>
  <si>
    <t>BookTitle0154</t>
  </si>
  <si>
    <t>BookTitle0155</t>
  </si>
  <si>
    <t>BookTitle0156</t>
  </si>
  <si>
    <t>BookTitle0157</t>
  </si>
  <si>
    <t>BookTitle0158</t>
  </si>
  <si>
    <t>BookTitle0159</t>
  </si>
  <si>
    <t>BookTitle0160</t>
  </si>
  <si>
    <t>BookTitle0161</t>
  </si>
  <si>
    <t>BookTitle0162</t>
  </si>
  <si>
    <t>BookTitle0163</t>
  </si>
  <si>
    <t>BookTitle0164</t>
  </si>
  <si>
    <t>BookTitle0165</t>
  </si>
  <si>
    <t>BookTitle0166</t>
  </si>
  <si>
    <t>BookTitle0167</t>
  </si>
  <si>
    <t>BookTitle0168</t>
  </si>
  <si>
    <t>BookTitle0169</t>
  </si>
  <si>
    <t>BookTitle0170</t>
  </si>
  <si>
    <t>BookTitle0171</t>
  </si>
  <si>
    <t>BookTitle0172</t>
  </si>
  <si>
    <t>BookTitle0173</t>
  </si>
  <si>
    <t>BookTitle0177</t>
  </si>
  <si>
    <t>BookTitle0178</t>
  </si>
  <si>
    <t>BookTitle0179</t>
  </si>
  <si>
    <t>BookTitle0185</t>
  </si>
  <si>
    <t>BookTitle0186</t>
  </si>
  <si>
    <t>BookTitle0187</t>
  </si>
  <si>
    <t>BookTitle0188</t>
  </si>
  <si>
    <t>BookTitle0193</t>
  </si>
  <si>
    <t>BookTitle0194</t>
  </si>
  <si>
    <t>BookTitle0195</t>
  </si>
  <si>
    <t>BookTitle0196</t>
  </si>
  <si>
    <t>BookTitle0203</t>
  </si>
  <si>
    <t>BookTitle0204</t>
  </si>
  <si>
    <t>BookTitle0205</t>
  </si>
  <si>
    <t>BookTitle0207</t>
  </si>
  <si>
    <t>BookTitle0208</t>
  </si>
  <si>
    <t>BookTitle0209</t>
  </si>
  <si>
    <t>BookTitle0210</t>
  </si>
  <si>
    <t>BookTitle0211</t>
  </si>
  <si>
    <t>BookTitle0212</t>
  </si>
  <si>
    <t>BookTitle0213</t>
  </si>
  <si>
    <t>BookTitle0214</t>
  </si>
  <si>
    <t>BookTitle0215</t>
  </si>
  <si>
    <t>BookTitle0216</t>
  </si>
  <si>
    <t>BookTitle0217</t>
  </si>
  <si>
    <t>BookTitle0218</t>
  </si>
  <si>
    <t>BookTitle0219</t>
  </si>
  <si>
    <t>BookTitle0220</t>
  </si>
  <si>
    <t>BookTitle0221</t>
  </si>
  <si>
    <t>BookTitle0222</t>
  </si>
  <si>
    <t>BookTitle0225</t>
  </si>
  <si>
    <t>BookTitle0226</t>
  </si>
  <si>
    <t>BookTitle0227</t>
  </si>
  <si>
    <t>BookTitle0228</t>
  </si>
  <si>
    <t>BookTitle0229</t>
  </si>
  <si>
    <t>BookTitle0230</t>
  </si>
  <si>
    <t>BookTitle0231</t>
  </si>
  <si>
    <t>BookTitle0232</t>
  </si>
  <si>
    <t>BookTitle0233</t>
  </si>
  <si>
    <t>BookTitle0234</t>
  </si>
  <si>
    <t>BookTitle0235</t>
  </si>
  <si>
    <t>BookTitle0236</t>
  </si>
  <si>
    <t>BookTitle0237</t>
  </si>
  <si>
    <t>BookTitle0238</t>
  </si>
  <si>
    <t>BookTitle0239</t>
  </si>
  <si>
    <t>BookTitle0240</t>
  </si>
  <si>
    <t>BookTitle0241</t>
  </si>
  <si>
    <t>BookTitle0242</t>
  </si>
  <si>
    <t>BookTitle0243</t>
  </si>
  <si>
    <t>BookTitle0244</t>
  </si>
  <si>
    <t>BookTitle0245</t>
  </si>
  <si>
    <t>BookTitle0246</t>
  </si>
  <si>
    <t>BookTitle0247</t>
  </si>
  <si>
    <t>BookTitle0248</t>
  </si>
  <si>
    <t>BookTitle0249</t>
  </si>
  <si>
    <t>BookTitle0250</t>
  </si>
  <si>
    <t>BookTitle0258</t>
  </si>
  <si>
    <t>BookTitle0259</t>
  </si>
  <si>
    <t>BookTitle0264</t>
  </si>
  <si>
    <t>BookTitle0265</t>
  </si>
  <si>
    <t>BookTitle0266</t>
  </si>
  <si>
    <t>BookTitle0267</t>
  </si>
  <si>
    <t>BookTitle0268</t>
  </si>
  <si>
    <t>BookTitle0269</t>
  </si>
  <si>
    <t>BookTitle0270</t>
  </si>
  <si>
    <t>BookTitle0271</t>
  </si>
  <si>
    <t>BookTitle0272</t>
  </si>
  <si>
    <t>BookTitle0273</t>
  </si>
  <si>
    <t>BookTitle0274</t>
  </si>
  <si>
    <t>BookTitle0275</t>
  </si>
  <si>
    <t>BookTitle0276</t>
  </si>
  <si>
    <t>BookTitle0277</t>
  </si>
  <si>
    <t>BookTitle0278</t>
  </si>
  <si>
    <t>BookTitle0279</t>
  </si>
  <si>
    <t>BookTitle0280</t>
  </si>
  <si>
    <t>BookTitle0281</t>
  </si>
  <si>
    <t>BookTitle0282</t>
  </si>
  <si>
    <t>BookTitle0283</t>
  </si>
  <si>
    <t>BookTitle0296</t>
  </si>
  <si>
    <t>BookTitle0297</t>
  </si>
  <si>
    <t>BookTitle0298</t>
  </si>
  <si>
    <t>BookTitle0304</t>
  </si>
  <si>
    <t>BookTitle0305</t>
  </si>
  <si>
    <t>BookTitle0307</t>
  </si>
  <si>
    <t>BookTitle0308</t>
  </si>
  <si>
    <t>BookTitle0309</t>
  </si>
  <si>
    <t>BookTitle0310</t>
  </si>
  <si>
    <t>BookTitle0311</t>
  </si>
  <si>
    <t>BookTitle0312</t>
  </si>
  <si>
    <t>BookTitle0313</t>
  </si>
  <si>
    <t>BookTitle0314</t>
  </si>
  <si>
    <t>BookTitle0315</t>
  </si>
  <si>
    <t>BookTitle0316</t>
  </si>
  <si>
    <t>BookTitle0319</t>
  </si>
  <si>
    <t>BookTitle0320</t>
  </si>
  <si>
    <t>BookTitle0327</t>
  </si>
  <si>
    <t>BookTitle0328</t>
  </si>
  <si>
    <t>BookTitle0329</t>
  </si>
  <si>
    <t>BookTitle0330</t>
  </si>
  <si>
    <t>BookTitle0331</t>
  </si>
  <si>
    <t>BookTitle0332</t>
  </si>
  <si>
    <t>BookTitle0339</t>
  </si>
  <si>
    <t>BookTitle0340</t>
  </si>
  <si>
    <t>BookTitle0341</t>
  </si>
  <si>
    <t>BookTitle0342</t>
  </si>
  <si>
    <t>BookTitle0343</t>
  </si>
  <si>
    <t>BookTitle0344</t>
  </si>
  <si>
    <t>BookTitle0345</t>
  </si>
  <si>
    <t>BookTitle0346</t>
  </si>
  <si>
    <t>BookTitle0347</t>
  </si>
  <si>
    <t>BookTitle0348</t>
  </si>
  <si>
    <t>BookTitle0349</t>
  </si>
  <si>
    <t>BookTitle0350</t>
  </si>
  <si>
    <t>BookTitle0351</t>
  </si>
  <si>
    <t>BookTitle0352</t>
  </si>
  <si>
    <t>BookTitle0353</t>
  </si>
  <si>
    <t>BookTitle0354</t>
  </si>
  <si>
    <t>BookTitle0355</t>
  </si>
  <si>
    <t>BookTitle0356</t>
  </si>
  <si>
    <t>BookTitle0357</t>
  </si>
  <si>
    <t>BookTitle0358</t>
  </si>
  <si>
    <t>BookTitle0359</t>
  </si>
  <si>
    <t>BookTitle0360</t>
  </si>
  <si>
    <t>BookTitle0361</t>
  </si>
  <si>
    <t>BookTitle0362</t>
  </si>
  <si>
    <t>BookTitle0363</t>
  </si>
  <si>
    <t>BookTitle0364</t>
  </si>
  <si>
    <t>BookTitle0365</t>
  </si>
  <si>
    <t>BookTitle0366</t>
  </si>
  <si>
    <t>BookTitle0367</t>
  </si>
  <si>
    <t>BookTitle0368</t>
  </si>
  <si>
    <t>BookTitle0369</t>
  </si>
  <si>
    <t>BookTitle0374</t>
  </si>
  <si>
    <t>BookTitle0375</t>
  </si>
  <si>
    <t>BookTitle0376</t>
  </si>
  <si>
    <t>BookTitle0382</t>
  </si>
  <si>
    <t>BookTitle0383</t>
  </si>
  <si>
    <t>BookTitle0385</t>
  </si>
  <si>
    <t>BookTitle0386</t>
  </si>
  <si>
    <t>BookTitle0387</t>
  </si>
  <si>
    <t>BookTitle0388</t>
  </si>
  <si>
    <t>BookTitle0389</t>
  </si>
  <si>
    <t>BookTitle0390</t>
  </si>
  <si>
    <t>BookTitle0391</t>
  </si>
  <si>
    <t>BookTitle0392</t>
  </si>
  <si>
    <t>BookTitle0393</t>
  </si>
  <si>
    <t>BookTitle0401</t>
  </si>
  <si>
    <t>BookTitle0402</t>
  </si>
  <si>
    <t>BookTitle0403</t>
  </si>
  <si>
    <t>BookTitle0404</t>
  </si>
  <si>
    <t>BookTitle0405</t>
  </si>
  <si>
    <t>BookTitle0406</t>
  </si>
  <si>
    <t>BookTitle0407</t>
  </si>
  <si>
    <t>BookTitle0408</t>
  </si>
  <si>
    <t>BookTitle0409</t>
  </si>
  <si>
    <t>BookTitle0410</t>
  </si>
  <si>
    <t>BookTitle0411</t>
  </si>
  <si>
    <t>BookTitle0412</t>
  </si>
  <si>
    <t>BookTitle0413</t>
  </si>
  <si>
    <t>BookTitle0414</t>
  </si>
  <si>
    <t>BookTitle0415</t>
  </si>
  <si>
    <t>BookTitle0416</t>
  </si>
  <si>
    <t>BookTitle0417</t>
  </si>
  <si>
    <t>BookTitle0419</t>
  </si>
  <si>
    <t>BookTitle0420</t>
  </si>
  <si>
    <t>BookTitle0422</t>
  </si>
  <si>
    <t>BookTitle0423</t>
  </si>
  <si>
    <t>BookTitle0425</t>
  </si>
  <si>
    <t>BookTitle0426</t>
  </si>
  <si>
    <t>BookTitle0428</t>
  </si>
  <si>
    <t>BookTitle0429</t>
  </si>
  <si>
    <t>BookTitle0431</t>
  </si>
  <si>
    <t>BookTitle0432</t>
  </si>
  <si>
    <t>BookTitle0435</t>
  </si>
  <si>
    <t>BookTitle0436</t>
  </si>
  <si>
    <t>BookTitle0438</t>
  </si>
  <si>
    <t>BookTitle0439</t>
  </si>
  <si>
    <t>BookTitle0445</t>
  </si>
  <si>
    <t>BookTitle0446</t>
  </si>
  <si>
    <t>BookTitle0447</t>
  </si>
  <si>
    <t>BookTitle0448</t>
  </si>
  <si>
    <t>BookTitle0449</t>
  </si>
  <si>
    <t>BookTitle0450</t>
  </si>
  <si>
    <t>BookTitle0451</t>
  </si>
  <si>
    <t>BookTitle0452</t>
  </si>
  <si>
    <t>BookTitle0453</t>
  </si>
  <si>
    <t>BookTitle0454</t>
  </si>
  <si>
    <t>BookTitle0455</t>
  </si>
  <si>
    <t>BookTitle0456</t>
  </si>
  <si>
    <t>BookTitle0457</t>
  </si>
  <si>
    <t>BookTitle0458</t>
  </si>
  <si>
    <t>BookTitle0459</t>
  </si>
  <si>
    <t>BookTitle0460</t>
  </si>
  <si>
    <t>BookTitle0461</t>
  </si>
  <si>
    <t>BookTitle0462</t>
  </si>
  <si>
    <t>BookTitle0463</t>
  </si>
  <si>
    <t>BookTitle0464</t>
  </si>
  <si>
    <t>BookTitle0465</t>
  </si>
  <si>
    <t>BookTitle0467</t>
  </si>
  <si>
    <t>BookTitle0468</t>
  </si>
  <si>
    <t>Total Units 
to Date</t>
  </si>
  <si>
    <t>Total Earnings 
to Date</t>
  </si>
  <si>
    <t>Total</t>
  </si>
  <si>
    <t>Fiscal Year</t>
  </si>
  <si>
    <t>Sales 
(in millions)</t>
  </si>
  <si>
    <t>Total Sales 
(in millions)</t>
  </si>
  <si>
    <t>Units
(Electronic)</t>
  </si>
  <si>
    <t>Units
(Combined)</t>
  </si>
  <si>
    <t>Units
(Print)</t>
  </si>
  <si>
    <t>Row Labels</t>
  </si>
  <si>
    <t>Grand Total</t>
  </si>
  <si>
    <t>Column Labels</t>
  </si>
  <si>
    <t xml:space="preserve">Sum of Total Earnings </t>
  </si>
  <si>
    <t>BookTitle0197</t>
  </si>
  <si>
    <t xml:space="preserve">Sum of Total Units </t>
  </si>
  <si>
    <t>LA Total</t>
  </si>
  <si>
    <t># of Books in Print</t>
  </si>
  <si>
    <t>Years Under Contract</t>
  </si>
  <si>
    <t>Sales Rank</t>
  </si>
  <si>
    <t>By Units</t>
  </si>
  <si>
    <t>By Income</t>
  </si>
  <si>
    <t>Royalty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</si>
</sst>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quot;$&quot;#,##0"/>
    <numFmt numFmtId="168" formatCode="&quot;$&quot;#,##0.0,,"/>
  </numFmts>
  <fonts count="10" x14ac:knownFonts="1">
    <font>
      <sz val="11"/>
      <color theme="1"/>
      <name val="Verdana"/>
      <family val="2"/>
      <scheme val="minor"/>
    </font>
    <font>
      <sz val="11"/>
      <color theme="1"/>
      <name val="Verdana"/>
      <family val="2"/>
      <scheme val="minor"/>
    </font>
    <font>
      <b/>
      <sz val="11"/>
      <color theme="0"/>
      <name val="Verdana"/>
      <family val="2"/>
      <scheme val="minor"/>
    </font>
    <font>
      <sz val="11"/>
      <color theme="0"/>
      <name val="Verdana"/>
      <family val="2"/>
      <scheme val="minor"/>
    </font>
    <font>
      <sz val="50"/>
      <color theme="9" tint="-0.249977111117893"/>
      <name val="Verdana"/>
      <family val="2"/>
      <scheme val="minor"/>
    </font>
    <font>
      <sz val="50"/>
      <color theme="4"/>
      <name val="Verdana"/>
      <family val="2"/>
      <scheme val="minor"/>
    </font>
    <font>
      <sz val="50"/>
      <color theme="7"/>
      <name val="Verdana"/>
      <family val="2"/>
      <scheme val="minor"/>
    </font>
    <font>
      <sz val="50"/>
      <color theme="5"/>
      <name val="Verdana"/>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theme="6"/>
      </patternFill>
    </fill>
    <fill>
      <patternFill patternType="solid">
        <fgColor theme="6" tint="0.59999389629810485"/>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theme="4"/>
        <bgColor indexed="64"/>
      </patternFill>
    </fill>
    <fill>
      <patternFill patternType="solid">
        <fgColor theme="7"/>
        <bgColor indexed="64"/>
      </patternFill>
    </fill>
  </fills>
  <borders count="36">
    <border>
      <left/>
      <right/>
      <top/>
      <bottom/>
      <diagonal/>
    </border>
    <border>
      <left/>
      <right/>
      <top/>
      <bottom style="thick">
        <color theme="6"/>
      </bottom>
      <diagonal/>
    </border>
    <border>
      <left style="thick">
        <color theme="6"/>
      </left>
      <right style="thick">
        <color theme="6"/>
      </right>
      <top style="thick">
        <color theme="6"/>
      </top>
      <bottom style="thick">
        <color theme="6"/>
      </bottom>
      <diagonal/>
    </border>
    <border>
      <left style="thin">
        <color indexed="64"/>
      </left>
      <right style="thin">
        <color indexed="64"/>
      </right>
      <top/>
      <bottom/>
      <diagonal/>
    </border>
    <border>
      <left style="medium">
        <color theme="4"/>
      </left>
      <right/>
      <top style="medium">
        <color theme="4"/>
      </top>
      <bottom/>
      <diagonal/>
    </border>
    <border>
      <left/>
      <right style="medium">
        <color theme="4"/>
      </right>
      <top style="medium">
        <color theme="4"/>
      </top>
      <bottom/>
      <diagonal/>
    </border>
    <border>
      <left style="medium">
        <color theme="4"/>
      </left>
      <right/>
      <top/>
      <bottom style="medium">
        <color theme="4"/>
      </bottom>
      <diagonal/>
    </border>
    <border>
      <left/>
      <right style="medium">
        <color theme="4"/>
      </right>
      <top/>
      <bottom style="medium">
        <color theme="4"/>
      </bottom>
      <diagonal/>
    </border>
    <border>
      <left style="medium">
        <color theme="6"/>
      </left>
      <right/>
      <top style="medium">
        <color theme="6"/>
      </top>
      <bottom/>
      <diagonal/>
    </border>
    <border>
      <left/>
      <right style="medium">
        <color theme="6"/>
      </right>
      <top style="medium">
        <color theme="6"/>
      </top>
      <bottom/>
      <diagonal/>
    </border>
    <border>
      <left style="medium">
        <color theme="6"/>
      </left>
      <right/>
      <top/>
      <bottom style="medium">
        <color theme="6"/>
      </bottom>
      <diagonal/>
    </border>
    <border>
      <left/>
      <right style="medium">
        <color theme="6"/>
      </right>
      <top/>
      <bottom style="medium">
        <color theme="6"/>
      </bottom>
      <diagonal/>
    </border>
    <border>
      <left style="medium">
        <color theme="9" tint="-0.249977111117893"/>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style="medium">
        <color theme="9" tint="-0.249977111117893"/>
      </right>
      <top/>
      <bottom style="medium">
        <color theme="9" tint="-0.249977111117893"/>
      </bottom>
      <diagonal/>
    </border>
    <border>
      <left style="medium">
        <color theme="7"/>
      </left>
      <right/>
      <top style="medium">
        <color theme="7"/>
      </top>
      <bottom/>
      <diagonal/>
    </border>
    <border>
      <left/>
      <right style="medium">
        <color theme="7"/>
      </right>
      <top style="medium">
        <color theme="7"/>
      </top>
      <bottom/>
      <diagonal/>
    </border>
    <border>
      <left style="medium">
        <color theme="7"/>
      </left>
      <right/>
      <top/>
      <bottom/>
      <diagonal/>
    </border>
    <border>
      <left/>
      <right style="medium">
        <color theme="7"/>
      </right>
      <top/>
      <bottom/>
      <diagonal/>
    </border>
    <border>
      <left style="medium">
        <color theme="7"/>
      </left>
      <right/>
      <top/>
      <bottom style="medium">
        <color theme="7"/>
      </bottom>
      <diagonal/>
    </border>
    <border>
      <left/>
      <right style="medium">
        <color theme="7"/>
      </right>
      <top/>
      <bottom style="medium">
        <color theme="7"/>
      </bottom>
      <diagonal/>
    </border>
    <border>
      <left/>
      <right/>
      <top style="medium">
        <color theme="7"/>
      </top>
      <bottom/>
      <diagonal/>
    </border>
    <border>
      <left/>
      <right/>
      <top/>
      <bottom style="medium">
        <color theme="7"/>
      </bottom>
      <diagonal/>
    </border>
    <border>
      <left style="medium">
        <color theme="5"/>
      </left>
      <right/>
      <top style="medium">
        <color theme="5"/>
      </top>
      <bottom/>
      <diagonal/>
    </border>
    <border>
      <left/>
      <right style="medium">
        <color theme="5"/>
      </right>
      <top style="medium">
        <color theme="5"/>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style="medium">
        <color theme="5"/>
      </right>
      <top/>
      <bottom style="medium">
        <color theme="5"/>
      </bottom>
      <diagonal/>
    </border>
    <border>
      <left/>
      <right style="medium">
        <color theme="7"/>
      </right>
      <top style="thin">
        <color theme="3"/>
      </top>
      <bottom/>
      <diagonal/>
    </border>
    <border>
      <left/>
      <right/>
      <top style="thin">
        <color theme="3"/>
      </top>
      <bottom/>
      <diagonal/>
    </border>
    <border>
      <left style="medium">
        <color theme="7"/>
      </left>
      <right/>
      <top style="thin">
        <color theme="3"/>
      </top>
      <bottom/>
      <diagonal/>
    </border>
    <border>
      <left style="medium">
        <color theme="7"/>
      </left>
      <right/>
      <top/>
      <bottom style="thin">
        <color theme="3"/>
      </bottom>
      <diagonal/>
    </border>
    <border>
      <left/>
      <right/>
      <top/>
      <bottom style="thin">
        <color theme="3"/>
      </bottom>
      <diagonal/>
    </border>
    <border>
      <left/>
      <right style="medium">
        <color theme="7"/>
      </right>
      <top/>
      <bottom style="thin">
        <color theme="3"/>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cellStyleXfs>
  <cellXfs count="79">
    <xf numFmtId="0" fontId="0" fillId="0" borderId="0" xfId="0"/>
    <xf numFmtId="164" fontId="0" fillId="0" borderId="0" xfId="1" applyNumberFormat="1" applyFont="1"/>
    <xf numFmtId="8" fontId="0" fillId="0" borderId="0" xfId="0" applyNumberFormat="1"/>
    <xf numFmtId="1" fontId="0" fillId="0" borderId="0" xfId="0" applyNumberFormat="1"/>
    <xf numFmtId="0" fontId="0" fillId="0" borderId="0" xfId="0" applyAlignment="1">
      <alignment horizontal="center"/>
    </xf>
    <xf numFmtId="44" fontId="0" fillId="0" borderId="0" xfId="2" applyFont="1"/>
    <xf numFmtId="44" fontId="0" fillId="0" borderId="0" xfId="0" applyNumberFormat="1"/>
    <xf numFmtId="0" fontId="0" fillId="0" borderId="0" xfId="0" applyAlignment="1">
      <alignment horizontal="center" wrapText="1"/>
    </xf>
    <xf numFmtId="44" fontId="0" fillId="0" borderId="0" xfId="2" applyFont="1" applyAlignment="1">
      <alignment horizontal="center" wrapText="1"/>
    </xf>
    <xf numFmtId="49" fontId="0" fillId="0" borderId="0" xfId="0" applyNumberFormat="1" applyAlignment="1">
      <alignment horizontal="center"/>
    </xf>
    <xf numFmtId="0" fontId="0" fillId="0" borderId="0" xfId="0" applyNumberFormat="1" applyAlignment="1">
      <alignment horizontal="center"/>
    </xf>
    <xf numFmtId="8" fontId="0" fillId="0" borderId="0" xfId="0" applyNumberFormat="1" applyAlignment="1">
      <alignment horizontal="center"/>
    </xf>
    <xf numFmtId="44" fontId="0" fillId="0" borderId="0" xfId="2" applyFont="1" applyAlignment="1">
      <alignment horizontal="center"/>
    </xf>
    <xf numFmtId="164" fontId="0" fillId="0" borderId="0" xfId="1" applyNumberFormat="1" applyFont="1" applyAlignment="1">
      <alignment horizontal="center"/>
    </xf>
    <xf numFmtId="166" fontId="0" fillId="0" borderId="0" xfId="2" applyNumberFormat="1" applyFont="1" applyAlignment="1">
      <alignment horizontal="center"/>
    </xf>
    <xf numFmtId="9" fontId="0" fillId="0" borderId="0" xfId="3" applyFont="1" applyAlignment="1">
      <alignment horizontal="center"/>
    </xf>
    <xf numFmtId="14" fontId="0" fillId="0" borderId="0" xfId="0" applyNumberFormat="1" applyAlignment="1">
      <alignment horizontal="right"/>
    </xf>
    <xf numFmtId="165" fontId="0" fillId="0" borderId="0" xfId="0" applyNumberFormat="1" applyAlignment="1">
      <alignment horizontal="center"/>
    </xf>
    <xf numFmtId="0" fontId="0" fillId="0" borderId="0" xfId="0" applyFill="1" applyBorder="1" applyAlignment="1">
      <alignment horizontal="center"/>
    </xf>
    <xf numFmtId="167" fontId="0" fillId="0" borderId="0" xfId="0" applyNumberFormat="1" applyFill="1" applyBorder="1"/>
    <xf numFmtId="0" fontId="0" fillId="0" borderId="1" xfId="0" applyBorder="1"/>
    <xf numFmtId="0" fontId="2" fillId="2" borderId="2" xfId="4" applyFont="1" applyBorder="1" applyAlignment="1">
      <alignment horizontal="center"/>
    </xf>
    <xf numFmtId="0" fontId="0" fillId="0" borderId="2" xfId="0" applyBorder="1" applyAlignment="1">
      <alignment horizontal="center"/>
    </xf>
    <xf numFmtId="0" fontId="2" fillId="2" borderId="2" xfId="4" applyFont="1" applyBorder="1" applyAlignment="1">
      <alignment horizontal="center" wrapText="1"/>
    </xf>
    <xf numFmtId="0" fontId="0" fillId="3" borderId="3" xfId="0" applyFill="1" applyBorder="1" applyAlignment="1">
      <alignment horizontal="center"/>
    </xf>
    <xf numFmtId="0" fontId="0" fillId="3" borderId="3" xfId="0" applyFill="1" applyBorder="1"/>
    <xf numFmtId="168" fontId="0" fillId="0" borderId="2" xfId="2" applyNumberFormat="1" applyFont="1" applyBorder="1" applyAlignment="1">
      <alignment horizontal="center"/>
    </xf>
    <xf numFmtId="0" fontId="0" fillId="0" borderId="0" xfId="0" applyBorder="1"/>
    <xf numFmtId="0" fontId="0" fillId="0" borderId="0" xfId="0" pivotButton="1"/>
    <xf numFmtId="0" fontId="0" fillId="0" borderId="0" xfId="0" applyAlignment="1">
      <alignment horizontal="left"/>
    </xf>
    <xf numFmtId="44" fontId="0" fillId="0" borderId="0" xfId="0" applyNumberFormat="1" applyAlignment="1">
      <alignment horizontal="center"/>
    </xf>
    <xf numFmtId="0" fontId="0" fillId="0" borderId="0" xfId="0" applyAlignment="1">
      <alignment horizontal="left" indent="1"/>
    </xf>
    <xf numFmtId="0" fontId="0" fillId="0" borderId="0" xfId="0" applyAlignment="1">
      <alignment horizontal="left" indent="2"/>
    </xf>
    <xf numFmtId="3" fontId="0" fillId="0" borderId="0" xfId="0" applyNumberFormat="1"/>
    <xf numFmtId="0" fontId="0" fillId="0" borderId="0" xfId="0" applyNumberFormat="1"/>
    <xf numFmtId="0" fontId="2" fillId="5" borderId="8" xfId="0" applyFont="1" applyFill="1" applyBorder="1" applyAlignment="1">
      <alignment horizontal="center"/>
    </xf>
    <xf numFmtId="0" fontId="2" fillId="5" borderId="9" xfId="0" applyFont="1" applyFill="1" applyBorder="1" applyAlignment="1">
      <alignment horizontal="center"/>
    </xf>
    <xf numFmtId="0" fontId="0" fillId="0" borderId="31" xfId="0" applyBorder="1"/>
    <xf numFmtId="0" fontId="0" fillId="0" borderId="30" xfId="0" applyBorder="1"/>
    <xf numFmtId="0" fontId="0" fillId="0" borderId="32" xfId="0" applyBorder="1"/>
    <xf numFmtId="0" fontId="0" fillId="0" borderId="0" xfId="0" applyFill="1" applyBorder="1"/>
    <xf numFmtId="0" fontId="2" fillId="0" borderId="0" xfId="0" applyFont="1" applyFill="1" applyBorder="1" applyAlignment="1">
      <alignment horizontal="center"/>
    </xf>
    <xf numFmtId="0" fontId="0" fillId="0" borderId="10" xfId="0" applyFill="1" applyBorder="1" applyAlignment="1">
      <alignment horizontal="center"/>
    </xf>
    <xf numFmtId="0" fontId="0" fillId="0" borderId="11" xfId="0" applyFill="1" applyBorder="1" applyAlignment="1">
      <alignment horizontal="center"/>
    </xf>
    <xf numFmtId="0" fontId="2" fillId="6" borderId="12" xfId="0" applyFont="1" applyFill="1" applyBorder="1" applyAlignment="1">
      <alignment horizontal="center"/>
    </xf>
    <xf numFmtId="0" fontId="2" fillId="6" borderId="13" xfId="0" applyFont="1" applyFill="1" applyBorder="1" applyAlignment="1">
      <alignment horizont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2" fillId="7" borderId="4" xfId="0" applyFont="1" applyFill="1" applyBorder="1" applyAlignment="1">
      <alignment horizontal="center"/>
    </xf>
    <xf numFmtId="0" fontId="2" fillId="7" borderId="5" xfId="0" applyFont="1" applyFill="1" applyBorder="1" applyAlignment="1">
      <alignment horizontal="center"/>
    </xf>
    <xf numFmtId="1" fontId="5" fillId="0" borderId="6" xfId="0" applyNumberFormat="1" applyFont="1" applyBorder="1" applyAlignment="1">
      <alignment horizontal="center" vertical="center"/>
    </xf>
    <xf numFmtId="1" fontId="5" fillId="0" borderId="7" xfId="0" applyNumberFormat="1" applyFont="1" applyBorder="1" applyAlignment="1">
      <alignment horizontal="center" vertical="center"/>
    </xf>
    <xf numFmtId="0" fontId="2" fillId="8" borderId="0" xfId="0" applyFont="1" applyFill="1" applyBorder="1" applyAlignment="1">
      <alignment horizontal="center"/>
    </xf>
    <xf numFmtId="0" fontId="2" fillId="8" borderId="19" xfId="0" applyFont="1" applyFill="1" applyBorder="1" applyAlignment="1">
      <alignment horizontal="center"/>
    </xf>
    <xf numFmtId="0" fontId="6" fillId="0" borderId="18" xfId="0" applyFont="1" applyBorder="1" applyAlignment="1">
      <alignment horizontal="center" vertical="center"/>
    </xf>
    <xf numFmtId="0" fontId="6" fillId="0" borderId="0"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3" xfId="0" applyFont="1" applyBorder="1" applyAlignment="1">
      <alignment horizontal="center" vertical="center"/>
    </xf>
    <xf numFmtId="0" fontId="6" fillId="0" borderId="21" xfId="0" applyFont="1" applyBorder="1" applyAlignment="1">
      <alignment horizontal="center" vertical="center"/>
    </xf>
    <xf numFmtId="0" fontId="2" fillId="8" borderId="16" xfId="0" applyFont="1" applyFill="1" applyBorder="1" applyAlignment="1">
      <alignment horizontal="center" vertical="center"/>
    </xf>
    <xf numFmtId="0" fontId="2" fillId="8" borderId="17"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2" fillId="8" borderId="20" xfId="0" applyFont="1" applyFill="1" applyBorder="1" applyAlignment="1">
      <alignment horizontal="center" vertical="center"/>
    </xf>
    <xf numFmtId="0" fontId="2" fillId="8" borderId="21" xfId="0" applyFont="1" applyFill="1" applyBorder="1" applyAlignment="1">
      <alignment horizontal="center" vertical="center"/>
    </xf>
    <xf numFmtId="0" fontId="2" fillId="8" borderId="22" xfId="0" applyFont="1" applyFill="1" applyBorder="1" applyAlignment="1">
      <alignment horizontal="center"/>
    </xf>
    <xf numFmtId="0" fontId="2" fillId="8" borderId="17" xfId="0" applyFont="1" applyFill="1" applyBorder="1" applyAlignment="1">
      <alignment horizontal="center"/>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0" fillId="0" borderId="0" xfId="0" applyFill="1" applyBorder="1" applyAlignment="1">
      <alignment horizontal="center"/>
    </xf>
    <xf numFmtId="0" fontId="0" fillId="0" borderId="0" xfId="0" applyFill="1" applyBorder="1" applyAlignment="1">
      <alignment horizontal="center" wrapText="1"/>
    </xf>
    <xf numFmtId="0" fontId="2" fillId="4" borderId="24" xfId="0" applyFont="1" applyFill="1" applyBorder="1" applyAlignment="1">
      <alignment horizontal="center"/>
    </xf>
    <xf numFmtId="0" fontId="2" fillId="4" borderId="25" xfId="0" applyFont="1" applyFill="1" applyBorder="1" applyAlignment="1">
      <alignment horizontal="center"/>
    </xf>
    <xf numFmtId="9" fontId="7" fillId="0" borderId="26" xfId="3" applyFont="1" applyBorder="1" applyAlignment="1">
      <alignment horizontal="center" vertical="center"/>
    </xf>
    <xf numFmtId="9" fontId="7" fillId="0" borderId="27" xfId="3" applyFont="1" applyBorder="1" applyAlignment="1">
      <alignment horizontal="center" vertical="center"/>
    </xf>
    <xf numFmtId="9" fontId="7" fillId="0" borderId="28" xfId="3" applyFont="1" applyBorder="1" applyAlignment="1">
      <alignment horizontal="center" vertical="center"/>
    </xf>
    <xf numFmtId="9" fontId="7" fillId="0" borderId="29" xfId="3" applyFont="1" applyBorder="1" applyAlignment="1">
      <alignment horizontal="center" vertical="center"/>
    </xf>
  </cellXfs>
  <cellStyles count="5">
    <cellStyle name="Accent3" xfId="4" builtinId="37"/>
    <cellStyle name="Comma" xfId="1" builtinId="3"/>
    <cellStyle name="Currency" xfId="2" builtinId="4"/>
    <cellStyle name="Normal" xfId="0" builtinId="0"/>
    <cellStyle name="Percent" xfId="3" builtinId="5"/>
  </cellStyles>
  <dxfs count="63">
    <dxf>
      <numFmt numFmtId="34" formatCode="_(&quot;$&quot;* #,##0.00_);_(&quot;$&quot;* \(#,##0.00\);_(&quot;$&quot;* &quot;-&quot;??_);_(@_)"/>
    </dxf>
    <dxf>
      <alignment horizontal="center" vertical="bottom" textRotation="0" indent="0" justifyLastLine="0" shrinkToFit="0" readingOrder="0"/>
    </dxf>
    <dxf>
      <numFmt numFmtId="12" formatCode="&quot;$&quot;#,##0.00_);[Red]\(&quot;$&quot;#,##0.00\)"/>
    </dxf>
    <dxf>
      <numFmt numFmtId="169" formatCode="&quot;$&quot;#,##0.00"/>
      <alignment horizontal="center" vertical="bottom" textRotation="0" wrapText="0" indent="0" justifyLastLine="0" shrinkToFit="0" readingOrder="0"/>
    </dxf>
    <dxf>
      <fill>
        <patternFill patternType="solid">
          <fgColor indexed="64"/>
          <bgColor theme="6" tint="0.59999389629810485"/>
        </patternFill>
      </fill>
      <border diagonalUp="0" diagonalDown="0" outline="0">
        <left style="thin">
          <color indexed="64"/>
        </left>
        <right style="thin">
          <color indexed="64"/>
        </right>
        <top/>
        <bottom/>
      </border>
    </dxf>
    <dxf>
      <fill>
        <patternFill>
          <fgColor indexed="64"/>
          <bgColor theme="6" tint="0.59999389629810485"/>
        </patternFill>
      </fill>
      <border diagonalUp="0" diagonalDown="0" outline="0">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ill>
        <patternFill>
          <bgColor rgb="FFFFC7CE"/>
        </patternFill>
      </fill>
    </dxf>
    <dxf>
      <fill>
        <patternFill>
          <bgColor rgb="FFFFC7CE"/>
        </patternFill>
      </fill>
    </dxf>
    <dxf>
      <fill>
        <patternFill>
          <bgColor rgb="FFFFC7CE"/>
        </patternFill>
      </fill>
    </dxf>
    <dxf>
      <fill>
        <patternFill>
          <bgColor theme="5"/>
        </patternFill>
      </fill>
    </dxf>
    <dxf>
      <fill>
        <patternFill>
          <bgColor theme="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_(&quot;$&quot;* #,##0_);_(&quot;$&quot;* \(#,##0\);_(&quot;$&quot;* &quot;-&quot;??_);_(@_)"/>
      <alignment horizontal="center" vertical="bottom" textRotation="0" wrapText="0" indent="0" justifyLastLine="0" shrinkToFit="0" readingOrder="0"/>
    </dxf>
    <dxf>
      <numFmt numFmtId="164" formatCode="_(* #,##0_);_(* \(#,##0\);_(* &quot;-&quot;??_);_(@_)"/>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9" formatCode="m/d/yyyy"/>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Percent of Total Sales (by Market)</a:t>
            </a:r>
          </a:p>
        </c:rich>
      </c:tx>
      <c:layout/>
      <c:overlay val="0"/>
    </c:title>
    <c:autoTitleDeleted val="0"/>
    <c:plotArea>
      <c:layout/>
      <c:pieChart>
        <c:varyColors val="1"/>
        <c:ser>
          <c:idx val="0"/>
          <c:order val="0"/>
          <c:tx>
            <c:strRef>
              <c:f>'Sales Dashboard'!$AB$2</c:f>
              <c:strCache>
                <c:ptCount val="1"/>
                <c:pt idx="0">
                  <c:v>Total Sales 
(in millions)</c:v>
                </c:pt>
              </c:strCache>
            </c:strRef>
          </c:tx>
          <c:explosion val="4"/>
          <c:dLbls>
            <c:dLbl>
              <c:idx val="0"/>
              <c:layout>
                <c:manualLayout>
                  <c:x val="5.6111329833770776E-2"/>
                  <c:y val="-6.070647419072616E-2"/>
                </c:manualLayout>
              </c:layout>
              <c:dLblPos val="bestFit"/>
              <c:showLegendKey val="0"/>
              <c:showVal val="0"/>
              <c:showCatName val="1"/>
              <c:showSerName val="0"/>
              <c:showPercent val="1"/>
              <c:showBubbleSize val="0"/>
            </c:dLbl>
            <c:dLbl>
              <c:idx val="1"/>
              <c:layout>
                <c:manualLayout>
                  <c:x val="0.26821788877952757"/>
                  <c:y val="-1.1990813648293963E-2"/>
                </c:manualLayout>
              </c:layout>
              <c:dLblPos val="bestFit"/>
              <c:showLegendKey val="0"/>
              <c:showVal val="0"/>
              <c:showCatName val="1"/>
              <c:showSerName val="0"/>
              <c:showPercent val="1"/>
              <c:showBubbleSize val="0"/>
            </c:dLbl>
            <c:dLbl>
              <c:idx val="2"/>
              <c:layout>
                <c:manualLayout>
                  <c:x val="-2.6823490813648293E-2"/>
                  <c:y val="0.16739355497229513"/>
                </c:manualLayout>
              </c:layout>
              <c:dLblPos val="bestFit"/>
              <c:showLegendKey val="0"/>
              <c:showVal val="0"/>
              <c:showCatName val="1"/>
              <c:showSerName val="0"/>
              <c:showPercent val="1"/>
              <c:showBubbleSize val="0"/>
            </c:dLbl>
            <c:dLbl>
              <c:idx val="3"/>
              <c:layout>
                <c:manualLayout>
                  <c:x val="-0.15422615923009625"/>
                  <c:y val="6.948600174978127E-2"/>
                </c:manualLayout>
              </c:layout>
              <c:dLblPos val="bestFit"/>
              <c:showLegendKey val="0"/>
              <c:showVal val="0"/>
              <c:showCatName val="1"/>
              <c:showSerName val="0"/>
              <c:showPercent val="1"/>
              <c:showBubbleSize val="0"/>
            </c:dLbl>
            <c:spPr>
              <a:scene3d>
                <a:camera prst="orthographicFront"/>
                <a:lightRig rig="threePt" dir="t"/>
              </a:scene3d>
              <a:sp3d/>
            </c:spPr>
            <c:txPr>
              <a:bodyPr rot="0" vert="horz"/>
              <a:lstStyle/>
              <a:p>
                <a:pPr>
                  <a:defRPr/>
                </a:pPr>
                <a:endParaRPr lang="en-US"/>
              </a:p>
            </c:txPr>
            <c:dLblPos val="bestFit"/>
            <c:showLegendKey val="0"/>
            <c:showVal val="0"/>
            <c:showCatName val="1"/>
            <c:showSerName val="0"/>
            <c:showPercent val="1"/>
            <c:showBubbleSize val="0"/>
            <c:showLeaderLines val="1"/>
          </c:dLbls>
          <c:cat>
            <c:strRef>
              <c:f>'Sales Dashboard'!$AA$3:$AA$6</c:f>
              <c:strCache>
                <c:ptCount val="4"/>
                <c:pt idx="0">
                  <c:v>NA</c:v>
                </c:pt>
                <c:pt idx="1">
                  <c:v>LA</c:v>
                </c:pt>
                <c:pt idx="2">
                  <c:v>APAC</c:v>
                </c:pt>
                <c:pt idx="3">
                  <c:v>EMEA</c:v>
                </c:pt>
              </c:strCache>
            </c:strRef>
          </c:cat>
          <c:val>
            <c:numRef>
              <c:f>'Sales Dashboard'!$AB$3:$AB$6</c:f>
              <c:numCache>
                <c:formatCode>"$"#,##0.0,,</c:formatCode>
                <c:ptCount val="4"/>
                <c:pt idx="0">
                  <c:v>757850410.05000007</c:v>
                </c:pt>
                <c:pt idx="1">
                  <c:v>498731088.00999999</c:v>
                </c:pt>
                <c:pt idx="2">
                  <c:v>483989204.93000007</c:v>
                </c:pt>
                <c:pt idx="3">
                  <c:v>285280708.31999999</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solidFill>
      <a:schemeClr val="lt1"/>
    </a:solidFill>
    <a:ln w="25400" cap="flat" cmpd="sng" algn="ctr">
      <a:solidFill>
        <a:schemeClr val="accent6"/>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Genre (in millions)</a:t>
            </a:r>
          </a:p>
        </c:rich>
      </c:tx>
      <c:layout/>
      <c:overlay val="0"/>
    </c:title>
    <c:autoTitleDeleted val="0"/>
    <c:plotArea>
      <c:layout/>
      <c:barChart>
        <c:barDir val="col"/>
        <c:grouping val="clustered"/>
        <c:varyColors val="1"/>
        <c:ser>
          <c:idx val="0"/>
          <c:order val="0"/>
          <c:tx>
            <c:strRef>
              <c:f>'Sales Dashboard'!$AE$2</c:f>
              <c:strCache>
                <c:ptCount val="1"/>
                <c:pt idx="0">
                  <c:v>Total Sales 
(in millions)</c:v>
                </c:pt>
              </c:strCache>
            </c:strRef>
          </c:tx>
          <c:invertIfNegative val="0"/>
          <c:dLbls>
            <c:showLegendKey val="0"/>
            <c:showVal val="1"/>
            <c:showCatName val="0"/>
            <c:showSerName val="0"/>
            <c:showPercent val="0"/>
            <c:showBubbleSize val="0"/>
            <c:showLeaderLines val="0"/>
          </c:dLbls>
          <c:cat>
            <c:strRef>
              <c:f>'Sales Dashboard'!$AD$3:$AD$6</c:f>
              <c:strCache>
                <c:ptCount val="4"/>
                <c:pt idx="0">
                  <c:v>Romance</c:v>
                </c:pt>
                <c:pt idx="1">
                  <c:v>SF</c:v>
                </c:pt>
                <c:pt idx="2">
                  <c:v>Thriller</c:v>
                </c:pt>
                <c:pt idx="3">
                  <c:v>Fantasy</c:v>
                </c:pt>
              </c:strCache>
            </c:strRef>
          </c:cat>
          <c:val>
            <c:numRef>
              <c:f>'Sales Dashboard'!$AE$3:$AE$6</c:f>
              <c:numCache>
                <c:formatCode>"$"#,##0.0,,</c:formatCode>
                <c:ptCount val="4"/>
                <c:pt idx="0">
                  <c:v>749934328.61000001</c:v>
                </c:pt>
                <c:pt idx="1">
                  <c:v>451409499.53999984</c:v>
                </c:pt>
                <c:pt idx="2">
                  <c:v>513703279.69000012</c:v>
                </c:pt>
                <c:pt idx="3">
                  <c:v>310804303.47000003</c:v>
                </c:pt>
              </c:numCache>
            </c:numRef>
          </c:val>
        </c:ser>
        <c:dLbls>
          <c:showLegendKey val="0"/>
          <c:showVal val="0"/>
          <c:showCatName val="0"/>
          <c:showSerName val="0"/>
          <c:showPercent val="0"/>
          <c:showBubbleSize val="0"/>
        </c:dLbls>
        <c:gapWidth val="50"/>
        <c:axId val="99269632"/>
        <c:axId val="104811136"/>
      </c:barChart>
      <c:catAx>
        <c:axId val="99269632"/>
        <c:scaling>
          <c:orientation val="minMax"/>
        </c:scaling>
        <c:delete val="0"/>
        <c:axPos val="b"/>
        <c:majorTickMark val="none"/>
        <c:minorTickMark val="none"/>
        <c:tickLblPos val="nextTo"/>
        <c:crossAx val="104811136"/>
        <c:crosses val="autoZero"/>
        <c:auto val="1"/>
        <c:lblAlgn val="ctr"/>
        <c:lblOffset val="100"/>
        <c:noMultiLvlLbl val="0"/>
      </c:catAx>
      <c:valAx>
        <c:axId val="104811136"/>
        <c:scaling>
          <c:orientation val="minMax"/>
        </c:scaling>
        <c:delete val="1"/>
        <c:axPos val="l"/>
        <c:numFmt formatCode="&quot;$&quot;#,##0.0,," sourceLinked="1"/>
        <c:majorTickMark val="out"/>
        <c:minorTickMark val="none"/>
        <c:tickLblPos val="nextTo"/>
        <c:crossAx val="99269632"/>
        <c:crosses val="autoZero"/>
        <c:crossBetween val="between"/>
      </c:valAx>
    </c:plotArea>
    <c:plotVisOnly val="1"/>
    <c:dispBlanksAs val="gap"/>
    <c:showDLblsOverMax val="0"/>
  </c:chart>
  <c:spPr>
    <a:ln w="25400">
      <a:solidFill>
        <a:schemeClr val="accent1"/>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Format (in millions)</a:t>
            </a:r>
          </a:p>
        </c:rich>
      </c:tx>
      <c:layout/>
      <c:overlay val="0"/>
    </c:title>
    <c:autoTitleDeleted val="0"/>
    <c:plotArea>
      <c:layout/>
      <c:barChart>
        <c:barDir val="bar"/>
        <c:grouping val="clustered"/>
        <c:varyColors val="1"/>
        <c:ser>
          <c:idx val="0"/>
          <c:order val="0"/>
          <c:tx>
            <c:strRef>
              <c:f>'Sales Dashboard'!$AH$2</c:f>
              <c:strCache>
                <c:ptCount val="1"/>
                <c:pt idx="0">
                  <c:v>Total Sales 
(in millions)</c:v>
                </c:pt>
              </c:strCache>
            </c:strRef>
          </c:tx>
          <c:invertIfNegative val="0"/>
          <c:dLbls>
            <c:txPr>
              <a:bodyPr/>
              <a:lstStyle/>
              <a:p>
                <a:pPr>
                  <a:defRPr b="1" i="0" baseline="0">
                    <a:solidFill>
                      <a:schemeClr val="bg1"/>
                    </a:solidFill>
                  </a:defRPr>
                </a:pPr>
                <a:endParaRPr lang="en-US"/>
              </a:p>
            </c:txPr>
            <c:dLblPos val="inEnd"/>
            <c:showLegendKey val="0"/>
            <c:showVal val="1"/>
            <c:showCatName val="0"/>
            <c:showSerName val="0"/>
            <c:showPercent val="0"/>
            <c:showBubbleSize val="0"/>
            <c:showLeaderLines val="0"/>
          </c:dLbls>
          <c:cat>
            <c:strRef>
              <c:f>'Sales Dashboard'!$AG$3:$AG$4</c:f>
              <c:strCache>
                <c:ptCount val="2"/>
                <c:pt idx="0">
                  <c:v>Print</c:v>
                </c:pt>
                <c:pt idx="1">
                  <c:v>Electronic</c:v>
                </c:pt>
              </c:strCache>
            </c:strRef>
          </c:cat>
          <c:val>
            <c:numRef>
              <c:f>'Sales Dashboard'!$AH$3:$AH$4</c:f>
              <c:numCache>
                <c:formatCode>"$"#,##0.0,,</c:formatCode>
                <c:ptCount val="2"/>
                <c:pt idx="0">
                  <c:v>1645956700.3699994</c:v>
                </c:pt>
                <c:pt idx="1">
                  <c:v>379894710.94000012</c:v>
                </c:pt>
              </c:numCache>
            </c:numRef>
          </c:val>
        </c:ser>
        <c:dLbls>
          <c:showLegendKey val="0"/>
          <c:showVal val="0"/>
          <c:showCatName val="0"/>
          <c:showSerName val="0"/>
          <c:showPercent val="0"/>
          <c:showBubbleSize val="0"/>
        </c:dLbls>
        <c:gapWidth val="75"/>
        <c:axId val="148688896"/>
        <c:axId val="148690432"/>
      </c:barChart>
      <c:catAx>
        <c:axId val="148688896"/>
        <c:scaling>
          <c:orientation val="minMax"/>
        </c:scaling>
        <c:delete val="0"/>
        <c:axPos val="l"/>
        <c:majorTickMark val="none"/>
        <c:minorTickMark val="none"/>
        <c:tickLblPos val="nextTo"/>
        <c:crossAx val="148690432"/>
        <c:crosses val="autoZero"/>
        <c:auto val="1"/>
        <c:lblAlgn val="ctr"/>
        <c:lblOffset val="100"/>
        <c:noMultiLvlLbl val="0"/>
      </c:catAx>
      <c:valAx>
        <c:axId val="148690432"/>
        <c:scaling>
          <c:orientation val="minMax"/>
        </c:scaling>
        <c:delete val="1"/>
        <c:axPos val="b"/>
        <c:numFmt formatCode="&quot;$&quot;#,##0.0,," sourceLinked="1"/>
        <c:majorTickMark val="out"/>
        <c:minorTickMark val="none"/>
        <c:tickLblPos val="nextTo"/>
        <c:crossAx val="148688896"/>
        <c:crosses val="autoZero"/>
        <c:crossBetween val="between"/>
      </c:valAx>
    </c:plotArea>
    <c:plotVisOnly val="1"/>
    <c:dispBlanksAs val="gap"/>
    <c:showDLblsOverMax val="0"/>
  </c:chart>
  <c:spPr>
    <a:ln w="25400">
      <a:solidFill>
        <a:schemeClr val="accent4"/>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Unit Sales by FY (in millions)</a:t>
            </a:r>
          </a:p>
        </c:rich>
      </c:tx>
      <c:layout/>
      <c:overlay val="1"/>
    </c:title>
    <c:autoTitleDeleted val="0"/>
    <c:plotArea>
      <c:layou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ser>
          <c:idx val="1"/>
          <c:order val="1"/>
          <c:tx>
            <c:v>Print</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0"/>
                  <c:y val="4.4444444444444446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0"/>
                  <c:y val="-4.999999999999997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dLbls>
          <c:showLegendKey val="0"/>
          <c:showVal val="0"/>
          <c:showCatName val="0"/>
          <c:showSerName val="0"/>
          <c:showPercent val="0"/>
          <c:showBubbleSize val="0"/>
        </c:dLbls>
        <c:marker val="1"/>
        <c:smooth val="0"/>
        <c:axId val="151524864"/>
        <c:axId val="153355392"/>
      </c:lineChart>
      <c:catAx>
        <c:axId val="151524864"/>
        <c:scaling>
          <c:orientation val="minMax"/>
        </c:scaling>
        <c:delete val="0"/>
        <c:axPos val="b"/>
        <c:numFmt formatCode="General" sourceLinked="1"/>
        <c:majorTickMark val="out"/>
        <c:minorTickMark val="none"/>
        <c:tickLblPos val="nextTo"/>
        <c:crossAx val="153355392"/>
        <c:crosses val="autoZero"/>
        <c:auto val="1"/>
        <c:lblAlgn val="ctr"/>
        <c:lblOffset val="100"/>
        <c:noMultiLvlLbl val="0"/>
      </c:catAx>
      <c:valAx>
        <c:axId val="153355392"/>
        <c:scaling>
          <c:orientation val="minMax"/>
        </c:scaling>
        <c:delete val="0"/>
        <c:axPos val="l"/>
        <c:numFmt formatCode="#,##0,," sourceLinked="0"/>
        <c:majorTickMark val="out"/>
        <c:minorTickMark val="none"/>
        <c:tickLblPos val="nextTo"/>
        <c:crossAx val="151524864"/>
        <c:crosses val="autoZero"/>
        <c:crossBetween val="midCat"/>
      </c:valAx>
    </c:plotArea>
    <c:legend>
      <c:legendPos val="t"/>
      <c:legendEntry>
        <c:idx val="0"/>
        <c:delete val="1"/>
      </c:legendEntry>
      <c:layout>
        <c:manualLayout>
          <c:xMode val="edge"/>
          <c:yMode val="edge"/>
          <c:x val="0.35535197523386503"/>
          <c:y val="0.12222222222222222"/>
          <c:w val="0.37439372812773403"/>
          <c:h val="0.10046062992125984"/>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FORECAST: Unit Sales by FY (in millions)</a:t>
            </a:r>
          </a:p>
        </c:rich>
      </c:tx>
      <c:layout/>
      <c:overlay val="1"/>
    </c:title>
    <c:autoTitleDeleted val="0"/>
    <c:plotArea>
      <c:layout/>
      <c:barChart>
        <c:barDir val="col"/>
        <c:grouping val="clustered"/>
        <c:varyColors val="0"/>
        <c:ser>
          <c:idx val="4"/>
          <c:order val="4"/>
          <c:tx>
            <c:v>Sales</c:v>
          </c:tx>
          <c:spPr>
            <a:solidFill>
              <a:schemeClr val="accent1">
                <a:alpha val="30000"/>
              </a:schemeClr>
            </a:solidFill>
            <a:ln>
              <a:noFill/>
            </a:ln>
          </c:spPr>
          <c:invertIfNegative val="0"/>
          <c:trendline>
            <c:name>Forecast</c:name>
            <c:spPr>
              <a:ln w="25400" cmpd="sng">
                <a:solidFill>
                  <a:schemeClr val="tx2">
                    <a:lumMod val="60000"/>
                    <a:lumOff val="40000"/>
                  </a:schemeClr>
                </a:solidFill>
                <a:prstDash val="solid"/>
              </a:ln>
            </c:spPr>
            <c:trendlineType val="power"/>
            <c:forward val="2"/>
            <c:dispRSqr val="0"/>
            <c:dispEq val="0"/>
          </c:trendline>
          <c:val>
            <c:numRef>
              <c:f>'Sales Dashboard'!$AN$3:$AN$15</c:f>
              <c:numCache>
                <c:formatCode>"$"#,##0.0,,</c:formatCode>
                <c:ptCount val="13"/>
                <c:pt idx="0">
                  <c:v>3832258.48</c:v>
                </c:pt>
                <c:pt idx="1">
                  <c:v>8701500.9700000007</c:v>
                </c:pt>
                <c:pt idx="2">
                  <c:v>40865053.360000007</c:v>
                </c:pt>
                <c:pt idx="3">
                  <c:v>51055026.750000022</c:v>
                </c:pt>
                <c:pt idx="4">
                  <c:v>60618765.850000009</c:v>
                </c:pt>
                <c:pt idx="5">
                  <c:v>74423324.579999998</c:v>
                </c:pt>
                <c:pt idx="6">
                  <c:v>101689193.70000006</c:v>
                </c:pt>
                <c:pt idx="7">
                  <c:v>148088612.71999997</c:v>
                </c:pt>
                <c:pt idx="8">
                  <c:v>171792498.50000006</c:v>
                </c:pt>
                <c:pt idx="9">
                  <c:v>251645368.28000012</c:v>
                </c:pt>
                <c:pt idx="10">
                  <c:v>330389929.21000034</c:v>
                </c:pt>
                <c:pt idx="11">
                  <c:v>357862725.79000026</c:v>
                </c:pt>
                <c:pt idx="12">
                  <c:v>424887153.12000024</c:v>
                </c:pt>
              </c:numCache>
            </c:numRef>
          </c:val>
        </c:ser>
        <c:dLbls>
          <c:showLegendKey val="0"/>
          <c:showVal val="0"/>
          <c:showCatName val="0"/>
          <c:showSerName val="0"/>
          <c:showPercent val="0"/>
          <c:showBubbleSize val="0"/>
        </c:dLbls>
        <c:gapWidth val="150"/>
        <c:axId val="157335936"/>
        <c:axId val="157337856"/>
      </c:barChar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dLbls>
          <c:showLegendKey val="0"/>
          <c:showVal val="0"/>
          <c:showCatName val="0"/>
          <c:showSerName val="0"/>
          <c:showPercent val="0"/>
          <c:showBubbleSize val="0"/>
        </c:dLbls>
        <c:marker val="1"/>
        <c:smooth val="0"/>
        <c:axId val="157335936"/>
        <c:axId val="157337856"/>
      </c:lineChart>
      <c:lineChart>
        <c:grouping val="standard"/>
        <c:varyColors val="0"/>
        <c:ser>
          <c:idx val="1"/>
          <c:order val="1"/>
          <c:tx>
            <c:v>Print</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3.5943522174066919E-2"/>
                  <c:y val="8.6856707523885648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trendline>
            <c:name>Forecast</c:name>
            <c:spPr>
              <a:ln>
                <a:solidFill>
                  <a:srgbClr val="C00000"/>
                </a:solidFill>
                <a:prstDash val="dash"/>
              </a:ln>
            </c:spPr>
            <c:trendlineType val="power"/>
            <c:forward val="2"/>
            <c:dispRSqr val="0"/>
            <c:dispEq val="0"/>
          </c:trendline>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3.4231925880063734E-2"/>
                  <c:y val="-5.000005218035618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trendline>
            <c:name>Forecast</c:name>
            <c:spPr>
              <a:ln>
                <a:solidFill>
                  <a:schemeClr val="accent3"/>
                </a:solidFill>
                <a:prstDash val="dash"/>
              </a:ln>
            </c:spPr>
            <c:trendlineType val="exp"/>
            <c:forward val="2"/>
            <c:dispRSqr val="0"/>
            <c:dispEq val="0"/>
          </c:trendline>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ser>
          <c:idx val="3"/>
          <c:order val="3"/>
          <c:tx>
            <c:v>Combined</c:v>
          </c:tx>
          <c:marker>
            <c:symbol val="none"/>
          </c:marker>
          <c:val>
            <c:numRef>
              <c:f>'Sales Dashboard'!$AM$3:$AM$15</c:f>
              <c:numCache>
                <c:formatCode>General</c:formatCode>
                <c:ptCount val="13"/>
                <c:pt idx="0">
                  <c:v>528802</c:v>
                </c:pt>
                <c:pt idx="1">
                  <c:v>1127903</c:v>
                </c:pt>
                <c:pt idx="2">
                  <c:v>4087014</c:v>
                </c:pt>
                <c:pt idx="3">
                  <c:v>5078275</c:v>
                </c:pt>
                <c:pt idx="4">
                  <c:v>6459215</c:v>
                </c:pt>
                <c:pt idx="5">
                  <c:v>8215642</c:v>
                </c:pt>
                <c:pt idx="6">
                  <c:v>12067080</c:v>
                </c:pt>
                <c:pt idx="7">
                  <c:v>17053278</c:v>
                </c:pt>
                <c:pt idx="8">
                  <c:v>21792100</c:v>
                </c:pt>
                <c:pt idx="9">
                  <c:v>31219622</c:v>
                </c:pt>
                <c:pt idx="10">
                  <c:v>44946579</c:v>
                </c:pt>
                <c:pt idx="11">
                  <c:v>54767021</c:v>
                </c:pt>
                <c:pt idx="12">
                  <c:v>79004088</c:v>
                </c:pt>
              </c:numCache>
            </c:numRef>
          </c:val>
          <c:smooth val="0"/>
        </c:ser>
        <c:dLbls>
          <c:showLegendKey val="0"/>
          <c:showVal val="0"/>
          <c:showCatName val="0"/>
          <c:showSerName val="0"/>
          <c:showPercent val="0"/>
          <c:showBubbleSize val="0"/>
        </c:dLbls>
        <c:marker val="1"/>
        <c:smooth val="0"/>
        <c:axId val="157459200"/>
        <c:axId val="157348224"/>
      </c:lineChart>
      <c:catAx>
        <c:axId val="157335936"/>
        <c:scaling>
          <c:orientation val="minMax"/>
        </c:scaling>
        <c:delete val="0"/>
        <c:axPos val="b"/>
        <c:numFmt formatCode="General" sourceLinked="1"/>
        <c:majorTickMark val="out"/>
        <c:minorTickMark val="none"/>
        <c:tickLblPos val="nextTo"/>
        <c:crossAx val="157337856"/>
        <c:crosses val="autoZero"/>
        <c:auto val="1"/>
        <c:lblAlgn val="ctr"/>
        <c:lblOffset val="100"/>
        <c:noMultiLvlLbl val="0"/>
      </c:catAx>
      <c:valAx>
        <c:axId val="157337856"/>
        <c:scaling>
          <c:orientation val="minMax"/>
        </c:scaling>
        <c:delete val="0"/>
        <c:axPos val="l"/>
        <c:numFmt formatCode="&quot;$&quot;#,##0,," sourceLinked="0"/>
        <c:majorTickMark val="out"/>
        <c:minorTickMark val="none"/>
        <c:tickLblPos val="nextTo"/>
        <c:crossAx val="157335936"/>
        <c:crosses val="autoZero"/>
        <c:crossBetween val="between"/>
      </c:valAx>
      <c:valAx>
        <c:axId val="157348224"/>
        <c:scaling>
          <c:orientation val="minMax"/>
        </c:scaling>
        <c:delete val="0"/>
        <c:axPos val="r"/>
        <c:numFmt formatCode="#,##0,," sourceLinked="0"/>
        <c:majorTickMark val="out"/>
        <c:minorTickMark val="none"/>
        <c:tickLblPos val="nextTo"/>
        <c:crossAx val="157459200"/>
        <c:crosses val="max"/>
        <c:crossBetween val="between"/>
      </c:valAx>
      <c:catAx>
        <c:axId val="157459200"/>
        <c:scaling>
          <c:orientation val="minMax"/>
        </c:scaling>
        <c:delete val="1"/>
        <c:axPos val="b"/>
        <c:majorTickMark val="out"/>
        <c:minorTickMark val="none"/>
        <c:tickLblPos val="nextTo"/>
        <c:crossAx val="157348224"/>
        <c:crosses val="autoZero"/>
        <c:auto val="1"/>
        <c:lblAlgn val="ctr"/>
        <c:lblOffset val="100"/>
        <c:noMultiLvlLbl val="0"/>
      </c:catAx>
    </c:plotArea>
    <c:legend>
      <c:legendPos val="t"/>
      <c:legendEntry>
        <c:idx val="1"/>
        <c:delete val="1"/>
      </c:legendEntry>
      <c:legendEntry>
        <c:idx val="5"/>
        <c:delete val="1"/>
      </c:legendEntry>
      <c:legendEntry>
        <c:idx val="6"/>
        <c:delete val="1"/>
      </c:legendEntry>
      <c:legendEntry>
        <c:idx val="7"/>
        <c:delete val="1"/>
      </c:legendEntry>
      <c:layout>
        <c:manualLayout>
          <c:xMode val="edge"/>
          <c:yMode val="edge"/>
          <c:x val="5.1711636725411708E-2"/>
          <c:y val="7.9522862823061632E-2"/>
          <c:w val="0.89999991913718291"/>
          <c:h val="7.996243014354816E-2"/>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[Sales_Template_solution.xlsx]Sales Dashboard!pvtblGenresAndMarkets</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'Sales Dashboard'!$AQ$2:$AQ$4</c:f>
              <c:strCache>
                <c:ptCount val="1"/>
                <c:pt idx="0">
                  <c:v>LA - BookTitle0039</c:v>
                </c:pt>
              </c:strCache>
            </c:strRef>
          </c:tx>
          <c:invertIfNegative val="0"/>
          <c:cat>
            <c:strRef>
              <c:f>'Sales Dashboard'!$AP$5:$AP$7</c:f>
              <c:strCache>
                <c:ptCount val="2"/>
                <c:pt idx="0">
                  <c:v>Fantasy</c:v>
                </c:pt>
                <c:pt idx="1">
                  <c:v>Thriller</c:v>
                </c:pt>
              </c:strCache>
            </c:strRef>
          </c:cat>
          <c:val>
            <c:numRef>
              <c:f>'Sales Dashboard'!$AQ$5:$AQ$7</c:f>
              <c:numCache>
                <c:formatCode>General</c:formatCode>
                <c:ptCount val="2"/>
                <c:pt idx="0">
                  <c:v>252558</c:v>
                </c:pt>
              </c:numCache>
            </c:numRef>
          </c:val>
        </c:ser>
        <c:ser>
          <c:idx val="1"/>
          <c:order val="1"/>
          <c:tx>
            <c:strRef>
              <c:f>'Sales Dashboard'!$AR$2:$AR$4</c:f>
              <c:strCache>
                <c:ptCount val="1"/>
                <c:pt idx="0">
                  <c:v>LA - BookTitle0043</c:v>
                </c:pt>
              </c:strCache>
            </c:strRef>
          </c:tx>
          <c:invertIfNegative val="0"/>
          <c:cat>
            <c:strRef>
              <c:f>'Sales Dashboard'!$AP$5:$AP$7</c:f>
              <c:strCache>
                <c:ptCount val="2"/>
                <c:pt idx="0">
                  <c:v>Fantasy</c:v>
                </c:pt>
                <c:pt idx="1">
                  <c:v>Thriller</c:v>
                </c:pt>
              </c:strCache>
            </c:strRef>
          </c:cat>
          <c:val>
            <c:numRef>
              <c:f>'Sales Dashboard'!$AR$5:$AR$7</c:f>
              <c:numCache>
                <c:formatCode>General</c:formatCode>
                <c:ptCount val="2"/>
                <c:pt idx="0">
                  <c:v>35537</c:v>
                </c:pt>
                <c:pt idx="1">
                  <c:v>32933</c:v>
                </c:pt>
              </c:numCache>
            </c:numRef>
          </c:val>
        </c:ser>
        <c:dLbls>
          <c:showLegendKey val="0"/>
          <c:showVal val="0"/>
          <c:showCatName val="0"/>
          <c:showSerName val="0"/>
          <c:showPercent val="0"/>
          <c:showBubbleSize val="0"/>
        </c:dLbls>
        <c:gapWidth val="150"/>
        <c:axId val="157527040"/>
        <c:axId val="157545600"/>
      </c:barChart>
      <c:catAx>
        <c:axId val="157527040"/>
        <c:scaling>
          <c:orientation val="minMax"/>
        </c:scaling>
        <c:delete val="0"/>
        <c:axPos val="b"/>
        <c:majorTickMark val="out"/>
        <c:minorTickMark val="none"/>
        <c:tickLblPos val="nextTo"/>
        <c:crossAx val="157545600"/>
        <c:crosses val="autoZero"/>
        <c:auto val="1"/>
        <c:lblAlgn val="ctr"/>
        <c:lblOffset val="100"/>
        <c:noMultiLvlLbl val="0"/>
      </c:catAx>
      <c:valAx>
        <c:axId val="157545600"/>
        <c:scaling>
          <c:orientation val="minMax"/>
        </c:scaling>
        <c:delete val="0"/>
        <c:axPos val="l"/>
        <c:majorGridlines/>
        <c:numFmt formatCode="General" sourceLinked="1"/>
        <c:majorTickMark val="out"/>
        <c:minorTickMark val="none"/>
        <c:tickLblPos val="nextTo"/>
        <c:crossAx val="1575270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7E898DB-2FE8-49F1-A744-B9A168F54917}" type="doc">
      <dgm:prSet loTypeId="urn:microsoft.com/office/officeart/2008/layout/AlternatingHexagons" loCatId="list" qsTypeId="urn:microsoft.com/office/officeart/2005/8/quickstyle/3d1" qsCatId="3D" csTypeId="urn:microsoft.com/office/officeart/2005/8/colors/colorful1" csCatId="colorful" phldr="1"/>
      <dgm:spPr/>
      <dgm:t>
        <a:bodyPr/>
        <a:lstStyle/>
        <a:p>
          <a:endParaRPr lang="en-US"/>
        </a:p>
      </dgm:t>
    </dgm:pt>
    <dgm:pt modelId="{02B3E45B-8694-45AF-B61E-AA0141FE3CB7}">
      <dgm:prSet phldrT="[Text]"/>
      <dgm:spPr/>
      <dgm:t>
        <a:bodyPr/>
        <a:lstStyle/>
        <a:p>
          <a:r>
            <a:rPr lang="en-US"/>
            <a:t>Author Dashboard</a:t>
          </a:r>
        </a:p>
      </dgm:t>
    </dgm:pt>
    <dgm:pt modelId="{078773BB-1CC6-4A82-9E6C-4DCE9CB7DE4F}" type="parTrans" cxnId="{6EA58817-9FE2-499E-9548-E222D82A35D9}">
      <dgm:prSet/>
      <dgm:spPr/>
      <dgm:t>
        <a:bodyPr/>
        <a:lstStyle/>
        <a:p>
          <a:endParaRPr lang="en-US"/>
        </a:p>
      </dgm:t>
    </dgm:pt>
    <dgm:pt modelId="{A4B2FB30-B276-4B5A-A5F3-DBA1C74547EF}" type="sibTrans" cxnId="{6EA58817-9FE2-499E-9548-E222D82A35D9}">
      <dgm:prSet/>
      <dgm:spPr/>
      <dgm:t>
        <a:bodyPr/>
        <a:lstStyle/>
        <a:p>
          <a:endParaRPr lang="en-US"/>
        </a:p>
      </dgm:t>
    </dgm:pt>
    <dgm:pt modelId="{A830D0EA-56A2-4D6D-A464-18B468181BA6}">
      <dgm:prSet phldrT="[Text]"/>
      <dgm:spPr/>
      <dgm:t>
        <a:bodyPr/>
        <a:lstStyle/>
        <a:p>
          <a:r>
            <a:rPr lang="en-US"/>
            <a:t>Individual Author Rankings</a:t>
          </a:r>
        </a:p>
      </dgm:t>
    </dgm:pt>
    <dgm:pt modelId="{66A0629D-7E37-452D-8CBC-AEE7CA00AA28}" type="parTrans" cxnId="{5B775311-0D8B-4FEC-AD12-2B45A43315DB}">
      <dgm:prSet/>
      <dgm:spPr/>
      <dgm:t>
        <a:bodyPr/>
        <a:lstStyle/>
        <a:p>
          <a:endParaRPr lang="en-US"/>
        </a:p>
      </dgm:t>
    </dgm:pt>
    <dgm:pt modelId="{8B599422-8627-4436-9319-813875446D16}" type="sibTrans" cxnId="{5B775311-0D8B-4FEC-AD12-2B45A43315DB}">
      <dgm:prSet/>
      <dgm:spPr/>
      <dgm:t>
        <a:bodyPr/>
        <a:lstStyle/>
        <a:p>
          <a:endParaRPr lang="en-US"/>
        </a:p>
      </dgm:t>
    </dgm:pt>
    <dgm:pt modelId="{77798164-27A0-4DE1-B893-A37C3E5D894F}">
      <dgm:prSet phldrT="[Text]"/>
      <dgm:spPr/>
      <dgm:t>
        <a:bodyPr/>
        <a:lstStyle/>
        <a:p>
          <a:r>
            <a:rPr lang="en-US"/>
            <a:t>Summary Data</a:t>
          </a:r>
        </a:p>
      </dgm:t>
    </dgm:pt>
    <dgm:pt modelId="{E9769C7B-57F8-4BA3-9D99-188709B20A7A}" type="parTrans" cxnId="{ED534EA8-C1C0-4469-B7B8-4166085EEC70}">
      <dgm:prSet/>
      <dgm:spPr/>
      <dgm:t>
        <a:bodyPr/>
        <a:lstStyle/>
        <a:p>
          <a:endParaRPr lang="en-US"/>
        </a:p>
      </dgm:t>
    </dgm:pt>
    <dgm:pt modelId="{09A0AB01-A1E2-4C7E-91EA-7D4898A57956}" type="sibTrans" cxnId="{ED534EA8-C1C0-4469-B7B8-4166085EEC70}">
      <dgm:prSet/>
      <dgm:spPr/>
      <dgm:t>
        <a:bodyPr/>
        <a:lstStyle/>
        <a:p>
          <a:endParaRPr lang="en-US"/>
        </a:p>
      </dgm:t>
    </dgm:pt>
    <dgm:pt modelId="{54C658C0-0816-4DF5-8995-2D7DA0C2EA92}">
      <dgm:prSet phldrT="[Text]"/>
      <dgm:spPr/>
      <dgm:t>
        <a:bodyPr/>
        <a:lstStyle/>
        <a:p>
          <a:r>
            <a:rPr lang="en-US"/>
            <a:t>Aggregated Author Data</a:t>
          </a:r>
        </a:p>
      </dgm:t>
    </dgm:pt>
    <dgm:pt modelId="{DDC32145-E678-4EC0-8800-63B935E2C527}" type="parTrans" cxnId="{EE4B097D-7C2D-43A8-8AF8-A232DB785C83}">
      <dgm:prSet/>
      <dgm:spPr/>
      <dgm:t>
        <a:bodyPr/>
        <a:lstStyle/>
        <a:p>
          <a:endParaRPr lang="en-US"/>
        </a:p>
      </dgm:t>
    </dgm:pt>
    <dgm:pt modelId="{E439D3D7-36D2-4DA6-8D65-3A96C8C01EBC}" type="sibTrans" cxnId="{EE4B097D-7C2D-43A8-8AF8-A232DB785C83}">
      <dgm:prSet/>
      <dgm:spPr/>
      <dgm:t>
        <a:bodyPr/>
        <a:lstStyle/>
        <a:p>
          <a:endParaRPr lang="en-US"/>
        </a:p>
      </dgm:t>
    </dgm:pt>
    <dgm:pt modelId="{AEC0266B-0E98-4785-99D5-D1A4840BD15E}">
      <dgm:prSet phldrT="[Text]"/>
      <dgm:spPr/>
      <dgm:t>
        <a:bodyPr/>
        <a:lstStyle/>
        <a:p>
          <a:r>
            <a:rPr lang="en-US"/>
            <a:t>Sales</a:t>
          </a:r>
        </a:p>
      </dgm:t>
    </dgm:pt>
    <dgm:pt modelId="{34DCD96F-DF82-4687-BCBA-1FD15AD6A632}" type="parTrans" cxnId="{06CBB9F9-87EB-46D7-8BBA-D00C863127AD}">
      <dgm:prSet/>
      <dgm:spPr/>
      <dgm:t>
        <a:bodyPr/>
        <a:lstStyle/>
        <a:p>
          <a:endParaRPr lang="en-US"/>
        </a:p>
      </dgm:t>
    </dgm:pt>
    <dgm:pt modelId="{2D4B0B33-8698-465C-90CE-D127AB5D5B8D}" type="sibTrans" cxnId="{06CBB9F9-87EB-46D7-8BBA-D00C863127AD}">
      <dgm:prSet/>
      <dgm:spPr/>
      <dgm:t>
        <a:bodyPr/>
        <a:lstStyle/>
        <a:p>
          <a:endParaRPr lang="en-US"/>
        </a:p>
      </dgm:t>
    </dgm:pt>
    <dgm:pt modelId="{E9E5AB17-B117-488F-A20F-F928D84D067B}">
      <dgm:prSet phldrT="[Text]"/>
      <dgm:spPr/>
      <dgm:t>
        <a:bodyPr/>
        <a:lstStyle/>
        <a:p>
          <a:r>
            <a:rPr lang="en-US"/>
            <a:t>Raw Sales Data</a:t>
          </a:r>
        </a:p>
      </dgm:t>
    </dgm:pt>
    <dgm:pt modelId="{707D8E8D-4B5C-4D6F-965F-7BFB9C43C9C2}" type="parTrans" cxnId="{A7EC7C6C-7B33-408F-B072-63D7D938BCC5}">
      <dgm:prSet/>
      <dgm:spPr/>
      <dgm:t>
        <a:bodyPr/>
        <a:lstStyle/>
        <a:p>
          <a:endParaRPr lang="en-US"/>
        </a:p>
      </dgm:t>
    </dgm:pt>
    <dgm:pt modelId="{C71D68AB-0AA7-4EEF-8AEF-C5224FE22569}" type="sibTrans" cxnId="{A7EC7C6C-7B33-408F-B072-63D7D938BCC5}">
      <dgm:prSet/>
      <dgm:spPr/>
      <dgm:t>
        <a:bodyPr/>
        <a:lstStyle/>
        <a:p>
          <a:endParaRPr lang="en-US"/>
        </a:p>
      </dgm:t>
    </dgm:pt>
    <dgm:pt modelId="{0BF0C660-B64B-4E3D-8DB9-17918AEFD7BA}">
      <dgm:prSet phldrT="[Text]"/>
      <dgm:spPr/>
      <dgm:t>
        <a:bodyPr/>
        <a:lstStyle/>
        <a:p>
          <a:r>
            <a:rPr lang="en-US"/>
            <a:t>Sales Dashboard</a:t>
          </a:r>
        </a:p>
      </dgm:t>
    </dgm:pt>
    <dgm:pt modelId="{75BEFF23-1C78-471D-B072-FD52B20AD511}" type="parTrans" cxnId="{3DDE7741-BFC3-4124-90BF-30E803390665}">
      <dgm:prSet/>
      <dgm:spPr/>
      <dgm:t>
        <a:bodyPr/>
        <a:lstStyle/>
        <a:p>
          <a:endParaRPr lang="en-US"/>
        </a:p>
      </dgm:t>
    </dgm:pt>
    <dgm:pt modelId="{A0CBC4FD-3BE0-45EB-BBD7-81ABCE7B650E}" type="sibTrans" cxnId="{3DDE7741-BFC3-4124-90BF-30E803390665}">
      <dgm:prSet/>
      <dgm:spPr/>
      <dgm:t>
        <a:bodyPr/>
        <a:lstStyle/>
        <a:p>
          <a:endParaRPr lang="en-US"/>
        </a:p>
      </dgm:t>
    </dgm:pt>
    <dgm:pt modelId="{02E0F1CE-73CA-4211-B801-52FE7AD38914}">
      <dgm:prSet phldrT="[Text]"/>
      <dgm:spPr/>
      <dgm:t>
        <a:bodyPr/>
        <a:lstStyle/>
        <a:p>
          <a:r>
            <a:rPr lang="en-US"/>
            <a:t>Interactive Sales Data</a:t>
          </a:r>
        </a:p>
      </dgm:t>
    </dgm:pt>
    <dgm:pt modelId="{B461EBEB-34C4-4738-88D6-28CEB93FCC33}" type="parTrans" cxnId="{B151596D-118A-4BB7-875D-3D6B39A9E0EA}">
      <dgm:prSet/>
      <dgm:spPr/>
      <dgm:t>
        <a:bodyPr/>
        <a:lstStyle/>
        <a:p>
          <a:endParaRPr lang="en-US"/>
        </a:p>
      </dgm:t>
    </dgm:pt>
    <dgm:pt modelId="{24259A89-361E-492A-A15E-244CC41549C8}" type="sibTrans" cxnId="{B151596D-118A-4BB7-875D-3D6B39A9E0EA}">
      <dgm:prSet/>
      <dgm:spPr/>
      <dgm:t>
        <a:bodyPr/>
        <a:lstStyle/>
        <a:p>
          <a:endParaRPr lang="en-US"/>
        </a:p>
      </dgm:t>
    </dgm:pt>
    <dgm:pt modelId="{547E6CE8-0555-45FF-9C15-4CAA08CF086C}" type="pres">
      <dgm:prSet presAssocID="{27E898DB-2FE8-49F1-A744-B9A168F54917}" presName="Name0" presStyleCnt="0">
        <dgm:presLayoutVars>
          <dgm:chMax/>
          <dgm:chPref/>
          <dgm:dir/>
          <dgm:animLvl val="lvl"/>
        </dgm:presLayoutVars>
      </dgm:prSet>
      <dgm:spPr/>
      <dgm:t>
        <a:bodyPr/>
        <a:lstStyle/>
        <a:p>
          <a:endParaRPr lang="en-US"/>
        </a:p>
      </dgm:t>
    </dgm:pt>
    <dgm:pt modelId="{DEB05CEE-FA82-47ED-AD85-A1011DAB10F9}" type="pres">
      <dgm:prSet presAssocID="{02B3E45B-8694-45AF-B61E-AA0141FE3CB7}" presName="composite" presStyleCnt="0"/>
      <dgm:spPr/>
    </dgm:pt>
    <dgm:pt modelId="{36085C7A-9FAA-4112-A3F1-EEB836A8D6E4}" type="pres">
      <dgm:prSet presAssocID="{02B3E45B-8694-45AF-B61E-AA0141FE3CB7}" presName="Parent1" presStyleLbl="node1" presStyleIdx="0" presStyleCnt="8">
        <dgm:presLayoutVars>
          <dgm:chMax val="1"/>
          <dgm:chPref val="1"/>
          <dgm:bulletEnabled val="1"/>
        </dgm:presLayoutVars>
      </dgm:prSet>
      <dgm:spPr/>
      <dgm:t>
        <a:bodyPr/>
        <a:lstStyle/>
        <a:p>
          <a:endParaRPr lang="en-US"/>
        </a:p>
      </dgm:t>
    </dgm:pt>
    <dgm:pt modelId="{24701F92-48F4-48F2-88F1-65EB1B3285FF}" type="pres">
      <dgm:prSet presAssocID="{02B3E45B-8694-45AF-B61E-AA0141FE3CB7}" presName="Childtext1" presStyleLbl="revTx" presStyleIdx="0" presStyleCnt="4">
        <dgm:presLayoutVars>
          <dgm:chMax val="0"/>
          <dgm:chPref val="0"/>
          <dgm:bulletEnabled val="1"/>
        </dgm:presLayoutVars>
      </dgm:prSet>
      <dgm:spPr/>
      <dgm:t>
        <a:bodyPr/>
        <a:lstStyle/>
        <a:p>
          <a:endParaRPr lang="en-US"/>
        </a:p>
      </dgm:t>
    </dgm:pt>
    <dgm:pt modelId="{FD54E2DB-5CCC-4509-B9A7-946E3D44E027}" type="pres">
      <dgm:prSet presAssocID="{02B3E45B-8694-45AF-B61E-AA0141FE3CB7}" presName="BalanceSpacing" presStyleCnt="0"/>
      <dgm:spPr/>
    </dgm:pt>
    <dgm:pt modelId="{2C75C613-35C7-4066-9393-EA842896AE18}" type="pres">
      <dgm:prSet presAssocID="{02B3E45B-8694-45AF-B61E-AA0141FE3CB7}" presName="BalanceSpacing1" presStyleCnt="0"/>
      <dgm:spPr/>
    </dgm:pt>
    <dgm:pt modelId="{AAAF7BD1-9410-4E40-A980-6F754675F83A}" type="pres">
      <dgm:prSet presAssocID="{A4B2FB30-B276-4B5A-A5F3-DBA1C74547EF}" presName="Accent1Text" presStyleLbl="node1" presStyleIdx="1" presStyleCnt="8"/>
      <dgm:spPr/>
      <dgm:t>
        <a:bodyPr/>
        <a:lstStyle/>
        <a:p>
          <a:endParaRPr lang="en-US"/>
        </a:p>
      </dgm:t>
    </dgm:pt>
    <dgm:pt modelId="{7A75FE7C-EDBE-4879-93BF-B7D6A85A4072}" type="pres">
      <dgm:prSet presAssocID="{A4B2FB30-B276-4B5A-A5F3-DBA1C74547EF}" presName="spaceBetweenRectangles" presStyleCnt="0"/>
      <dgm:spPr/>
    </dgm:pt>
    <dgm:pt modelId="{EE556DC5-3A46-42F3-8AC6-DC3183F15EE9}" type="pres">
      <dgm:prSet presAssocID="{77798164-27A0-4DE1-B893-A37C3E5D894F}" presName="composite" presStyleCnt="0"/>
      <dgm:spPr/>
    </dgm:pt>
    <dgm:pt modelId="{4029FD58-393A-45FB-9816-2DB3F310FC96}" type="pres">
      <dgm:prSet presAssocID="{77798164-27A0-4DE1-B893-A37C3E5D894F}" presName="Parent1" presStyleLbl="node1" presStyleIdx="2" presStyleCnt="8">
        <dgm:presLayoutVars>
          <dgm:chMax val="1"/>
          <dgm:chPref val="1"/>
          <dgm:bulletEnabled val="1"/>
        </dgm:presLayoutVars>
      </dgm:prSet>
      <dgm:spPr/>
      <dgm:t>
        <a:bodyPr/>
        <a:lstStyle/>
        <a:p>
          <a:endParaRPr lang="en-US"/>
        </a:p>
      </dgm:t>
    </dgm:pt>
    <dgm:pt modelId="{CE7D2D04-4AA8-4FAC-A621-2082D95BFA94}" type="pres">
      <dgm:prSet presAssocID="{77798164-27A0-4DE1-B893-A37C3E5D894F}" presName="Childtext1" presStyleLbl="revTx" presStyleIdx="1" presStyleCnt="4">
        <dgm:presLayoutVars>
          <dgm:chMax val="0"/>
          <dgm:chPref val="0"/>
          <dgm:bulletEnabled val="1"/>
        </dgm:presLayoutVars>
      </dgm:prSet>
      <dgm:spPr/>
      <dgm:t>
        <a:bodyPr/>
        <a:lstStyle/>
        <a:p>
          <a:endParaRPr lang="en-US"/>
        </a:p>
      </dgm:t>
    </dgm:pt>
    <dgm:pt modelId="{7E855B88-9C6D-4A9C-BE9A-400B49FC639D}" type="pres">
      <dgm:prSet presAssocID="{77798164-27A0-4DE1-B893-A37C3E5D894F}" presName="BalanceSpacing" presStyleCnt="0"/>
      <dgm:spPr/>
    </dgm:pt>
    <dgm:pt modelId="{11E59B22-D469-4B7E-9729-6C6B52A4B157}" type="pres">
      <dgm:prSet presAssocID="{77798164-27A0-4DE1-B893-A37C3E5D894F}" presName="BalanceSpacing1" presStyleCnt="0"/>
      <dgm:spPr/>
    </dgm:pt>
    <dgm:pt modelId="{E50CB3BF-1CC1-48F2-BA03-BA42A0B70154}" type="pres">
      <dgm:prSet presAssocID="{09A0AB01-A1E2-4C7E-91EA-7D4898A57956}" presName="Accent1Text" presStyleLbl="node1" presStyleIdx="3" presStyleCnt="8"/>
      <dgm:spPr/>
      <dgm:t>
        <a:bodyPr/>
        <a:lstStyle/>
        <a:p>
          <a:endParaRPr lang="en-US"/>
        </a:p>
      </dgm:t>
    </dgm:pt>
    <dgm:pt modelId="{9636C469-AB1C-4EAD-B0E7-16540222BA0D}" type="pres">
      <dgm:prSet presAssocID="{09A0AB01-A1E2-4C7E-91EA-7D4898A57956}" presName="spaceBetweenRectangles" presStyleCnt="0"/>
      <dgm:spPr/>
    </dgm:pt>
    <dgm:pt modelId="{8750FCFB-16C7-4450-889F-C2799770AE6F}" type="pres">
      <dgm:prSet presAssocID="{AEC0266B-0E98-4785-99D5-D1A4840BD15E}" presName="composite" presStyleCnt="0"/>
      <dgm:spPr/>
    </dgm:pt>
    <dgm:pt modelId="{2576F9A3-CFF9-4F68-BC1C-EA5645B1D25E}" type="pres">
      <dgm:prSet presAssocID="{AEC0266B-0E98-4785-99D5-D1A4840BD15E}" presName="Parent1" presStyleLbl="node1" presStyleIdx="4" presStyleCnt="8">
        <dgm:presLayoutVars>
          <dgm:chMax val="1"/>
          <dgm:chPref val="1"/>
          <dgm:bulletEnabled val="1"/>
        </dgm:presLayoutVars>
      </dgm:prSet>
      <dgm:spPr/>
      <dgm:t>
        <a:bodyPr/>
        <a:lstStyle/>
        <a:p>
          <a:endParaRPr lang="en-US"/>
        </a:p>
      </dgm:t>
    </dgm:pt>
    <dgm:pt modelId="{50CD103C-BB97-4EEE-9764-F0F70BA15318}" type="pres">
      <dgm:prSet presAssocID="{AEC0266B-0E98-4785-99D5-D1A4840BD15E}" presName="Childtext1" presStyleLbl="revTx" presStyleIdx="2" presStyleCnt="4">
        <dgm:presLayoutVars>
          <dgm:chMax val="0"/>
          <dgm:chPref val="0"/>
          <dgm:bulletEnabled val="1"/>
        </dgm:presLayoutVars>
      </dgm:prSet>
      <dgm:spPr/>
      <dgm:t>
        <a:bodyPr/>
        <a:lstStyle/>
        <a:p>
          <a:endParaRPr lang="en-US"/>
        </a:p>
      </dgm:t>
    </dgm:pt>
    <dgm:pt modelId="{9C32CD3A-BB54-4BF6-9D81-325171FB2BAD}" type="pres">
      <dgm:prSet presAssocID="{AEC0266B-0E98-4785-99D5-D1A4840BD15E}" presName="BalanceSpacing" presStyleCnt="0"/>
      <dgm:spPr/>
    </dgm:pt>
    <dgm:pt modelId="{724E81AB-6C77-49DD-BAB1-20ADDB1AC2B6}" type="pres">
      <dgm:prSet presAssocID="{AEC0266B-0E98-4785-99D5-D1A4840BD15E}" presName="BalanceSpacing1" presStyleCnt="0"/>
      <dgm:spPr/>
    </dgm:pt>
    <dgm:pt modelId="{CAA1A8D5-77DD-4B8D-923F-2DFE3E2B1F03}" type="pres">
      <dgm:prSet presAssocID="{2D4B0B33-8698-465C-90CE-D127AB5D5B8D}" presName="Accent1Text" presStyleLbl="node1" presStyleIdx="5" presStyleCnt="8"/>
      <dgm:spPr/>
      <dgm:t>
        <a:bodyPr/>
        <a:lstStyle/>
        <a:p>
          <a:endParaRPr lang="en-US"/>
        </a:p>
      </dgm:t>
    </dgm:pt>
    <dgm:pt modelId="{95815C72-4111-402D-986B-25F3A5080200}" type="pres">
      <dgm:prSet presAssocID="{2D4B0B33-8698-465C-90CE-D127AB5D5B8D}" presName="spaceBetweenRectangles" presStyleCnt="0"/>
      <dgm:spPr/>
    </dgm:pt>
    <dgm:pt modelId="{F35770FC-028C-40AB-885A-C3087404DD0F}" type="pres">
      <dgm:prSet presAssocID="{0BF0C660-B64B-4E3D-8DB9-17918AEFD7BA}" presName="composite" presStyleCnt="0"/>
      <dgm:spPr/>
    </dgm:pt>
    <dgm:pt modelId="{AFBCA3DE-07E8-4FF4-88B9-67BB1B12E75B}" type="pres">
      <dgm:prSet presAssocID="{0BF0C660-B64B-4E3D-8DB9-17918AEFD7BA}" presName="Parent1" presStyleLbl="node1" presStyleIdx="6" presStyleCnt="8">
        <dgm:presLayoutVars>
          <dgm:chMax val="1"/>
          <dgm:chPref val="1"/>
          <dgm:bulletEnabled val="1"/>
        </dgm:presLayoutVars>
      </dgm:prSet>
      <dgm:spPr/>
      <dgm:t>
        <a:bodyPr/>
        <a:lstStyle/>
        <a:p>
          <a:endParaRPr lang="en-US"/>
        </a:p>
      </dgm:t>
    </dgm:pt>
    <dgm:pt modelId="{B70B9EF7-8DEE-46F6-A037-17EE60E771B2}" type="pres">
      <dgm:prSet presAssocID="{0BF0C660-B64B-4E3D-8DB9-17918AEFD7BA}" presName="Childtext1" presStyleLbl="revTx" presStyleIdx="3" presStyleCnt="4">
        <dgm:presLayoutVars>
          <dgm:chMax val="0"/>
          <dgm:chPref val="0"/>
          <dgm:bulletEnabled val="1"/>
        </dgm:presLayoutVars>
      </dgm:prSet>
      <dgm:spPr/>
      <dgm:t>
        <a:bodyPr/>
        <a:lstStyle/>
        <a:p>
          <a:endParaRPr lang="en-US"/>
        </a:p>
      </dgm:t>
    </dgm:pt>
    <dgm:pt modelId="{992D24E3-A804-4989-8C25-E5501E951D6D}" type="pres">
      <dgm:prSet presAssocID="{0BF0C660-B64B-4E3D-8DB9-17918AEFD7BA}" presName="BalanceSpacing" presStyleCnt="0"/>
      <dgm:spPr/>
    </dgm:pt>
    <dgm:pt modelId="{8A38E319-300A-44F6-B307-53D989E1DB5F}" type="pres">
      <dgm:prSet presAssocID="{0BF0C660-B64B-4E3D-8DB9-17918AEFD7BA}" presName="BalanceSpacing1" presStyleCnt="0"/>
      <dgm:spPr/>
    </dgm:pt>
    <dgm:pt modelId="{76A97E1B-EE82-44E4-ACB8-40159B2DE958}" type="pres">
      <dgm:prSet presAssocID="{A0CBC4FD-3BE0-45EB-BBD7-81ABCE7B650E}" presName="Accent1Text" presStyleLbl="node1" presStyleIdx="7" presStyleCnt="8"/>
      <dgm:spPr/>
      <dgm:t>
        <a:bodyPr/>
        <a:lstStyle/>
        <a:p>
          <a:endParaRPr lang="en-US"/>
        </a:p>
      </dgm:t>
    </dgm:pt>
  </dgm:ptLst>
  <dgm:cxnLst>
    <dgm:cxn modelId="{A7EC7C6C-7B33-408F-B072-63D7D938BCC5}" srcId="{AEC0266B-0E98-4785-99D5-D1A4840BD15E}" destId="{E9E5AB17-B117-488F-A20F-F928D84D067B}" srcOrd="0" destOrd="0" parTransId="{707D8E8D-4B5C-4D6F-965F-7BFB9C43C9C2}" sibTransId="{C71D68AB-0AA7-4EEF-8AEF-C5224FE22569}"/>
    <dgm:cxn modelId="{C6691931-C68C-4984-BD94-1ABB5064F680}" type="presOf" srcId="{AEC0266B-0E98-4785-99D5-D1A4840BD15E}" destId="{2576F9A3-CFF9-4F68-BC1C-EA5645B1D25E}" srcOrd="0" destOrd="0" presId="urn:microsoft.com/office/officeart/2008/layout/AlternatingHexagons"/>
    <dgm:cxn modelId="{06CBB9F9-87EB-46D7-8BBA-D00C863127AD}" srcId="{27E898DB-2FE8-49F1-A744-B9A168F54917}" destId="{AEC0266B-0E98-4785-99D5-D1A4840BD15E}" srcOrd="2" destOrd="0" parTransId="{34DCD96F-DF82-4687-BCBA-1FD15AD6A632}" sibTransId="{2D4B0B33-8698-465C-90CE-D127AB5D5B8D}"/>
    <dgm:cxn modelId="{ADDE33F4-81D2-445C-984B-CC7A9C385007}" type="presOf" srcId="{A0CBC4FD-3BE0-45EB-BBD7-81ABCE7B650E}" destId="{76A97E1B-EE82-44E4-ACB8-40159B2DE958}" srcOrd="0" destOrd="0" presId="urn:microsoft.com/office/officeart/2008/layout/AlternatingHexagons"/>
    <dgm:cxn modelId="{DC934636-457C-4CED-AA61-2702C08412CC}" type="presOf" srcId="{E9E5AB17-B117-488F-A20F-F928D84D067B}" destId="{50CD103C-BB97-4EEE-9764-F0F70BA15318}" srcOrd="0" destOrd="0" presId="urn:microsoft.com/office/officeart/2008/layout/AlternatingHexagons"/>
    <dgm:cxn modelId="{3DDE7741-BFC3-4124-90BF-30E803390665}" srcId="{27E898DB-2FE8-49F1-A744-B9A168F54917}" destId="{0BF0C660-B64B-4E3D-8DB9-17918AEFD7BA}" srcOrd="3" destOrd="0" parTransId="{75BEFF23-1C78-471D-B072-FD52B20AD511}" sibTransId="{A0CBC4FD-3BE0-45EB-BBD7-81ABCE7B650E}"/>
    <dgm:cxn modelId="{FFEDB941-A790-4716-B3F0-3F46278D3AFD}" type="presOf" srcId="{02E0F1CE-73CA-4211-B801-52FE7AD38914}" destId="{B70B9EF7-8DEE-46F6-A037-17EE60E771B2}" srcOrd="0" destOrd="0" presId="urn:microsoft.com/office/officeart/2008/layout/AlternatingHexagons"/>
    <dgm:cxn modelId="{D57AB147-9227-4AF2-9EF1-F544C59ADA29}" type="presOf" srcId="{27E898DB-2FE8-49F1-A744-B9A168F54917}" destId="{547E6CE8-0555-45FF-9C15-4CAA08CF086C}" srcOrd="0" destOrd="0" presId="urn:microsoft.com/office/officeart/2008/layout/AlternatingHexagons"/>
    <dgm:cxn modelId="{91877139-9CDE-4309-898B-0698FAA7D125}" type="presOf" srcId="{A830D0EA-56A2-4D6D-A464-18B468181BA6}" destId="{24701F92-48F4-48F2-88F1-65EB1B3285FF}" srcOrd="0" destOrd="0" presId="urn:microsoft.com/office/officeart/2008/layout/AlternatingHexagons"/>
    <dgm:cxn modelId="{B151596D-118A-4BB7-875D-3D6B39A9E0EA}" srcId="{0BF0C660-B64B-4E3D-8DB9-17918AEFD7BA}" destId="{02E0F1CE-73CA-4211-B801-52FE7AD38914}" srcOrd="0" destOrd="0" parTransId="{B461EBEB-34C4-4738-88D6-28CEB93FCC33}" sibTransId="{24259A89-361E-492A-A15E-244CC41549C8}"/>
    <dgm:cxn modelId="{B78C330B-1E69-4503-AABB-59CA6F053397}" type="presOf" srcId="{02B3E45B-8694-45AF-B61E-AA0141FE3CB7}" destId="{36085C7A-9FAA-4112-A3F1-EEB836A8D6E4}" srcOrd="0" destOrd="0" presId="urn:microsoft.com/office/officeart/2008/layout/AlternatingHexagons"/>
    <dgm:cxn modelId="{8C291FFE-90ED-4CCF-82EB-1587A1BD482F}" type="presOf" srcId="{77798164-27A0-4DE1-B893-A37C3E5D894F}" destId="{4029FD58-393A-45FB-9816-2DB3F310FC96}" srcOrd="0" destOrd="0" presId="urn:microsoft.com/office/officeart/2008/layout/AlternatingHexagons"/>
    <dgm:cxn modelId="{8E43719C-A479-4594-93D1-EA1FB399A8C6}" type="presOf" srcId="{54C658C0-0816-4DF5-8995-2D7DA0C2EA92}" destId="{CE7D2D04-4AA8-4FAC-A621-2082D95BFA94}" srcOrd="0" destOrd="0" presId="urn:microsoft.com/office/officeart/2008/layout/AlternatingHexagons"/>
    <dgm:cxn modelId="{2594AD57-6466-4B22-BA24-5CC3160AC46D}" type="presOf" srcId="{0BF0C660-B64B-4E3D-8DB9-17918AEFD7BA}" destId="{AFBCA3DE-07E8-4FF4-88B9-67BB1B12E75B}" srcOrd="0" destOrd="0" presId="urn:microsoft.com/office/officeart/2008/layout/AlternatingHexagons"/>
    <dgm:cxn modelId="{6EA58817-9FE2-499E-9548-E222D82A35D9}" srcId="{27E898DB-2FE8-49F1-A744-B9A168F54917}" destId="{02B3E45B-8694-45AF-B61E-AA0141FE3CB7}" srcOrd="0" destOrd="0" parTransId="{078773BB-1CC6-4A82-9E6C-4DCE9CB7DE4F}" sibTransId="{A4B2FB30-B276-4B5A-A5F3-DBA1C74547EF}"/>
    <dgm:cxn modelId="{8506BEB5-7BFF-4B58-A173-8B51C4ED3F2C}" type="presOf" srcId="{09A0AB01-A1E2-4C7E-91EA-7D4898A57956}" destId="{E50CB3BF-1CC1-48F2-BA03-BA42A0B70154}" srcOrd="0" destOrd="0" presId="urn:microsoft.com/office/officeart/2008/layout/AlternatingHexagons"/>
    <dgm:cxn modelId="{ED534EA8-C1C0-4469-B7B8-4166085EEC70}" srcId="{27E898DB-2FE8-49F1-A744-B9A168F54917}" destId="{77798164-27A0-4DE1-B893-A37C3E5D894F}" srcOrd="1" destOrd="0" parTransId="{E9769C7B-57F8-4BA3-9D99-188709B20A7A}" sibTransId="{09A0AB01-A1E2-4C7E-91EA-7D4898A57956}"/>
    <dgm:cxn modelId="{EE4B097D-7C2D-43A8-8AF8-A232DB785C83}" srcId="{77798164-27A0-4DE1-B893-A37C3E5D894F}" destId="{54C658C0-0816-4DF5-8995-2D7DA0C2EA92}" srcOrd="0" destOrd="0" parTransId="{DDC32145-E678-4EC0-8800-63B935E2C527}" sibTransId="{E439D3D7-36D2-4DA6-8D65-3A96C8C01EBC}"/>
    <dgm:cxn modelId="{AE346B30-C4C7-441C-A183-6BDC7CB80486}" type="presOf" srcId="{A4B2FB30-B276-4B5A-A5F3-DBA1C74547EF}" destId="{AAAF7BD1-9410-4E40-A980-6F754675F83A}" srcOrd="0" destOrd="0" presId="urn:microsoft.com/office/officeart/2008/layout/AlternatingHexagons"/>
    <dgm:cxn modelId="{077D43E7-332A-42B5-817C-670418653FBB}" type="presOf" srcId="{2D4B0B33-8698-465C-90CE-D127AB5D5B8D}" destId="{CAA1A8D5-77DD-4B8D-923F-2DFE3E2B1F03}" srcOrd="0" destOrd="0" presId="urn:microsoft.com/office/officeart/2008/layout/AlternatingHexagons"/>
    <dgm:cxn modelId="{5B775311-0D8B-4FEC-AD12-2B45A43315DB}" srcId="{02B3E45B-8694-45AF-B61E-AA0141FE3CB7}" destId="{A830D0EA-56A2-4D6D-A464-18B468181BA6}" srcOrd="0" destOrd="0" parTransId="{66A0629D-7E37-452D-8CBC-AEE7CA00AA28}" sibTransId="{8B599422-8627-4436-9319-813875446D16}"/>
    <dgm:cxn modelId="{960F0BE3-0961-459D-A45F-5B37F242289B}" type="presParOf" srcId="{547E6CE8-0555-45FF-9C15-4CAA08CF086C}" destId="{DEB05CEE-FA82-47ED-AD85-A1011DAB10F9}" srcOrd="0" destOrd="0" presId="urn:microsoft.com/office/officeart/2008/layout/AlternatingHexagons"/>
    <dgm:cxn modelId="{7A34C858-71C8-4DBE-AE49-23F8A9FF6C8D}" type="presParOf" srcId="{DEB05CEE-FA82-47ED-AD85-A1011DAB10F9}" destId="{36085C7A-9FAA-4112-A3F1-EEB836A8D6E4}" srcOrd="0" destOrd="0" presId="urn:microsoft.com/office/officeart/2008/layout/AlternatingHexagons"/>
    <dgm:cxn modelId="{5AF133CD-1786-4A04-A4D5-F65E907B1AE9}" type="presParOf" srcId="{DEB05CEE-FA82-47ED-AD85-A1011DAB10F9}" destId="{24701F92-48F4-48F2-88F1-65EB1B3285FF}" srcOrd="1" destOrd="0" presId="urn:microsoft.com/office/officeart/2008/layout/AlternatingHexagons"/>
    <dgm:cxn modelId="{4DAE2855-4E6B-4AEE-9A75-2006D25E9F1B}" type="presParOf" srcId="{DEB05CEE-FA82-47ED-AD85-A1011DAB10F9}" destId="{FD54E2DB-5CCC-4509-B9A7-946E3D44E027}" srcOrd="2" destOrd="0" presId="urn:microsoft.com/office/officeart/2008/layout/AlternatingHexagons"/>
    <dgm:cxn modelId="{EE890B15-4980-470C-90D2-A97AAEF7176F}" type="presParOf" srcId="{DEB05CEE-FA82-47ED-AD85-A1011DAB10F9}" destId="{2C75C613-35C7-4066-9393-EA842896AE18}" srcOrd="3" destOrd="0" presId="urn:microsoft.com/office/officeart/2008/layout/AlternatingHexagons"/>
    <dgm:cxn modelId="{E2A3878E-2959-4654-9BFA-AF74D78031E6}" type="presParOf" srcId="{DEB05CEE-FA82-47ED-AD85-A1011DAB10F9}" destId="{AAAF7BD1-9410-4E40-A980-6F754675F83A}" srcOrd="4" destOrd="0" presId="urn:microsoft.com/office/officeart/2008/layout/AlternatingHexagons"/>
    <dgm:cxn modelId="{CC0BD953-8350-49E4-BD04-A578BEE5E660}" type="presParOf" srcId="{547E6CE8-0555-45FF-9C15-4CAA08CF086C}" destId="{7A75FE7C-EDBE-4879-93BF-B7D6A85A4072}" srcOrd="1" destOrd="0" presId="urn:microsoft.com/office/officeart/2008/layout/AlternatingHexagons"/>
    <dgm:cxn modelId="{E86DB69A-8F70-428E-A86E-6C60E09A1179}" type="presParOf" srcId="{547E6CE8-0555-45FF-9C15-4CAA08CF086C}" destId="{EE556DC5-3A46-42F3-8AC6-DC3183F15EE9}" srcOrd="2" destOrd="0" presId="urn:microsoft.com/office/officeart/2008/layout/AlternatingHexagons"/>
    <dgm:cxn modelId="{82CD3228-289E-480C-A722-B5F714F8F065}" type="presParOf" srcId="{EE556DC5-3A46-42F3-8AC6-DC3183F15EE9}" destId="{4029FD58-393A-45FB-9816-2DB3F310FC96}" srcOrd="0" destOrd="0" presId="urn:microsoft.com/office/officeart/2008/layout/AlternatingHexagons"/>
    <dgm:cxn modelId="{E448D0B5-B3B4-4BFC-9244-CBB2BCA97430}" type="presParOf" srcId="{EE556DC5-3A46-42F3-8AC6-DC3183F15EE9}" destId="{CE7D2D04-4AA8-4FAC-A621-2082D95BFA94}" srcOrd="1" destOrd="0" presId="urn:microsoft.com/office/officeart/2008/layout/AlternatingHexagons"/>
    <dgm:cxn modelId="{D7951133-0F5A-4BA6-8661-D47D746EB0D6}" type="presParOf" srcId="{EE556DC5-3A46-42F3-8AC6-DC3183F15EE9}" destId="{7E855B88-9C6D-4A9C-BE9A-400B49FC639D}" srcOrd="2" destOrd="0" presId="urn:microsoft.com/office/officeart/2008/layout/AlternatingHexagons"/>
    <dgm:cxn modelId="{671B09A9-BF80-40BC-8512-6B3DFA5BA805}" type="presParOf" srcId="{EE556DC5-3A46-42F3-8AC6-DC3183F15EE9}" destId="{11E59B22-D469-4B7E-9729-6C6B52A4B157}" srcOrd="3" destOrd="0" presId="urn:microsoft.com/office/officeart/2008/layout/AlternatingHexagons"/>
    <dgm:cxn modelId="{41B08053-E6A2-4E02-8363-BE526784C1CC}" type="presParOf" srcId="{EE556DC5-3A46-42F3-8AC6-DC3183F15EE9}" destId="{E50CB3BF-1CC1-48F2-BA03-BA42A0B70154}" srcOrd="4" destOrd="0" presId="urn:microsoft.com/office/officeart/2008/layout/AlternatingHexagons"/>
    <dgm:cxn modelId="{6CEF5B14-9B1E-4D72-B560-4C0413B014CC}" type="presParOf" srcId="{547E6CE8-0555-45FF-9C15-4CAA08CF086C}" destId="{9636C469-AB1C-4EAD-B0E7-16540222BA0D}" srcOrd="3" destOrd="0" presId="urn:microsoft.com/office/officeart/2008/layout/AlternatingHexagons"/>
    <dgm:cxn modelId="{EA824C8A-84B4-4C8E-802B-303380EB5864}" type="presParOf" srcId="{547E6CE8-0555-45FF-9C15-4CAA08CF086C}" destId="{8750FCFB-16C7-4450-889F-C2799770AE6F}" srcOrd="4" destOrd="0" presId="urn:microsoft.com/office/officeart/2008/layout/AlternatingHexagons"/>
    <dgm:cxn modelId="{21549246-A02C-4064-98F4-1C46FCF6AAB4}" type="presParOf" srcId="{8750FCFB-16C7-4450-889F-C2799770AE6F}" destId="{2576F9A3-CFF9-4F68-BC1C-EA5645B1D25E}" srcOrd="0" destOrd="0" presId="urn:microsoft.com/office/officeart/2008/layout/AlternatingHexagons"/>
    <dgm:cxn modelId="{53AD9DE7-38AF-4043-BDE6-4F393DF5BBA5}" type="presParOf" srcId="{8750FCFB-16C7-4450-889F-C2799770AE6F}" destId="{50CD103C-BB97-4EEE-9764-F0F70BA15318}" srcOrd="1" destOrd="0" presId="urn:microsoft.com/office/officeart/2008/layout/AlternatingHexagons"/>
    <dgm:cxn modelId="{F2A22B0B-6777-4D4E-9AB2-421C8BDECE64}" type="presParOf" srcId="{8750FCFB-16C7-4450-889F-C2799770AE6F}" destId="{9C32CD3A-BB54-4BF6-9D81-325171FB2BAD}" srcOrd="2" destOrd="0" presId="urn:microsoft.com/office/officeart/2008/layout/AlternatingHexagons"/>
    <dgm:cxn modelId="{9F164B4E-E655-4BD3-B053-645BD9DEE3F3}" type="presParOf" srcId="{8750FCFB-16C7-4450-889F-C2799770AE6F}" destId="{724E81AB-6C77-49DD-BAB1-20ADDB1AC2B6}" srcOrd="3" destOrd="0" presId="urn:microsoft.com/office/officeart/2008/layout/AlternatingHexagons"/>
    <dgm:cxn modelId="{94FE66DF-E3F7-4EA0-9B0C-0ADCE2AEDF68}" type="presParOf" srcId="{8750FCFB-16C7-4450-889F-C2799770AE6F}" destId="{CAA1A8D5-77DD-4B8D-923F-2DFE3E2B1F03}" srcOrd="4" destOrd="0" presId="urn:microsoft.com/office/officeart/2008/layout/AlternatingHexagons"/>
    <dgm:cxn modelId="{F6F1DEC4-5518-4A80-B6E2-9DC05C0183F9}" type="presParOf" srcId="{547E6CE8-0555-45FF-9C15-4CAA08CF086C}" destId="{95815C72-4111-402D-986B-25F3A5080200}" srcOrd="5" destOrd="0" presId="urn:microsoft.com/office/officeart/2008/layout/AlternatingHexagons"/>
    <dgm:cxn modelId="{12739C6E-285C-42EC-8C67-E1F2C47FCC71}" type="presParOf" srcId="{547E6CE8-0555-45FF-9C15-4CAA08CF086C}" destId="{F35770FC-028C-40AB-885A-C3087404DD0F}" srcOrd="6" destOrd="0" presId="urn:microsoft.com/office/officeart/2008/layout/AlternatingHexagons"/>
    <dgm:cxn modelId="{5FE4C77D-9464-4A77-9544-1C193FBE45C5}" type="presParOf" srcId="{F35770FC-028C-40AB-885A-C3087404DD0F}" destId="{AFBCA3DE-07E8-4FF4-88B9-67BB1B12E75B}" srcOrd="0" destOrd="0" presId="urn:microsoft.com/office/officeart/2008/layout/AlternatingHexagons"/>
    <dgm:cxn modelId="{96559182-A43A-4C6D-BD18-39EEAC7088D6}" type="presParOf" srcId="{F35770FC-028C-40AB-885A-C3087404DD0F}" destId="{B70B9EF7-8DEE-46F6-A037-17EE60E771B2}" srcOrd="1" destOrd="0" presId="urn:microsoft.com/office/officeart/2008/layout/AlternatingHexagons"/>
    <dgm:cxn modelId="{460F5793-251A-447E-B243-23CE4418DF33}" type="presParOf" srcId="{F35770FC-028C-40AB-885A-C3087404DD0F}" destId="{992D24E3-A804-4989-8C25-E5501E951D6D}" srcOrd="2" destOrd="0" presId="urn:microsoft.com/office/officeart/2008/layout/AlternatingHexagons"/>
    <dgm:cxn modelId="{C9FABCB5-C9E4-4011-B72D-0D4F474C1C50}" type="presParOf" srcId="{F35770FC-028C-40AB-885A-C3087404DD0F}" destId="{8A38E319-300A-44F6-B307-53D989E1DB5F}" srcOrd="3" destOrd="0" presId="urn:microsoft.com/office/officeart/2008/layout/AlternatingHexagons"/>
    <dgm:cxn modelId="{57CA4C48-BD50-434A-8D00-AF03F9468293}" type="presParOf" srcId="{F35770FC-028C-40AB-885A-C3087404DD0F}" destId="{76A97E1B-EE82-44E4-ACB8-40159B2DE958}" srcOrd="4" destOrd="0" presId="urn:microsoft.com/office/officeart/2008/layout/AlternatingHexagon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36085C7A-9FAA-4112-A3F1-EEB836A8D6E4}">
      <dsp:nvSpPr>
        <dsp:cNvPr id="0" name=""/>
        <dsp:cNvSpPr/>
      </dsp:nvSpPr>
      <dsp:spPr>
        <a:xfrm rot="5400000">
          <a:off x="2143186" y="110165"/>
          <a:ext cx="1407583" cy="1224597"/>
        </a:xfrm>
        <a:prstGeom prst="hexagon">
          <a:avLst>
            <a:gd name="adj" fmla="val 25000"/>
            <a:gd name="vf" fmla="val 115470"/>
          </a:avLst>
        </a:prstGeom>
        <a:gradFill rotWithShape="0">
          <a:gsLst>
            <a:gs pos="0">
              <a:schemeClr val="accent2">
                <a:hueOff val="0"/>
                <a:satOff val="0"/>
                <a:lumOff val="0"/>
                <a:alphaOff val="0"/>
                <a:tint val="92000"/>
                <a:satMod val="170000"/>
              </a:schemeClr>
            </a:gs>
            <a:gs pos="15000">
              <a:schemeClr val="accent2">
                <a:hueOff val="0"/>
                <a:satOff val="0"/>
                <a:lumOff val="0"/>
                <a:alphaOff val="0"/>
                <a:tint val="92000"/>
                <a:shade val="99000"/>
                <a:satMod val="170000"/>
              </a:schemeClr>
            </a:gs>
            <a:gs pos="62000">
              <a:schemeClr val="accent2">
                <a:hueOff val="0"/>
                <a:satOff val="0"/>
                <a:lumOff val="0"/>
                <a:alphaOff val="0"/>
                <a:tint val="96000"/>
                <a:shade val="80000"/>
                <a:satMod val="170000"/>
              </a:schemeClr>
            </a:gs>
            <a:gs pos="97000">
              <a:schemeClr val="accent2">
                <a:hueOff val="0"/>
                <a:satOff val="0"/>
                <a:lumOff val="0"/>
                <a:alphaOff val="0"/>
                <a:tint val="98000"/>
                <a:shade val="63000"/>
                <a:satMod val="170000"/>
              </a:schemeClr>
            </a:gs>
            <a:gs pos="100000">
              <a:schemeClr val="accent2">
                <a:hueOff val="0"/>
                <a:satOff val="0"/>
                <a:lumOff val="0"/>
                <a:alphaOff val="0"/>
                <a:shade val="62000"/>
                <a:satMod val="170000"/>
              </a:schemeClr>
            </a:gs>
          </a:gsLst>
          <a:path path="circle">
            <a:fillToRect l="50000" t="50000" r="50000" b="50000"/>
          </a:path>
        </a:gradFill>
        <a:ln>
          <a:noFill/>
        </a:ln>
        <a:effectLst>
          <a:outerShdw blurRad="63500" dist="25400" dir="5400000" rotWithShape="0">
            <a:srgbClr val="000000">
              <a:alpha val="43137"/>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n-US" sz="1100" kern="1200"/>
            <a:t>Author Dashboard</a:t>
          </a:r>
        </a:p>
      </dsp:txBody>
      <dsp:txXfrm rot="-5400000">
        <a:off x="2425512" y="238020"/>
        <a:ext cx="842931" cy="968887"/>
      </dsp:txXfrm>
    </dsp:sp>
    <dsp:sp modelId="{24701F92-48F4-48F2-88F1-65EB1B3285FF}">
      <dsp:nvSpPr>
        <dsp:cNvPr id="0" name=""/>
        <dsp:cNvSpPr/>
      </dsp:nvSpPr>
      <dsp:spPr>
        <a:xfrm>
          <a:off x="3496437" y="300189"/>
          <a:ext cx="1570863" cy="8445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l" defTabSz="488950">
            <a:lnSpc>
              <a:spcPct val="90000"/>
            </a:lnSpc>
            <a:spcBef>
              <a:spcPct val="0"/>
            </a:spcBef>
            <a:spcAft>
              <a:spcPct val="35000"/>
            </a:spcAft>
          </a:pPr>
          <a:r>
            <a:rPr lang="en-US" sz="1100" kern="1200"/>
            <a:t>Individual Author Rankings</a:t>
          </a:r>
        </a:p>
      </dsp:txBody>
      <dsp:txXfrm>
        <a:off x="3496437" y="300189"/>
        <a:ext cx="1570863" cy="844550"/>
      </dsp:txXfrm>
    </dsp:sp>
    <dsp:sp modelId="{AAAF7BD1-9410-4E40-A980-6F754675F83A}">
      <dsp:nvSpPr>
        <dsp:cNvPr id="0" name=""/>
        <dsp:cNvSpPr/>
      </dsp:nvSpPr>
      <dsp:spPr>
        <a:xfrm rot="5400000">
          <a:off x="820621" y="110165"/>
          <a:ext cx="1407583" cy="1224597"/>
        </a:xfrm>
        <a:prstGeom prst="hexagon">
          <a:avLst>
            <a:gd name="adj" fmla="val 25000"/>
            <a:gd name="vf" fmla="val 115470"/>
          </a:avLst>
        </a:prstGeom>
        <a:gradFill rotWithShape="0">
          <a:gsLst>
            <a:gs pos="0">
              <a:schemeClr val="accent3">
                <a:hueOff val="0"/>
                <a:satOff val="0"/>
                <a:lumOff val="0"/>
                <a:alphaOff val="0"/>
                <a:tint val="92000"/>
                <a:satMod val="170000"/>
              </a:schemeClr>
            </a:gs>
            <a:gs pos="15000">
              <a:schemeClr val="accent3">
                <a:hueOff val="0"/>
                <a:satOff val="0"/>
                <a:lumOff val="0"/>
                <a:alphaOff val="0"/>
                <a:tint val="92000"/>
                <a:shade val="99000"/>
                <a:satMod val="170000"/>
              </a:schemeClr>
            </a:gs>
            <a:gs pos="62000">
              <a:schemeClr val="accent3">
                <a:hueOff val="0"/>
                <a:satOff val="0"/>
                <a:lumOff val="0"/>
                <a:alphaOff val="0"/>
                <a:tint val="96000"/>
                <a:shade val="80000"/>
                <a:satMod val="170000"/>
              </a:schemeClr>
            </a:gs>
            <a:gs pos="97000">
              <a:schemeClr val="accent3">
                <a:hueOff val="0"/>
                <a:satOff val="0"/>
                <a:lumOff val="0"/>
                <a:alphaOff val="0"/>
                <a:tint val="98000"/>
                <a:shade val="63000"/>
                <a:satMod val="170000"/>
              </a:schemeClr>
            </a:gs>
            <a:gs pos="100000">
              <a:schemeClr val="accent3">
                <a:hueOff val="0"/>
                <a:satOff val="0"/>
                <a:lumOff val="0"/>
                <a:alphaOff val="0"/>
                <a:shade val="62000"/>
                <a:satMod val="170000"/>
              </a:schemeClr>
            </a:gs>
          </a:gsLst>
          <a:path path="circle">
            <a:fillToRect l="50000" t="50000" r="50000" b="50000"/>
          </a:path>
        </a:gradFill>
        <a:ln>
          <a:noFill/>
        </a:ln>
        <a:effectLst>
          <a:outerShdw blurRad="63500" dist="25400" dir="5400000" rotWithShape="0">
            <a:srgbClr val="000000">
              <a:alpha val="43137"/>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1102947" y="238020"/>
        <a:ext cx="842931" cy="968887"/>
      </dsp:txXfrm>
    </dsp:sp>
    <dsp:sp modelId="{4029FD58-393A-45FB-9816-2DB3F310FC96}">
      <dsp:nvSpPr>
        <dsp:cNvPr id="0" name=""/>
        <dsp:cNvSpPr/>
      </dsp:nvSpPr>
      <dsp:spPr>
        <a:xfrm rot="5400000">
          <a:off x="1479370" y="1304922"/>
          <a:ext cx="1407583" cy="1224597"/>
        </a:xfrm>
        <a:prstGeom prst="hexagon">
          <a:avLst>
            <a:gd name="adj" fmla="val 25000"/>
            <a:gd name="vf" fmla="val 115470"/>
          </a:avLst>
        </a:prstGeom>
        <a:gradFill rotWithShape="0">
          <a:gsLst>
            <a:gs pos="0">
              <a:schemeClr val="accent4">
                <a:hueOff val="0"/>
                <a:satOff val="0"/>
                <a:lumOff val="0"/>
                <a:alphaOff val="0"/>
                <a:tint val="92000"/>
                <a:satMod val="170000"/>
              </a:schemeClr>
            </a:gs>
            <a:gs pos="15000">
              <a:schemeClr val="accent4">
                <a:hueOff val="0"/>
                <a:satOff val="0"/>
                <a:lumOff val="0"/>
                <a:alphaOff val="0"/>
                <a:tint val="92000"/>
                <a:shade val="99000"/>
                <a:satMod val="170000"/>
              </a:schemeClr>
            </a:gs>
            <a:gs pos="62000">
              <a:schemeClr val="accent4">
                <a:hueOff val="0"/>
                <a:satOff val="0"/>
                <a:lumOff val="0"/>
                <a:alphaOff val="0"/>
                <a:tint val="96000"/>
                <a:shade val="80000"/>
                <a:satMod val="170000"/>
              </a:schemeClr>
            </a:gs>
            <a:gs pos="97000">
              <a:schemeClr val="accent4">
                <a:hueOff val="0"/>
                <a:satOff val="0"/>
                <a:lumOff val="0"/>
                <a:alphaOff val="0"/>
                <a:tint val="98000"/>
                <a:shade val="63000"/>
                <a:satMod val="170000"/>
              </a:schemeClr>
            </a:gs>
            <a:gs pos="100000">
              <a:schemeClr val="accent4">
                <a:hueOff val="0"/>
                <a:satOff val="0"/>
                <a:lumOff val="0"/>
                <a:alphaOff val="0"/>
                <a:shade val="62000"/>
                <a:satMod val="170000"/>
              </a:schemeClr>
            </a:gs>
          </a:gsLst>
          <a:path path="circle">
            <a:fillToRect l="50000" t="50000" r="50000" b="50000"/>
          </a:path>
        </a:gradFill>
        <a:ln>
          <a:noFill/>
        </a:ln>
        <a:effectLst>
          <a:outerShdw blurRad="63500" dist="25400" dir="5400000" rotWithShape="0">
            <a:srgbClr val="000000">
              <a:alpha val="43137"/>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n-US" sz="1100" kern="1200"/>
            <a:t>Summary Data</a:t>
          </a:r>
        </a:p>
      </dsp:txBody>
      <dsp:txXfrm rot="-5400000">
        <a:off x="1761696" y="1432777"/>
        <a:ext cx="842931" cy="968887"/>
      </dsp:txXfrm>
    </dsp:sp>
    <dsp:sp modelId="{CE7D2D04-4AA8-4FAC-A621-2082D95BFA94}">
      <dsp:nvSpPr>
        <dsp:cNvPr id="0" name=""/>
        <dsp:cNvSpPr/>
      </dsp:nvSpPr>
      <dsp:spPr>
        <a:xfrm>
          <a:off x="0" y="1494946"/>
          <a:ext cx="1520190" cy="8445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r" defTabSz="488950">
            <a:lnSpc>
              <a:spcPct val="90000"/>
            </a:lnSpc>
            <a:spcBef>
              <a:spcPct val="0"/>
            </a:spcBef>
            <a:spcAft>
              <a:spcPct val="35000"/>
            </a:spcAft>
          </a:pPr>
          <a:r>
            <a:rPr lang="en-US" sz="1100" kern="1200"/>
            <a:t>Aggregated Author Data</a:t>
          </a:r>
        </a:p>
      </dsp:txBody>
      <dsp:txXfrm>
        <a:off x="0" y="1494946"/>
        <a:ext cx="1520190" cy="844550"/>
      </dsp:txXfrm>
    </dsp:sp>
    <dsp:sp modelId="{E50CB3BF-1CC1-48F2-BA03-BA42A0B70154}">
      <dsp:nvSpPr>
        <dsp:cNvPr id="0" name=""/>
        <dsp:cNvSpPr/>
      </dsp:nvSpPr>
      <dsp:spPr>
        <a:xfrm rot="5400000">
          <a:off x="2801935" y="1304922"/>
          <a:ext cx="1407583" cy="1224597"/>
        </a:xfrm>
        <a:prstGeom prst="hexagon">
          <a:avLst>
            <a:gd name="adj" fmla="val 25000"/>
            <a:gd name="vf" fmla="val 115470"/>
          </a:avLst>
        </a:prstGeom>
        <a:gradFill rotWithShape="0">
          <a:gsLst>
            <a:gs pos="0">
              <a:schemeClr val="accent5">
                <a:hueOff val="0"/>
                <a:satOff val="0"/>
                <a:lumOff val="0"/>
                <a:alphaOff val="0"/>
                <a:tint val="92000"/>
                <a:satMod val="170000"/>
              </a:schemeClr>
            </a:gs>
            <a:gs pos="15000">
              <a:schemeClr val="accent5">
                <a:hueOff val="0"/>
                <a:satOff val="0"/>
                <a:lumOff val="0"/>
                <a:alphaOff val="0"/>
                <a:tint val="92000"/>
                <a:shade val="99000"/>
                <a:satMod val="170000"/>
              </a:schemeClr>
            </a:gs>
            <a:gs pos="62000">
              <a:schemeClr val="accent5">
                <a:hueOff val="0"/>
                <a:satOff val="0"/>
                <a:lumOff val="0"/>
                <a:alphaOff val="0"/>
                <a:tint val="96000"/>
                <a:shade val="80000"/>
                <a:satMod val="170000"/>
              </a:schemeClr>
            </a:gs>
            <a:gs pos="97000">
              <a:schemeClr val="accent5">
                <a:hueOff val="0"/>
                <a:satOff val="0"/>
                <a:lumOff val="0"/>
                <a:alphaOff val="0"/>
                <a:tint val="98000"/>
                <a:shade val="63000"/>
                <a:satMod val="170000"/>
              </a:schemeClr>
            </a:gs>
            <a:gs pos="100000">
              <a:schemeClr val="accent5">
                <a:hueOff val="0"/>
                <a:satOff val="0"/>
                <a:lumOff val="0"/>
                <a:alphaOff val="0"/>
                <a:shade val="62000"/>
                <a:satMod val="170000"/>
              </a:schemeClr>
            </a:gs>
          </a:gsLst>
          <a:path path="circle">
            <a:fillToRect l="50000" t="50000" r="50000" b="50000"/>
          </a:path>
        </a:gradFill>
        <a:ln>
          <a:noFill/>
        </a:ln>
        <a:effectLst>
          <a:outerShdw blurRad="63500" dist="25400" dir="5400000" rotWithShape="0">
            <a:srgbClr val="000000">
              <a:alpha val="43137"/>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3084261" y="1432777"/>
        <a:ext cx="842931" cy="968887"/>
      </dsp:txXfrm>
    </dsp:sp>
    <dsp:sp modelId="{2576F9A3-CFF9-4F68-BC1C-EA5645B1D25E}">
      <dsp:nvSpPr>
        <dsp:cNvPr id="0" name=""/>
        <dsp:cNvSpPr/>
      </dsp:nvSpPr>
      <dsp:spPr>
        <a:xfrm rot="5400000">
          <a:off x="2143186" y="2499679"/>
          <a:ext cx="1407583" cy="1224597"/>
        </a:xfrm>
        <a:prstGeom prst="hexagon">
          <a:avLst>
            <a:gd name="adj" fmla="val 25000"/>
            <a:gd name="vf" fmla="val 115470"/>
          </a:avLst>
        </a:prstGeom>
        <a:gradFill rotWithShape="0">
          <a:gsLst>
            <a:gs pos="0">
              <a:schemeClr val="accent6">
                <a:hueOff val="0"/>
                <a:satOff val="0"/>
                <a:lumOff val="0"/>
                <a:alphaOff val="0"/>
                <a:tint val="92000"/>
                <a:satMod val="170000"/>
              </a:schemeClr>
            </a:gs>
            <a:gs pos="15000">
              <a:schemeClr val="accent6">
                <a:hueOff val="0"/>
                <a:satOff val="0"/>
                <a:lumOff val="0"/>
                <a:alphaOff val="0"/>
                <a:tint val="92000"/>
                <a:shade val="99000"/>
                <a:satMod val="170000"/>
              </a:schemeClr>
            </a:gs>
            <a:gs pos="62000">
              <a:schemeClr val="accent6">
                <a:hueOff val="0"/>
                <a:satOff val="0"/>
                <a:lumOff val="0"/>
                <a:alphaOff val="0"/>
                <a:tint val="96000"/>
                <a:shade val="80000"/>
                <a:satMod val="170000"/>
              </a:schemeClr>
            </a:gs>
            <a:gs pos="97000">
              <a:schemeClr val="accent6">
                <a:hueOff val="0"/>
                <a:satOff val="0"/>
                <a:lumOff val="0"/>
                <a:alphaOff val="0"/>
                <a:tint val="98000"/>
                <a:shade val="63000"/>
                <a:satMod val="170000"/>
              </a:schemeClr>
            </a:gs>
            <a:gs pos="100000">
              <a:schemeClr val="accent6">
                <a:hueOff val="0"/>
                <a:satOff val="0"/>
                <a:lumOff val="0"/>
                <a:alphaOff val="0"/>
                <a:shade val="62000"/>
                <a:satMod val="170000"/>
              </a:schemeClr>
            </a:gs>
          </a:gsLst>
          <a:path path="circle">
            <a:fillToRect l="50000" t="50000" r="50000" b="50000"/>
          </a:path>
        </a:gradFill>
        <a:ln>
          <a:noFill/>
        </a:ln>
        <a:effectLst>
          <a:outerShdw blurRad="63500" dist="25400" dir="5400000" rotWithShape="0">
            <a:srgbClr val="000000">
              <a:alpha val="43137"/>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n-US" sz="1100" kern="1200"/>
            <a:t>Sales</a:t>
          </a:r>
        </a:p>
      </dsp:txBody>
      <dsp:txXfrm rot="-5400000">
        <a:off x="2425512" y="2627534"/>
        <a:ext cx="842931" cy="968887"/>
      </dsp:txXfrm>
    </dsp:sp>
    <dsp:sp modelId="{50CD103C-BB97-4EEE-9764-F0F70BA15318}">
      <dsp:nvSpPr>
        <dsp:cNvPr id="0" name=""/>
        <dsp:cNvSpPr/>
      </dsp:nvSpPr>
      <dsp:spPr>
        <a:xfrm>
          <a:off x="3496437" y="2689703"/>
          <a:ext cx="1570863" cy="8445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l" defTabSz="488950">
            <a:lnSpc>
              <a:spcPct val="90000"/>
            </a:lnSpc>
            <a:spcBef>
              <a:spcPct val="0"/>
            </a:spcBef>
            <a:spcAft>
              <a:spcPct val="35000"/>
            </a:spcAft>
          </a:pPr>
          <a:r>
            <a:rPr lang="en-US" sz="1100" kern="1200"/>
            <a:t>Raw Sales Data</a:t>
          </a:r>
        </a:p>
      </dsp:txBody>
      <dsp:txXfrm>
        <a:off x="3496437" y="2689703"/>
        <a:ext cx="1570863" cy="844550"/>
      </dsp:txXfrm>
    </dsp:sp>
    <dsp:sp modelId="{CAA1A8D5-77DD-4B8D-923F-2DFE3E2B1F03}">
      <dsp:nvSpPr>
        <dsp:cNvPr id="0" name=""/>
        <dsp:cNvSpPr/>
      </dsp:nvSpPr>
      <dsp:spPr>
        <a:xfrm rot="5400000">
          <a:off x="820621" y="2499679"/>
          <a:ext cx="1407583" cy="1224597"/>
        </a:xfrm>
        <a:prstGeom prst="hexagon">
          <a:avLst>
            <a:gd name="adj" fmla="val 25000"/>
            <a:gd name="vf" fmla="val 115470"/>
          </a:avLst>
        </a:prstGeom>
        <a:gradFill rotWithShape="0">
          <a:gsLst>
            <a:gs pos="0">
              <a:schemeClr val="accent2">
                <a:hueOff val="0"/>
                <a:satOff val="0"/>
                <a:lumOff val="0"/>
                <a:alphaOff val="0"/>
                <a:tint val="92000"/>
                <a:satMod val="170000"/>
              </a:schemeClr>
            </a:gs>
            <a:gs pos="15000">
              <a:schemeClr val="accent2">
                <a:hueOff val="0"/>
                <a:satOff val="0"/>
                <a:lumOff val="0"/>
                <a:alphaOff val="0"/>
                <a:tint val="92000"/>
                <a:shade val="99000"/>
                <a:satMod val="170000"/>
              </a:schemeClr>
            </a:gs>
            <a:gs pos="62000">
              <a:schemeClr val="accent2">
                <a:hueOff val="0"/>
                <a:satOff val="0"/>
                <a:lumOff val="0"/>
                <a:alphaOff val="0"/>
                <a:tint val="96000"/>
                <a:shade val="80000"/>
                <a:satMod val="170000"/>
              </a:schemeClr>
            </a:gs>
            <a:gs pos="97000">
              <a:schemeClr val="accent2">
                <a:hueOff val="0"/>
                <a:satOff val="0"/>
                <a:lumOff val="0"/>
                <a:alphaOff val="0"/>
                <a:tint val="98000"/>
                <a:shade val="63000"/>
                <a:satMod val="170000"/>
              </a:schemeClr>
            </a:gs>
            <a:gs pos="100000">
              <a:schemeClr val="accent2">
                <a:hueOff val="0"/>
                <a:satOff val="0"/>
                <a:lumOff val="0"/>
                <a:alphaOff val="0"/>
                <a:shade val="62000"/>
                <a:satMod val="170000"/>
              </a:schemeClr>
            </a:gs>
          </a:gsLst>
          <a:path path="circle">
            <a:fillToRect l="50000" t="50000" r="50000" b="50000"/>
          </a:path>
        </a:gradFill>
        <a:ln>
          <a:noFill/>
        </a:ln>
        <a:effectLst>
          <a:outerShdw blurRad="63500" dist="25400" dir="5400000" rotWithShape="0">
            <a:srgbClr val="000000">
              <a:alpha val="43137"/>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1102947" y="2627534"/>
        <a:ext cx="842931" cy="968887"/>
      </dsp:txXfrm>
    </dsp:sp>
    <dsp:sp modelId="{AFBCA3DE-07E8-4FF4-88B9-67BB1B12E75B}">
      <dsp:nvSpPr>
        <dsp:cNvPr id="0" name=""/>
        <dsp:cNvSpPr/>
      </dsp:nvSpPr>
      <dsp:spPr>
        <a:xfrm rot="5400000">
          <a:off x="1479370" y="3694436"/>
          <a:ext cx="1407583" cy="1224597"/>
        </a:xfrm>
        <a:prstGeom prst="hexagon">
          <a:avLst>
            <a:gd name="adj" fmla="val 25000"/>
            <a:gd name="vf" fmla="val 115470"/>
          </a:avLst>
        </a:prstGeom>
        <a:gradFill rotWithShape="0">
          <a:gsLst>
            <a:gs pos="0">
              <a:schemeClr val="accent3">
                <a:hueOff val="0"/>
                <a:satOff val="0"/>
                <a:lumOff val="0"/>
                <a:alphaOff val="0"/>
                <a:tint val="92000"/>
                <a:satMod val="170000"/>
              </a:schemeClr>
            </a:gs>
            <a:gs pos="15000">
              <a:schemeClr val="accent3">
                <a:hueOff val="0"/>
                <a:satOff val="0"/>
                <a:lumOff val="0"/>
                <a:alphaOff val="0"/>
                <a:tint val="92000"/>
                <a:shade val="99000"/>
                <a:satMod val="170000"/>
              </a:schemeClr>
            </a:gs>
            <a:gs pos="62000">
              <a:schemeClr val="accent3">
                <a:hueOff val="0"/>
                <a:satOff val="0"/>
                <a:lumOff val="0"/>
                <a:alphaOff val="0"/>
                <a:tint val="96000"/>
                <a:shade val="80000"/>
                <a:satMod val="170000"/>
              </a:schemeClr>
            </a:gs>
            <a:gs pos="97000">
              <a:schemeClr val="accent3">
                <a:hueOff val="0"/>
                <a:satOff val="0"/>
                <a:lumOff val="0"/>
                <a:alphaOff val="0"/>
                <a:tint val="98000"/>
                <a:shade val="63000"/>
                <a:satMod val="170000"/>
              </a:schemeClr>
            </a:gs>
            <a:gs pos="100000">
              <a:schemeClr val="accent3">
                <a:hueOff val="0"/>
                <a:satOff val="0"/>
                <a:lumOff val="0"/>
                <a:alphaOff val="0"/>
                <a:shade val="62000"/>
                <a:satMod val="170000"/>
              </a:schemeClr>
            </a:gs>
          </a:gsLst>
          <a:path path="circle">
            <a:fillToRect l="50000" t="50000" r="50000" b="50000"/>
          </a:path>
        </a:gradFill>
        <a:ln>
          <a:noFill/>
        </a:ln>
        <a:effectLst>
          <a:outerShdw blurRad="63500" dist="25400" dir="5400000" rotWithShape="0">
            <a:srgbClr val="000000">
              <a:alpha val="43137"/>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n-US" sz="1100" kern="1200"/>
            <a:t>Sales Dashboard</a:t>
          </a:r>
        </a:p>
      </dsp:txBody>
      <dsp:txXfrm rot="-5400000">
        <a:off x="1761696" y="3822291"/>
        <a:ext cx="842931" cy="968887"/>
      </dsp:txXfrm>
    </dsp:sp>
    <dsp:sp modelId="{B70B9EF7-8DEE-46F6-A037-17EE60E771B2}">
      <dsp:nvSpPr>
        <dsp:cNvPr id="0" name=""/>
        <dsp:cNvSpPr/>
      </dsp:nvSpPr>
      <dsp:spPr>
        <a:xfrm>
          <a:off x="0" y="3884460"/>
          <a:ext cx="1520190" cy="8445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r" defTabSz="488950">
            <a:lnSpc>
              <a:spcPct val="90000"/>
            </a:lnSpc>
            <a:spcBef>
              <a:spcPct val="0"/>
            </a:spcBef>
            <a:spcAft>
              <a:spcPct val="35000"/>
            </a:spcAft>
          </a:pPr>
          <a:r>
            <a:rPr lang="en-US" sz="1100" kern="1200"/>
            <a:t>Interactive Sales Data</a:t>
          </a:r>
        </a:p>
      </dsp:txBody>
      <dsp:txXfrm>
        <a:off x="0" y="3884460"/>
        <a:ext cx="1520190" cy="844550"/>
      </dsp:txXfrm>
    </dsp:sp>
    <dsp:sp modelId="{76A97E1B-EE82-44E4-ACB8-40159B2DE958}">
      <dsp:nvSpPr>
        <dsp:cNvPr id="0" name=""/>
        <dsp:cNvSpPr/>
      </dsp:nvSpPr>
      <dsp:spPr>
        <a:xfrm rot="5400000">
          <a:off x="2801935" y="3694436"/>
          <a:ext cx="1407583" cy="1224597"/>
        </a:xfrm>
        <a:prstGeom prst="hexagon">
          <a:avLst>
            <a:gd name="adj" fmla="val 25000"/>
            <a:gd name="vf" fmla="val 115470"/>
          </a:avLst>
        </a:prstGeom>
        <a:gradFill rotWithShape="0">
          <a:gsLst>
            <a:gs pos="0">
              <a:schemeClr val="accent4">
                <a:hueOff val="0"/>
                <a:satOff val="0"/>
                <a:lumOff val="0"/>
                <a:alphaOff val="0"/>
                <a:tint val="92000"/>
                <a:satMod val="170000"/>
              </a:schemeClr>
            </a:gs>
            <a:gs pos="15000">
              <a:schemeClr val="accent4">
                <a:hueOff val="0"/>
                <a:satOff val="0"/>
                <a:lumOff val="0"/>
                <a:alphaOff val="0"/>
                <a:tint val="92000"/>
                <a:shade val="99000"/>
                <a:satMod val="170000"/>
              </a:schemeClr>
            </a:gs>
            <a:gs pos="62000">
              <a:schemeClr val="accent4">
                <a:hueOff val="0"/>
                <a:satOff val="0"/>
                <a:lumOff val="0"/>
                <a:alphaOff val="0"/>
                <a:tint val="96000"/>
                <a:shade val="80000"/>
                <a:satMod val="170000"/>
              </a:schemeClr>
            </a:gs>
            <a:gs pos="97000">
              <a:schemeClr val="accent4">
                <a:hueOff val="0"/>
                <a:satOff val="0"/>
                <a:lumOff val="0"/>
                <a:alphaOff val="0"/>
                <a:tint val="98000"/>
                <a:shade val="63000"/>
                <a:satMod val="170000"/>
              </a:schemeClr>
            </a:gs>
            <a:gs pos="100000">
              <a:schemeClr val="accent4">
                <a:hueOff val="0"/>
                <a:satOff val="0"/>
                <a:lumOff val="0"/>
                <a:alphaOff val="0"/>
                <a:shade val="62000"/>
                <a:satMod val="170000"/>
              </a:schemeClr>
            </a:gs>
          </a:gsLst>
          <a:path path="circle">
            <a:fillToRect l="50000" t="50000" r="50000" b="50000"/>
          </a:path>
        </a:gradFill>
        <a:ln>
          <a:noFill/>
        </a:ln>
        <a:effectLst>
          <a:outerShdw blurRad="63500" dist="25400" dir="5400000" rotWithShape="0">
            <a:srgbClr val="000000">
              <a:alpha val="43137"/>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3084261" y="3822291"/>
        <a:ext cx="842931" cy="968887"/>
      </dsp:txXfrm>
    </dsp:sp>
  </dsp:spTree>
</dsp:drawing>
</file>

<file path=xl/diagrams/layout1.xml><?xml version="1.0" encoding="utf-8"?>
<dgm:layoutDef xmlns:dgm="http://schemas.openxmlformats.org/drawingml/2006/diagram" xmlns:a="http://schemas.openxmlformats.org/drawingml/2006/main" uniqueId="urn:microsoft.com/office/officeart/2008/layout/AlternatingHexagons">
  <dgm:title val=""/>
  <dgm:desc val=""/>
  <dgm:catLst>
    <dgm:cat type="list" pri="15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40" srcId="0" destId="10" srcOrd="0" destOrd="0"/>
        <dgm:cxn modelId="12" srcId="10" destId="11" srcOrd="0" destOrd="0"/>
        <dgm:cxn modelId="50" srcId="0" destId="20" srcOrd="1" destOrd="0"/>
        <dgm:cxn modelId="22" srcId="20" destId="21" srcOrd="0" destOrd="0"/>
        <dgm:cxn modelId="60" srcId="0" destId="30" srcOrd="1"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Name0">
    <dgm:varLst>
      <dgm:chMax/>
      <dgm:chPref/>
      <dgm:dir/>
      <dgm:animLvl val="lvl"/>
    </dgm:varLst>
    <dgm:alg type="lin">
      <dgm:param type="linDir" val="fromT"/>
    </dgm:alg>
    <dgm:shape xmlns:r="http://schemas.openxmlformats.org/officeDocument/2006/relationships" r:blip="">
      <dgm:adjLst/>
    </dgm:shape>
    <dgm:constrLst>
      <dgm:constr type="primFontSz" for="des" forName="Parent1" val="65"/>
      <dgm:constr type="primFontSz" for="des" forName="Childtext1" refType="primFontSz" refFor="des" refForName="Parent1" op="lte"/>
      <dgm:constr type="w" for="ch" forName="composite" refType="w"/>
      <dgm:constr type="h" for="ch" forName="composite" refType="h"/>
      <dgm:constr type="h" for="ch" forName="spaceBetweenRectangles" refType="w" refFor="ch" refForName="composite" fact="-0.042"/>
      <dgm:constr type="sp" refType="h" refFor="ch" refForName="composite" op="equ" fact="0.1"/>
    </dgm:constrLst>
    <dgm:forEach name="nodesForEach" axis="ch" ptType="node">
      <dgm:layoutNode name="composite">
        <dgm:alg type="composite">
          <dgm:param type="ar" val="3.6"/>
        </dgm:alg>
        <dgm:shape xmlns:r="http://schemas.openxmlformats.org/officeDocument/2006/relationships" r:blip="">
          <dgm:adjLst/>
        </dgm:shape>
        <dgm:choose name="Name1">
          <dgm:if name="Name2" func="var" arg="dir" op="equ" val="norm">
            <dgm:choose name="Name3">
              <dgm:if name="Name4" axis="self" ptType="node" func="posOdd" op="equ" val="1">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dgm:constr type="h" for="ch" forName="BalanceSpacing" refType="h" fact="0.1"/>
                  <dgm:constr type="l" for="ch" forName="BalanceSpacing1" refType="w" fact="0.69"/>
                  <dgm:constr type="t" for="ch" forName="BalanceSpacing1" refType="h" fact="0.2"/>
                  <dgm:constr type="w" for="ch" forName="BalanceSpacing1" refType="w" fact="0.31"/>
                  <dgm:constr type="h" for="ch" forName="BalanceSpacing1" refType="h" fact="0.6"/>
                </dgm:constrLst>
              </dgm:if>
              <dgm:else name="Name5">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 type="l" for="ch" forName="BalanceSpacing1" refType="w" fact="0"/>
                  <dgm:constr type="t" for="ch" forName="BalanceSpacing1" refType="h" fact="0.2"/>
                  <dgm:constr type="w" for="ch" forName="BalanceSpacing1" refType="w" fact="0.3"/>
                  <dgm:constr type="h" for="ch" forName="BalanceSpacing1" refType="h" fact="0.6"/>
                </dgm:constrLst>
              </dgm:else>
            </dgm:choose>
          </dgm:if>
          <dgm:else name="Name6">
            <dgm:choose name="Name7">
              <dgm:if name="Name8" axis="self" ptType="node" func="posOdd" op="equ" val="1">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Lst>
              </dgm:if>
              <dgm:else name="Name9">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fact="0.18"/>
                  <dgm:constr type="h" for="ch" forName="BalanceSpacing" refType="h"/>
                </dgm:constrLst>
              </dgm:else>
            </dgm:choose>
          </dgm:else>
        </dgm:choose>
        <dgm:layoutNode name="Parent1" styleLbl="node1">
          <dgm:varLst>
            <dgm:chMax val="1"/>
            <dgm:chPref val="1"/>
            <dgm:bulletEnabled val="1"/>
          </dgm:varLst>
          <dgm:alg type="tx"/>
          <dgm:shape xmlns:r="http://schemas.openxmlformats.org/officeDocument/2006/relationships" rot="90" type="hexagon" r:blip="">
            <dgm:adjLst>
              <dgm:adj idx="1" val="0.25"/>
              <dgm:adj idx="2" val="1.154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Childtext1" styleLbl="revTx">
          <dgm:varLst>
            <dgm:chMax val="0"/>
            <dgm:chPref val="0"/>
            <dgm:bulletEnabled val="1"/>
          </dgm:varLst>
          <dgm:choose name="Name10">
            <dgm:if name="Name11" func="var" arg="dir" op="equ" val="norm">
              <dgm:choose name="Name12">
                <dgm:if name="Name13" axis="self" ptType="node" func="posOdd" op="equ" val="1">
                  <dgm:alg type="tx">
                    <dgm:param type="parTxLTRAlign" val="l"/>
                  </dgm:alg>
                </dgm:if>
                <dgm:else name="Name14">
                  <dgm:alg type="tx">
                    <dgm:param type="parTxLTRAlign" val="r"/>
                  </dgm:alg>
                </dgm:else>
              </dgm:choose>
            </dgm:if>
            <dgm:else name="Name15">
              <dgm:choose name="Name16">
                <dgm:if name="Name17" axis="self" ptType="node" func="posOdd" op="equ" val="1">
                  <dgm:alg type="tx">
                    <dgm:param type="parTxLTRAlign" val="r"/>
                  </dgm:alg>
                </dgm:if>
                <dgm:else name="Name18">
                  <dgm:alg type="tx">
                    <dgm:param type="parTxLTRAlign" val="l"/>
                  </dgm:alg>
                </dgm:else>
              </dgm:choose>
            </dgm:else>
          </dgm:choose>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BalanceSpacing">
          <dgm:alg type="sp"/>
          <dgm:shape xmlns:r="http://schemas.openxmlformats.org/officeDocument/2006/relationships" r:blip="">
            <dgm:adjLst/>
          </dgm:shape>
        </dgm:layoutNode>
        <dgm:layoutNode name="BalanceSpacing1">
          <dgm:alg type="sp"/>
          <dgm:shape xmlns:r="http://schemas.openxmlformats.org/officeDocument/2006/relationships" r:blip="">
            <dgm:adjLst/>
          </dgm:shape>
        </dgm:layoutNode>
        <dgm:forEach name="Name19" axis="followSib" ptType="sibTrans" hideLastTrans="0" cnt="1">
          <dgm:layoutNode name="Accent1Text" styleLbl="node1">
            <dgm:alg type="tx"/>
            <dgm:shape xmlns:r="http://schemas.openxmlformats.org/officeDocument/2006/relationships" rot="90" type="hexagon" r:blip="">
              <dgm:adjLst>
                <dgm:adj idx="1" val="0.25"/>
                <dgm:adj idx="2" val="1.1547"/>
              </dgm:adjLst>
            </dgm:shape>
            <dgm:presOf axis="self" ptType="sibTrans"/>
            <dgm:constrLst>
              <dgm:constr type="lMarg"/>
              <dgm:constr type="rMarg"/>
              <dgm:constr type="tMarg"/>
              <dgm:constr type="bMarg"/>
            </dgm:constrLst>
            <dgm:ruleLst>
              <dgm:rule type="primFontSz" val="5" fact="NaN" max="NaN"/>
            </dgm:ruleLst>
          </dgm:layoutNode>
        </dgm:forEach>
      </dgm:layoutNode>
      <dgm:forEach name="Name20" axis="followSib" ptType="sibTrans" cnt="1">
        <dgm:layoutNode name="spaceBetweenRectangles">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hyperlink" Target="#'Author Dashboard'!A1"/><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image" Target="../media/image6.wmf"/><Relationship Id="rId2" Type="http://schemas.openxmlformats.org/officeDocument/2006/relationships/image" Target="../media/image5.jpeg"/><Relationship Id="rId1" Type="http://schemas.openxmlformats.org/officeDocument/2006/relationships/image" Target="../media/image4.wmf"/><Relationship Id="rId6" Type="http://schemas.openxmlformats.org/officeDocument/2006/relationships/image" Target="../media/image9.wmf"/><Relationship Id="rId5" Type="http://schemas.openxmlformats.org/officeDocument/2006/relationships/image" Target="../media/image8.png"/><Relationship Id="rId4" Type="http://schemas.openxmlformats.org/officeDocument/2006/relationships/image" Target="../media/image7.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95249</xdr:colOff>
      <xdr:row>0</xdr:row>
      <xdr:rowOff>95250</xdr:rowOff>
    </xdr:from>
    <xdr:to>
      <xdr:col>8</xdr:col>
      <xdr:colOff>285750</xdr:colOff>
      <xdr:row>26</xdr:row>
      <xdr:rowOff>171450</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3</xdr:col>
      <xdr:colOff>523875</xdr:colOff>
      <xdr:row>0</xdr:row>
      <xdr:rowOff>145923</xdr:rowOff>
    </xdr:from>
    <xdr:to>
      <xdr:col>5</xdr:col>
      <xdr:colOff>495299</xdr:colOff>
      <xdr:row>7</xdr:row>
      <xdr:rowOff>161925</xdr:rowOff>
    </xdr:to>
    <xdr:sp macro="" textlink="">
      <xdr:nvSpPr>
        <xdr:cNvPr id="8" name="Hexagon 7">
          <a:hlinkClick xmlns:r="http://schemas.openxmlformats.org/officeDocument/2006/relationships" r:id="rId6"/>
        </xdr:cNvPr>
        <xdr:cNvSpPr/>
      </xdr:nvSpPr>
      <xdr:spPr>
        <a:xfrm rot="5400000">
          <a:off x="2273236" y="225362"/>
          <a:ext cx="1349502" cy="1190624"/>
        </a:xfrm>
        <a:prstGeom prst="hexagon">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2</xdr:row>
          <xdr:rowOff>66675</xdr:rowOff>
        </xdr:from>
        <xdr:to>
          <xdr:col>2</xdr:col>
          <xdr:colOff>457200</xdr:colOff>
          <xdr:row>2</xdr:row>
          <xdr:rowOff>809625</xdr:rowOff>
        </xdr:to>
        <xdr:pic>
          <xdr:nvPicPr>
            <xdr:cNvPr id="2" name="Picture 1"/>
            <xdr:cNvPicPr>
              <a:picLocks noChangeAspect="1" noChangeArrowheads="1"/>
              <a:extLst>
                <a:ext uri="{84589F7E-364E-4C9E-8A38-B11213B215E9}">
                  <a14:cameraTool cellRange="FindAuthorPhoto" spid="_x0000_s7237"/>
                </a:ext>
              </a:extLst>
            </xdr:cNvPicPr>
          </xdr:nvPicPr>
          <xdr:blipFill>
            <a:blip xmlns:r="http://schemas.openxmlformats.org/officeDocument/2006/relationships" r:embed="rId1"/>
            <a:srcRect/>
            <a:stretch>
              <a:fillRect/>
            </a:stretch>
          </xdr:blipFill>
          <xdr:spPr bwMode="auto">
            <a:xfrm>
              <a:off x="209550" y="333375"/>
              <a:ext cx="1047750" cy="7429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4</xdr:col>
      <xdr:colOff>104774</xdr:colOff>
      <xdr:row>1</xdr:row>
      <xdr:rowOff>47625</xdr:rowOff>
    </xdr:from>
    <xdr:to>
      <xdr:col>7</xdr:col>
      <xdr:colOff>393192</xdr:colOff>
      <xdr:row>6</xdr:row>
      <xdr:rowOff>28575</xdr:rowOff>
    </xdr:to>
    <xdr:grpSp>
      <xdr:nvGrpSpPr>
        <xdr:cNvPr id="13" name="Group 12"/>
        <xdr:cNvGrpSpPr/>
      </xdr:nvGrpSpPr>
      <xdr:grpSpPr>
        <a:xfrm>
          <a:off x="1638299" y="133350"/>
          <a:ext cx="2041018" cy="1352550"/>
          <a:chOff x="10115549" y="981075"/>
          <a:chExt cx="1536193" cy="1371600"/>
        </a:xfrm>
      </xdr:grpSpPr>
      <xdr:sp macro="" textlink="$AA$3">
        <xdr:nvSpPr>
          <xdr:cNvPr id="10" name="Rounded Rectangle 9"/>
          <xdr:cNvSpPr/>
        </xdr:nvSpPr>
        <xdr:spPr>
          <a:xfrm>
            <a:off x="10115550" y="981075"/>
            <a:ext cx="1536192" cy="1371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nchorCtr="1"/>
          <a:lstStyle/>
          <a:p>
            <a:pPr algn="l"/>
            <a:fld id="{07255B4E-1930-4F1E-AFCE-9134CDE2C469}" type="TxLink">
              <a:rPr lang="en-US" sz="4400">
                <a:solidFill>
                  <a:schemeClr val="tx2"/>
                </a:solidFill>
              </a:rPr>
              <a:pPr algn="l"/>
              <a:t>25</a:t>
            </a:fld>
            <a:endParaRPr lang="en-US" sz="4400">
              <a:solidFill>
                <a:schemeClr val="tx2"/>
              </a:solidFill>
            </a:endParaRPr>
          </a:p>
        </xdr:txBody>
      </xdr:sp>
      <xdr:sp macro="" textlink="$AA$2">
        <xdr:nvSpPr>
          <xdr:cNvPr id="12" name="Rounded Rectangle 11"/>
          <xdr:cNvSpPr/>
        </xdr:nvSpPr>
        <xdr:spPr>
          <a:xfrm>
            <a:off x="10115549" y="981075"/>
            <a:ext cx="1533525" cy="457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fld id="{769F9450-D847-4E3A-9C17-CAE5A8CF8061}" type="TxLink">
              <a:rPr lang="en-US" sz="1100" b="1"/>
              <a:pPr algn="l"/>
              <a:t># of Books in Print</a:t>
            </a:fld>
            <a:endParaRPr lang="en-US" sz="1100" b="1"/>
          </a:p>
        </xdr:txBody>
      </xdr:sp>
    </xdr:grpSp>
    <xdr:clientData/>
  </xdr:twoCellAnchor>
  <xdr:twoCellAnchor>
    <xdr:from>
      <xdr:col>7</xdr:col>
      <xdr:colOff>542924</xdr:colOff>
      <xdr:row>1</xdr:row>
      <xdr:rowOff>57150</xdr:rowOff>
    </xdr:from>
    <xdr:to>
      <xdr:col>11</xdr:col>
      <xdr:colOff>59817</xdr:colOff>
      <xdr:row>6</xdr:row>
      <xdr:rowOff>38100</xdr:rowOff>
    </xdr:to>
    <xdr:grpSp>
      <xdr:nvGrpSpPr>
        <xdr:cNvPr id="14" name="Group 13"/>
        <xdr:cNvGrpSpPr/>
      </xdr:nvGrpSpPr>
      <xdr:grpSpPr>
        <a:xfrm>
          <a:off x="3829049" y="142875"/>
          <a:ext cx="2336293" cy="1352550"/>
          <a:chOff x="10115549" y="981075"/>
          <a:chExt cx="1536193" cy="1371600"/>
        </a:xfrm>
      </xdr:grpSpPr>
      <xdr:sp macro="" textlink="$AD$3">
        <xdr:nvSpPr>
          <xdr:cNvPr id="15" name="Rounded Rectangle 14"/>
          <xdr:cNvSpPr/>
        </xdr:nvSpPr>
        <xdr:spPr>
          <a:xfrm>
            <a:off x="10115550" y="981075"/>
            <a:ext cx="1536192" cy="13716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b" anchorCtr="1"/>
          <a:lstStyle/>
          <a:p>
            <a:pPr algn="l"/>
            <a:fld id="{6F7EE12E-78AA-47DA-83FB-D9E6F411598E}" type="TxLink">
              <a:rPr lang="en-US" sz="4400">
                <a:solidFill>
                  <a:schemeClr val="accent4">
                    <a:lumMod val="75000"/>
                  </a:schemeClr>
                </a:solidFill>
              </a:rPr>
              <a:pPr algn="l"/>
              <a:t>1</a:t>
            </a:fld>
            <a:endParaRPr lang="en-US" sz="4400">
              <a:solidFill>
                <a:schemeClr val="accent4">
                  <a:lumMod val="75000"/>
                </a:schemeClr>
              </a:solidFill>
            </a:endParaRPr>
          </a:p>
        </xdr:txBody>
      </xdr:sp>
      <xdr:sp macro="" textlink="$AD$2">
        <xdr:nvSpPr>
          <xdr:cNvPr id="16" name="Rounded Rectangle 15"/>
          <xdr:cNvSpPr/>
        </xdr:nvSpPr>
        <xdr:spPr>
          <a:xfrm>
            <a:off x="10115549" y="981075"/>
            <a:ext cx="1533525" cy="4572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1"/>
          <a:lstStyle/>
          <a:p>
            <a:pPr algn="l"/>
            <a:fld id="{179B6CF8-479A-4C55-B720-135B7A4B0768}" type="TxLink">
              <a:rPr lang="en-US" sz="1100" b="1"/>
              <a:pPr algn="l"/>
              <a:t>Years Under Contract</a:t>
            </a:fld>
            <a:endParaRPr lang="en-US" sz="1100" b="1"/>
          </a:p>
        </xdr:txBody>
      </xdr:sp>
    </xdr:grpSp>
    <xdr:clientData/>
  </xdr:twoCellAnchor>
  <xdr:twoCellAnchor>
    <xdr:from>
      <xdr:col>4</xdr:col>
      <xdr:colOff>66675</xdr:colOff>
      <xdr:row>7</xdr:row>
      <xdr:rowOff>9525</xdr:rowOff>
    </xdr:from>
    <xdr:to>
      <xdr:col>7</xdr:col>
      <xdr:colOff>355093</xdr:colOff>
      <xdr:row>16</xdr:row>
      <xdr:rowOff>95250</xdr:rowOff>
    </xdr:to>
    <xdr:grpSp>
      <xdr:nvGrpSpPr>
        <xdr:cNvPr id="17" name="Group 16"/>
        <xdr:cNvGrpSpPr/>
      </xdr:nvGrpSpPr>
      <xdr:grpSpPr>
        <a:xfrm>
          <a:off x="1600200" y="1647825"/>
          <a:ext cx="2041018" cy="1323975"/>
          <a:chOff x="10115549" y="981075"/>
          <a:chExt cx="1536193" cy="1371600"/>
        </a:xfrm>
      </xdr:grpSpPr>
      <xdr:sp macro="" textlink="$AG$6">
        <xdr:nvSpPr>
          <xdr:cNvPr id="18" name="Rounded Rectangle 17"/>
          <xdr:cNvSpPr/>
        </xdr:nvSpPr>
        <xdr:spPr>
          <a:xfrm>
            <a:off x="10115550" y="981075"/>
            <a:ext cx="1536192" cy="1371600"/>
          </a:xfrm>
          <a:prstGeom prst="roundRect">
            <a:avLst/>
          </a:prstGeom>
          <a:no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nchorCtr="1"/>
          <a:lstStyle/>
          <a:p>
            <a:pPr algn="l"/>
            <a:fld id="{C436525F-A49A-46F3-8C1A-A3D1322CB241}" type="TxLink">
              <a:rPr lang="en-US" sz="4400">
                <a:solidFill>
                  <a:schemeClr val="accent6">
                    <a:lumMod val="75000"/>
                  </a:schemeClr>
                </a:solidFill>
              </a:rPr>
              <a:pPr algn="l"/>
              <a:t>15%</a:t>
            </a:fld>
            <a:endParaRPr lang="en-US" sz="4400">
              <a:solidFill>
                <a:schemeClr val="accent6">
                  <a:lumMod val="75000"/>
                </a:schemeClr>
              </a:solidFill>
            </a:endParaRPr>
          </a:p>
        </xdr:txBody>
      </xdr:sp>
      <xdr:sp macro="" textlink="$AG$5">
        <xdr:nvSpPr>
          <xdr:cNvPr id="19" name="Rounded Rectangle 18"/>
          <xdr:cNvSpPr/>
        </xdr:nvSpPr>
        <xdr:spPr>
          <a:xfrm>
            <a:off x="10115549" y="981075"/>
            <a:ext cx="1533525" cy="4572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nchorCtr="1"/>
          <a:lstStyle/>
          <a:p>
            <a:pPr algn="l"/>
            <a:fld id="{26F687A2-7FF0-4F64-87F8-255D1CDA9425}" type="TxLink">
              <a:rPr lang="en-US" sz="1100" b="1"/>
              <a:pPr algn="l"/>
              <a:t>Royalty Rate</a:t>
            </a:fld>
            <a:endParaRPr lang="en-US" sz="1100" b="1"/>
          </a:p>
        </xdr:txBody>
      </xdr:sp>
    </xdr:grpSp>
    <xdr:clientData/>
  </xdr:twoCellAnchor>
  <xdr:twoCellAnchor>
    <xdr:from>
      <xdr:col>7</xdr:col>
      <xdr:colOff>571500</xdr:colOff>
      <xdr:row>7</xdr:row>
      <xdr:rowOff>28575</xdr:rowOff>
    </xdr:from>
    <xdr:to>
      <xdr:col>13</xdr:col>
      <xdr:colOff>412243</xdr:colOff>
      <xdr:row>17</xdr:row>
      <xdr:rowOff>123825</xdr:rowOff>
    </xdr:to>
    <xdr:grpSp>
      <xdr:nvGrpSpPr>
        <xdr:cNvPr id="27" name="Group 26"/>
        <xdr:cNvGrpSpPr/>
      </xdr:nvGrpSpPr>
      <xdr:grpSpPr>
        <a:xfrm>
          <a:off x="3857625" y="1666875"/>
          <a:ext cx="4336543" cy="1514475"/>
          <a:chOff x="13573125" y="3057525"/>
          <a:chExt cx="3079243" cy="1571625"/>
        </a:xfrm>
      </xdr:grpSpPr>
      <xdr:sp macro="" textlink="$AC$6">
        <xdr:nvSpPr>
          <xdr:cNvPr id="21" name="Rounded Rectangle 20"/>
          <xdr:cNvSpPr/>
        </xdr:nvSpPr>
        <xdr:spPr>
          <a:xfrm>
            <a:off x="13573126" y="3057525"/>
            <a:ext cx="1536192" cy="1562100"/>
          </a:xfrm>
          <a:prstGeom prst="roundRect">
            <a:avLst/>
          </a:prstGeom>
          <a:no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B56EAB07-ECEB-404A-B762-0679830150B0}" type="TxLink">
              <a:rPr lang="en-US" sz="4400">
                <a:solidFill>
                  <a:schemeClr val="accent3"/>
                </a:solidFill>
              </a:rPr>
              <a:pPr algn="l"/>
              <a:t>29</a:t>
            </a:fld>
            <a:endParaRPr lang="en-US" sz="4400">
              <a:solidFill>
                <a:schemeClr val="accent3"/>
              </a:solidFill>
            </a:endParaRPr>
          </a:p>
        </xdr:txBody>
      </xdr:sp>
      <xdr:sp macro="" textlink="$AC$12">
        <xdr:nvSpPr>
          <xdr:cNvPr id="24" name="Rounded Rectangle 23"/>
          <xdr:cNvSpPr/>
        </xdr:nvSpPr>
        <xdr:spPr>
          <a:xfrm>
            <a:off x="15116176" y="3067050"/>
            <a:ext cx="1536192" cy="1562100"/>
          </a:xfrm>
          <a:prstGeom prst="roundRect">
            <a:avLst/>
          </a:prstGeom>
          <a:no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86C0BDAC-9C3A-45D7-A714-4008647C4972}" type="TxLink">
              <a:rPr lang="en-US" sz="4400">
                <a:solidFill>
                  <a:schemeClr val="accent3"/>
                </a:solidFill>
              </a:rPr>
              <a:pPr algn="l"/>
              <a:t>28</a:t>
            </a:fld>
            <a:endParaRPr lang="en-US" sz="4400">
              <a:solidFill>
                <a:schemeClr val="accent3"/>
              </a:solidFill>
            </a:endParaRPr>
          </a:p>
        </xdr:txBody>
      </xdr:sp>
      <xdr:sp macro="" textlink="$AC$5">
        <xdr:nvSpPr>
          <xdr:cNvPr id="25" name="Rounded Rectangle 24"/>
          <xdr:cNvSpPr/>
        </xdr:nvSpPr>
        <xdr:spPr>
          <a:xfrm>
            <a:off x="13582650" y="3333750"/>
            <a:ext cx="1533525" cy="40957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5EACF02E-5E1D-4EDE-AF3E-F5C69C63A68B}" type="TxLink">
              <a:rPr lang="en-US" sz="1100" b="1"/>
              <a:pPr algn="l"/>
              <a:t>By Units</a:t>
            </a:fld>
            <a:endParaRPr lang="en-US" sz="1100" b="1"/>
          </a:p>
        </xdr:txBody>
      </xdr:sp>
      <xdr:sp macro="" textlink="$AC$11">
        <xdr:nvSpPr>
          <xdr:cNvPr id="26" name="Rounded Rectangle 25"/>
          <xdr:cNvSpPr/>
        </xdr:nvSpPr>
        <xdr:spPr>
          <a:xfrm>
            <a:off x="15116175" y="3333750"/>
            <a:ext cx="1533525" cy="40957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CDB09621-D33E-4362-8537-7C5BA68F0894}" type="TxLink">
              <a:rPr lang="en-US" sz="1100" b="1"/>
              <a:pPr algn="l"/>
              <a:t>By Income</a:t>
            </a:fld>
            <a:endParaRPr lang="en-US" sz="1100" b="1"/>
          </a:p>
        </xdr:txBody>
      </xdr:sp>
      <xdr:sp macro="" textlink="$AA$5">
        <xdr:nvSpPr>
          <xdr:cNvPr id="22" name="Rounded Rectangle 21"/>
          <xdr:cNvSpPr/>
        </xdr:nvSpPr>
        <xdr:spPr>
          <a:xfrm>
            <a:off x="13573125" y="3057525"/>
            <a:ext cx="3076575" cy="37147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1"/>
          <a:lstStyle/>
          <a:p>
            <a:pPr algn="l"/>
            <a:fld id="{FF674F03-27D7-45DF-A794-D781F4463CBD}" type="TxLink">
              <a:rPr lang="en-US" sz="1100" b="1"/>
              <a:pPr algn="l"/>
              <a:t>Sales Rank</a:t>
            </a:fld>
            <a:endParaRPr lang="en-US" sz="1100" b="1"/>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61912</xdr:colOff>
      <xdr:row>0</xdr:row>
      <xdr:rowOff>76200</xdr:rowOff>
    </xdr:from>
    <xdr:to>
      <xdr:col>4</xdr:col>
      <xdr:colOff>549592</xdr:colOff>
      <xdr:row>10</xdr:row>
      <xdr:rowOff>57150</xdr:rowOff>
    </xdr:to>
    <xdr:graphicFrame macro="">
      <xdr:nvGraphicFramePr>
        <xdr:cNvPr id="3" name="Percent of Total Sal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61912</xdr:colOff>
      <xdr:row>10</xdr:row>
      <xdr:rowOff>104775</xdr:rowOff>
    </xdr:from>
    <xdr:to>
      <xdr:col>4</xdr:col>
      <xdr:colOff>549592</xdr:colOff>
      <xdr:row>22</xdr:row>
      <xdr:rowOff>0</xdr:rowOff>
    </xdr:to>
    <xdr:graphicFrame macro="">
      <xdr:nvGraphicFramePr>
        <xdr:cNvPr id="4" name="Total Sales by Genr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0</xdr:row>
      <xdr:rowOff>76200</xdr:rowOff>
    </xdr:from>
    <xdr:to>
      <xdr:col>12</xdr:col>
      <xdr:colOff>136207</xdr:colOff>
      <xdr:row>10</xdr:row>
      <xdr:rowOff>57150</xdr:rowOff>
    </xdr:to>
    <xdr:graphicFrame macro="">
      <xdr:nvGraphicFramePr>
        <xdr:cNvPr id="7" name="Total Sales by Forma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10</xdr:row>
      <xdr:rowOff>104775</xdr:rowOff>
    </xdr:from>
    <xdr:to>
      <xdr:col>12</xdr:col>
      <xdr:colOff>136207</xdr:colOff>
      <xdr:row>22</xdr:row>
      <xdr:rowOff>0</xdr:rowOff>
    </xdr:to>
    <xdr:graphicFrame macro="">
      <xdr:nvGraphicFramePr>
        <xdr:cNvPr id="11" name="Unit Sales by F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57151</xdr:colOff>
      <xdr:row>22</xdr:row>
      <xdr:rowOff>114300</xdr:rowOff>
    </xdr:from>
    <xdr:to>
      <xdr:col>12</xdr:col>
      <xdr:colOff>161925</xdr:colOff>
      <xdr:row>47</xdr:row>
      <xdr:rowOff>142875</xdr:rowOff>
    </xdr:to>
    <xdr:graphicFrame macro="">
      <xdr:nvGraphicFramePr>
        <xdr:cNvPr id="10" name="Unit Sales by F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304799</xdr:colOff>
      <xdr:row>0</xdr:row>
      <xdr:rowOff>85725</xdr:rowOff>
    </xdr:from>
    <xdr:to>
      <xdr:col>20</xdr:col>
      <xdr:colOff>466724</xdr:colOff>
      <xdr:row>6</xdr:row>
      <xdr:rowOff>142875</xdr:rowOff>
    </xdr:to>
    <mc:AlternateContent xmlns:mc="http://schemas.openxmlformats.org/markup-compatibility/2006" xmlns:a14="http://schemas.microsoft.com/office/drawing/2010/main">
      <mc:Choice Requires="a14">
        <xdr:graphicFrame macro="">
          <xdr:nvGraphicFramePr>
            <xdr:cNvPr id="13" name="Genre"/>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1277599" y="85725"/>
              <a:ext cx="1838325"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371475</xdr:colOff>
      <xdr:row>0</xdr:row>
      <xdr:rowOff>76201</xdr:rowOff>
    </xdr:from>
    <xdr:to>
      <xdr:col>23</xdr:col>
      <xdr:colOff>523875</xdr:colOff>
      <xdr:row>6</xdr:row>
      <xdr:rowOff>123826</xdr:rowOff>
    </xdr:to>
    <mc:AlternateContent xmlns:mc="http://schemas.openxmlformats.org/markup-compatibility/2006" xmlns:a14="http://schemas.microsoft.com/office/drawing/2010/main">
      <mc:Choice Requires="a14">
        <xdr:graphicFrame macro="">
          <xdr:nvGraphicFramePr>
            <xdr:cNvPr id="14" name="Market"/>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13173075" y="762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295275</xdr:colOff>
      <xdr:row>6</xdr:row>
      <xdr:rowOff>152401</xdr:rowOff>
    </xdr:from>
    <xdr:to>
      <xdr:col>20</xdr:col>
      <xdr:colOff>466725</xdr:colOff>
      <xdr:row>11</xdr:row>
      <xdr:rowOff>114301</xdr:rowOff>
    </xdr:to>
    <mc:AlternateContent xmlns:mc="http://schemas.openxmlformats.org/markup-compatibility/2006" xmlns:a14="http://schemas.microsoft.com/office/drawing/2010/main">
      <mc:Choice Requires="a14">
        <xdr:graphicFrame macro="">
          <xdr:nvGraphicFramePr>
            <xdr:cNvPr id="15" name="Format"/>
            <xdr:cNvGraphicFramePr/>
          </xdr:nvGraphicFramePr>
          <xdr:xfrm>
            <a:off x="0" y="0"/>
            <a:ext cx="0" cy="0"/>
          </xdr:xfrm>
          <a:graphic>
            <a:graphicData uri="http://schemas.microsoft.com/office/drawing/2010/slicer">
              <sle:slicer xmlns:sle="http://schemas.microsoft.com/office/drawing/2010/slicer" name="Format"/>
            </a:graphicData>
          </a:graphic>
        </xdr:graphicFrame>
      </mc:Choice>
      <mc:Fallback xmlns="">
        <xdr:sp macro="" textlink="">
          <xdr:nvSpPr>
            <xdr:cNvPr id="0" name=""/>
            <xdr:cNvSpPr>
              <a:spLocks noTextEdit="1"/>
            </xdr:cNvSpPr>
          </xdr:nvSpPr>
          <xdr:spPr>
            <a:xfrm>
              <a:off x="11268075" y="1600201"/>
              <a:ext cx="184785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209550</xdr:colOff>
      <xdr:row>0</xdr:row>
      <xdr:rowOff>85725</xdr:rowOff>
    </xdr:from>
    <xdr:to>
      <xdr:col>14</xdr:col>
      <xdr:colOff>333375</xdr:colOff>
      <xdr:row>11</xdr:row>
      <xdr:rowOff>152400</xdr:rowOff>
    </xdr:to>
    <mc:AlternateContent xmlns:mc="http://schemas.openxmlformats.org/markup-compatibility/2006" xmlns:a14="http://schemas.microsoft.com/office/drawing/2010/main">
      <mc:Choice Requires="a14">
        <xdr:graphicFrame macro="">
          <xdr:nvGraphicFramePr>
            <xdr:cNvPr id="16" name="Autho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mlns="">
        <xdr:sp macro="" textlink="">
          <xdr:nvSpPr>
            <xdr:cNvPr id="0" name=""/>
            <xdr:cNvSpPr>
              <a:spLocks noTextEdit="1"/>
            </xdr:cNvSpPr>
          </xdr:nvSpPr>
          <xdr:spPr>
            <a:xfrm>
              <a:off x="7524750" y="85725"/>
              <a:ext cx="1800225" cy="2495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238125</xdr:colOff>
      <xdr:row>0</xdr:row>
      <xdr:rowOff>85724</xdr:rowOff>
    </xdr:from>
    <xdr:to>
      <xdr:col>17</xdr:col>
      <xdr:colOff>409575</xdr:colOff>
      <xdr:row>11</xdr:row>
      <xdr:rowOff>161924</xdr:rowOff>
    </xdr:to>
    <mc:AlternateContent xmlns:mc="http://schemas.openxmlformats.org/markup-compatibility/2006" xmlns:a14="http://schemas.microsoft.com/office/drawing/2010/main">
      <mc:Choice Requires="a14">
        <xdr:graphicFrame macro="">
          <xdr:nvGraphicFramePr>
            <xdr:cNvPr id="17" name="Title"/>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mlns="">
        <xdr:sp macro="" textlink="">
          <xdr:nvSpPr>
            <xdr:cNvPr id="0" name=""/>
            <xdr:cNvSpPr>
              <a:spLocks noTextEdit="1"/>
            </xdr:cNvSpPr>
          </xdr:nvSpPr>
          <xdr:spPr>
            <a:xfrm>
              <a:off x="9382125" y="85724"/>
              <a:ext cx="1847850" cy="25050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12</xdr:col>
      <xdr:colOff>209549</xdr:colOff>
      <xdr:row>11</xdr:row>
      <xdr:rowOff>104774</xdr:rowOff>
    </xdr:from>
    <xdr:to>
      <xdr:col>24</xdr:col>
      <xdr:colOff>390524</xdr:colOff>
      <xdr:row>28</xdr:row>
      <xdr:rowOff>76198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161925</xdr:colOff>
      <xdr:row>0</xdr:row>
      <xdr:rowOff>123825</xdr:rowOff>
    </xdr:from>
    <xdr:to>
      <xdr:col>1</xdr:col>
      <xdr:colOff>610636</xdr:colOff>
      <xdr:row>0</xdr:row>
      <xdr:rowOff>704849</xdr:rowOff>
    </xdr:to>
    <xdr:pic>
      <xdr:nvPicPr>
        <xdr:cNvPr id="12" name="Picture 11" descr="C:\Users\User\AppData\Local\Microsoft\Windows\Temporary Internet Files\Content.IE5\U7INE3IM\MC900370384[1].wm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 y="123825"/>
          <a:ext cx="448711" cy="581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85725</xdr:colOff>
      <xdr:row>1</xdr:row>
      <xdr:rowOff>76200</xdr:rowOff>
    </xdr:from>
    <xdr:to>
      <xdr:col>1</xdr:col>
      <xdr:colOff>670941</xdr:colOff>
      <xdr:row>1</xdr:row>
      <xdr:rowOff>661416</xdr:rowOff>
    </xdr:to>
    <xdr:pic>
      <xdr:nvPicPr>
        <xdr:cNvPr id="14" name="Picture 13" descr="C:\Users\User\AppData\Local\Microsoft\Windows\Temporary Internet Files\Content.IE5\LP763N8V\MC900433204[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52625" y="885825"/>
          <a:ext cx="585216" cy="585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76202</xdr:colOff>
      <xdr:row>2</xdr:row>
      <xdr:rowOff>66675</xdr:rowOff>
    </xdr:from>
    <xdr:to>
      <xdr:col>1</xdr:col>
      <xdr:colOff>668390</xdr:colOff>
      <xdr:row>2</xdr:row>
      <xdr:rowOff>628650</xdr:rowOff>
    </xdr:to>
    <xdr:pic>
      <xdr:nvPicPr>
        <xdr:cNvPr id="15" name="Picture 14" descr="C:\Program Files (x86)\Microsoft Office\MEDIA\CAGCAT10\j0292020.wm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43102" y="1638300"/>
          <a:ext cx="592188"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3</xdr:row>
      <xdr:rowOff>133350</xdr:rowOff>
    </xdr:from>
    <xdr:to>
      <xdr:col>1</xdr:col>
      <xdr:colOff>574893</xdr:colOff>
      <xdr:row>3</xdr:row>
      <xdr:rowOff>718566</xdr:rowOff>
    </xdr:to>
    <xdr:pic>
      <xdr:nvPicPr>
        <xdr:cNvPr id="20" name="Picture 19" descr="C:\Users\User\AppData\Local\Microsoft\Windows\Temporary Internet Files\Content.IE5\U651FA2K\MC900195382[1].wm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009775" y="2428875"/>
          <a:ext cx="432018" cy="585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152400</xdr:colOff>
      <xdr:row>4</xdr:row>
      <xdr:rowOff>85725</xdr:rowOff>
    </xdr:from>
    <xdr:to>
      <xdr:col>1</xdr:col>
      <xdr:colOff>609864</xdr:colOff>
      <xdr:row>4</xdr:row>
      <xdr:rowOff>670941</xdr:rowOff>
    </xdr:to>
    <xdr:pic>
      <xdr:nvPicPr>
        <xdr:cNvPr id="6" name="Pictur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19300" y="3171825"/>
          <a:ext cx="457464" cy="585216"/>
        </a:xfrm>
        <a:prstGeom prst="rect">
          <a:avLst/>
        </a:prstGeom>
      </xdr:spPr>
    </xdr:pic>
    <xdr:clientData/>
  </xdr:twoCellAnchor>
  <xdr:twoCellAnchor editAs="oneCell">
    <xdr:from>
      <xdr:col>1</xdr:col>
      <xdr:colOff>238125</xdr:colOff>
      <xdr:row>5</xdr:row>
      <xdr:rowOff>228600</xdr:rowOff>
    </xdr:from>
    <xdr:to>
      <xdr:col>1</xdr:col>
      <xdr:colOff>491329</xdr:colOff>
      <xdr:row>5</xdr:row>
      <xdr:rowOff>539496</xdr:rowOff>
    </xdr:to>
    <xdr:pic>
      <xdr:nvPicPr>
        <xdr:cNvPr id="21" name="Picture 20" descr="C:\Users\User\AppData\Local\Microsoft\Windows\Temporary Internet Files\Content.IE5\LP763N8V\MC900311782[1].wmf"/>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105025" y="3943350"/>
          <a:ext cx="253204" cy="310896"/>
        </a:xfrm>
        <a:prstGeom prst="rect">
          <a:avLst/>
        </a:prstGeom>
        <a:ln w="228600" cap="sq" cmpd="thickThin">
          <a:solidFill>
            <a:srgbClr val="FF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nce" refreshedDate="41092.502952314811" createdVersion="4" refreshedVersion="4" minRefreshableVersion="3" recordCount="434">
  <cacheSource type="worksheet">
    <worksheetSource name="tblSalesData"/>
  </cacheSource>
  <cacheFields count="21">
    <cacheField name="Author" numFmtId="0">
      <sharedItems containsSemiMixedTypes="0" containsString="0" containsNumber="1" containsInteger="1" minValue="1005" maxValue="1067" count="29">
        <n v="1005"/>
        <n v="1006"/>
        <n v="1008"/>
        <n v="1011"/>
        <n v="1012"/>
        <n v="1013"/>
        <n v="1014"/>
        <n v="1015"/>
        <n v="1016"/>
        <n v="1017"/>
        <n v="1029"/>
        <n v="1032"/>
        <n v="1033"/>
        <n v="1034"/>
        <n v="1037"/>
        <n v="1038"/>
        <n v="1039"/>
        <n v="1040"/>
        <n v="1042"/>
        <n v="1048"/>
        <n v="1049"/>
        <n v="1055"/>
        <n v="1056"/>
        <n v="1057"/>
        <n v="1062"/>
        <n v="1063"/>
        <n v="1065"/>
        <n v="1066"/>
        <n v="1067"/>
      </sharedItems>
    </cacheField>
    <cacheField name="Title" numFmtId="49">
      <sharedItems count="342">
        <s v="BookTitle0001"/>
        <s v="BookTitle0002"/>
        <s v="BookTitle0003"/>
        <s v="BookTitle0004"/>
        <s v="BookTitle0005"/>
        <s v="BookTitle0006"/>
        <s v="BookTitle0007"/>
        <s v="BookTitle0008"/>
        <s v="BookTitle0009"/>
        <s v="BookTitle0010"/>
        <s v="BookTitle0011"/>
        <s v="BookTitle0012"/>
        <s v="BookTitle0013"/>
        <s v="BookTitle0014"/>
        <s v="BookTitle0015"/>
        <s v="BookTitle0016"/>
        <s v="BookTitle0017"/>
        <s v="BookTitle0018"/>
        <s v="BookTitle0019"/>
        <s v="BookTitle0020"/>
        <s v="BookTitle0021"/>
        <s v="BookTitle0022"/>
        <s v="BookTitle0023"/>
        <s v="BookTitle0024"/>
        <s v="BookTitle0025"/>
        <s v="BookTitle0026"/>
        <s v="BookTitle0029"/>
        <s v="BookTitle0030"/>
        <s v="BookTitle0031"/>
        <s v="BookTitle0035"/>
        <s v="BookTitle0036"/>
        <s v="BookTitle0037"/>
        <s v="BookTitle0038"/>
        <s v="BookTitle0039"/>
        <s v="BookTitle0040"/>
        <s v="BookTitle0041"/>
        <s v="BookTitle0042"/>
        <s v="BookTitle0043"/>
        <s v="BookTitle0050"/>
        <s v="BookTitle0051"/>
        <s v="BookTitle0052"/>
        <s v="BookTitle0053"/>
        <s v="BookTitle0055"/>
        <s v="BookTitle0056"/>
        <s v="BookTitle0057"/>
        <s v="BookTitle0058"/>
        <s v="BookTitle0059"/>
        <s v="BookTitle0062"/>
        <s v="BookTitle0063"/>
        <s v="BookTitle0067"/>
        <s v="BookTitle0068"/>
        <s v="BookTitle0069"/>
        <s v="BookTitle0070"/>
        <s v="BookTitle0071"/>
        <s v="BookTitle0072"/>
        <s v="BookTitle0073"/>
        <s v="BookTitle0074"/>
        <s v="BookTitle0075"/>
        <s v="BookTitle0076"/>
        <s v="BookTitle0077"/>
        <s v="BookTitle0078"/>
        <s v="BookTitle0079"/>
        <s v="BookTitle0080"/>
        <s v="BookTitle0081"/>
        <s v="BookTitle0082"/>
        <s v="BookTitle0083"/>
        <s v="BookTitle0084"/>
        <s v="BookTitle0085"/>
        <s v="BookTitle0086"/>
        <s v="BookTitle0087"/>
        <s v="BookTitle0088"/>
        <s v="BookTitle0089"/>
        <s v="BookTitle0090"/>
        <s v="BookTitle0091"/>
        <s v="BookTitle0092"/>
        <s v="BookTitle0093"/>
        <s v="BookTitle0094"/>
        <s v="BookTitle0095"/>
        <s v="BookTitle0096"/>
        <s v="BookTitle0097"/>
        <s v="BookTitle0102"/>
        <s v="BookTitle0104"/>
        <s v="BookTitle0105"/>
        <s v="BookTitle0106"/>
        <s v="BookTitle0109"/>
        <s v="BookTitle0110"/>
        <s v="BookTitle0113"/>
        <s v="BookTitle0114"/>
        <s v="BookTitle0115"/>
        <s v="BookTitle0116"/>
        <s v="BookTitle0117"/>
        <s v="BookTitle0118"/>
        <s v="BookTitle0119"/>
        <s v="BookTitle0120"/>
        <s v="BookTitle0121"/>
        <s v="BookTitle0122"/>
        <s v="BookTitle0123"/>
        <s v="BookTitle0124"/>
        <s v="BookTitle0125"/>
        <s v="BookTitle0126"/>
        <s v="BookTitle0127"/>
        <s v="BookTitle0128"/>
        <s v="BookTitle0129"/>
        <s v="BookTitle0130"/>
        <s v="BookTitle0131"/>
        <s v="BookTitle0132"/>
        <s v="BookTitle0133"/>
        <s v="BookTitle0134"/>
        <s v="BookTitle0135"/>
        <s v="BookTitle0140"/>
        <s v="BookTitle0141"/>
        <s v="BookTitle0142"/>
        <s v="BookTitle0145"/>
        <s v="BookTitle0146"/>
        <s v="BookTitle0147"/>
        <s v="BookTitle0148"/>
        <s v="BookTitle0149"/>
        <s v="BookTitle0150"/>
        <s v="BookTitle0151"/>
        <s v="BookTitle0152"/>
        <s v="BookTitle0153"/>
        <s v="BookTitle0154"/>
        <s v="BookTitle0155"/>
        <s v="BookTitle0156"/>
        <s v="BookTitle0157"/>
        <s v="BookTitle0158"/>
        <s v="BookTitle0159"/>
        <s v="BookTitle0160"/>
        <s v="BookTitle0161"/>
        <s v="BookTitle0162"/>
        <s v="BookTitle0163"/>
        <s v="BookTitle0164"/>
        <s v="BookTitle0165"/>
        <s v="BookTitle0166"/>
        <s v="BookTitle0167"/>
        <s v="BookTitle0168"/>
        <s v="BookTitle0169"/>
        <s v="BookTitle0170"/>
        <s v="BookTitle0171"/>
        <s v="BookTitle0172"/>
        <s v="BookTitle0173"/>
        <s v="BookTitle0177"/>
        <s v="BookTitle0178"/>
        <s v="BookTitle0179"/>
        <s v="BookTitle0185"/>
        <s v="BookTitle0186"/>
        <s v="BookTitle0187"/>
        <s v="BookTitle0188"/>
        <s v="BookTitle0193"/>
        <s v="BookTitle0194"/>
        <s v="BookTitle0195"/>
        <s v="BookTitle0196"/>
        <s v="BookTitle0197"/>
        <s v="BookTitle0203"/>
        <s v="BookTitle0204"/>
        <s v="BookTitle0205"/>
        <s v="BookTitle0207"/>
        <s v="BookTitle0208"/>
        <s v="BookTitle0209"/>
        <s v="BookTitle0210"/>
        <s v="BookTitle0211"/>
        <s v="BookTitle0212"/>
        <s v="BookTitle0213"/>
        <s v="BookTitle0214"/>
        <s v="BookTitle0215"/>
        <s v="BookTitle0216"/>
        <s v="BookTitle0217"/>
        <s v="BookTitle0218"/>
        <s v="BookTitle0219"/>
        <s v="BookTitle0220"/>
        <s v="BookTitle0221"/>
        <s v="BookTitle0222"/>
        <s v="BookTitle0225"/>
        <s v="BookTitle0226"/>
        <s v="BookTitle0227"/>
        <s v="BookTitle0228"/>
        <s v="BookTitle0229"/>
        <s v="BookTitle0230"/>
        <s v="BookTitle0231"/>
        <s v="BookTitle0232"/>
        <s v="BookTitle0233"/>
        <s v="BookTitle0234"/>
        <s v="BookTitle0235"/>
        <s v="BookTitle0236"/>
        <s v="BookTitle0237"/>
        <s v="BookTitle0238"/>
        <s v="BookTitle0239"/>
        <s v="BookTitle0240"/>
        <s v="BookTitle0241"/>
        <s v="BookTitle0242"/>
        <s v="BookTitle0243"/>
        <s v="BookTitle0244"/>
        <s v="BookTitle0245"/>
        <s v="BookTitle0246"/>
        <s v="BookTitle0247"/>
        <s v="BookTitle0248"/>
        <s v="BookTitle0249"/>
        <s v="BookTitle0250"/>
        <s v="BookTitle0258"/>
        <s v="BookTitle0259"/>
        <s v="BookTitle0264"/>
        <s v="BookTitle0265"/>
        <s v="BookTitle0266"/>
        <s v="BookTitle0267"/>
        <s v="BookTitle0268"/>
        <s v="BookTitle0269"/>
        <s v="BookTitle0270"/>
        <s v="BookTitle0271"/>
        <s v="BookTitle0272"/>
        <s v="BookTitle0273"/>
        <s v="BookTitle0274"/>
        <s v="BookTitle0275"/>
        <s v="BookTitle0276"/>
        <s v="BookTitle0277"/>
        <s v="BookTitle0278"/>
        <s v="BookTitle0279"/>
        <s v="BookTitle0280"/>
        <s v="BookTitle0281"/>
        <s v="BookTitle0282"/>
        <s v="BookTitle0283"/>
        <s v="BookTitle0296"/>
        <s v="BookTitle0297"/>
        <s v="BookTitle0298"/>
        <s v="BookTitle0304"/>
        <s v="BookTitle0305"/>
        <s v="BookTitle0307"/>
        <s v="BookTitle0308"/>
        <s v="BookTitle0309"/>
        <s v="BookTitle0310"/>
        <s v="BookTitle0311"/>
        <s v="BookTitle0312"/>
        <s v="BookTitle0313"/>
        <s v="BookTitle0314"/>
        <s v="BookTitle0315"/>
        <s v="BookTitle0316"/>
        <s v="BookTitle0319"/>
        <s v="BookTitle0320"/>
        <s v="BookTitle0327"/>
        <s v="BookTitle0328"/>
        <s v="BookTitle0329"/>
        <s v="BookTitle0330"/>
        <s v="BookTitle0331"/>
        <s v="BookTitle0332"/>
        <s v="BookTitle0339"/>
        <s v="BookTitle0340"/>
        <s v="BookTitle0341"/>
        <s v="BookTitle0342"/>
        <s v="BookTitle0343"/>
        <s v="BookTitle0344"/>
        <s v="BookTitle0345"/>
        <s v="BookTitle0346"/>
        <s v="BookTitle0347"/>
        <s v="BookTitle0348"/>
        <s v="BookTitle0349"/>
        <s v="BookTitle0350"/>
        <s v="BookTitle0351"/>
        <s v="BookTitle0352"/>
        <s v="BookTitle0353"/>
        <s v="BookTitle0354"/>
        <s v="BookTitle0355"/>
        <s v="BookTitle0356"/>
        <s v="BookTitle0357"/>
        <s v="BookTitle0358"/>
        <s v="BookTitle0359"/>
        <s v="BookTitle0360"/>
        <s v="BookTitle0361"/>
        <s v="BookTitle0362"/>
        <s v="BookTitle0363"/>
        <s v="BookTitle0364"/>
        <s v="BookTitle0365"/>
        <s v="BookTitle0366"/>
        <s v="BookTitle0367"/>
        <s v="BookTitle0368"/>
        <s v="BookTitle0369"/>
        <s v="BookTitle0374"/>
        <s v="BookTitle0375"/>
        <s v="BookTitle0376"/>
        <s v="BookTitle0382"/>
        <s v="BookTitle0383"/>
        <s v="BookTitle0385"/>
        <s v="BookTitle0386"/>
        <s v="BookTitle0387"/>
        <s v="BookTitle0388"/>
        <s v="BookTitle0389"/>
        <s v="BookTitle0390"/>
        <s v="BookTitle0391"/>
        <s v="BookTitle0392"/>
        <s v="BookTitle0393"/>
        <s v="BookTitle0401"/>
        <s v="BookTitle0402"/>
        <s v="BookTitle0403"/>
        <s v="BookTitle0404"/>
        <s v="BookTitle0405"/>
        <s v="BookTitle0406"/>
        <s v="BookTitle0407"/>
        <s v="BookTitle0408"/>
        <s v="BookTitle0409"/>
        <s v="BookTitle0410"/>
        <s v="BookTitle0411"/>
        <s v="BookTitle0412"/>
        <s v="BookTitle0413"/>
        <s v="BookTitle0414"/>
        <s v="BookTitle0415"/>
        <s v="BookTitle0416"/>
        <s v="BookTitle0417"/>
        <s v="BookTitle0419"/>
        <s v="BookTitle0420"/>
        <s v="BookTitle0422"/>
        <s v="BookTitle0423"/>
        <s v="BookTitle0425"/>
        <s v="BookTitle0426"/>
        <s v="BookTitle0428"/>
        <s v="BookTitle0429"/>
        <s v="BookTitle0431"/>
        <s v="BookTitle0432"/>
        <s v="BookTitle0435"/>
        <s v="BookTitle0436"/>
        <s v="BookTitle0438"/>
        <s v="BookTitle0439"/>
        <s v="BookTitle0445"/>
        <s v="BookTitle0446"/>
        <s v="BookTitle0447"/>
        <s v="BookTitle0448"/>
        <s v="BookTitle0449"/>
        <s v="BookTitle0450"/>
        <s v="BookTitle0451"/>
        <s v="BookTitle0452"/>
        <s v="BookTitle0453"/>
        <s v="BookTitle0454"/>
        <s v="BookTitle0455"/>
        <s v="BookTitle0456"/>
        <s v="BookTitle0457"/>
        <s v="BookTitle0458"/>
        <s v="BookTitle0459"/>
        <s v="BookTitle0460"/>
        <s v="BookTitle0461"/>
        <s v="BookTitle0462"/>
        <s v="BookTitle0463"/>
        <s v="BookTitle0464"/>
        <s v="BookTitle0465"/>
        <s v="BookTitle0467"/>
        <s v="BookTitle0468"/>
      </sharedItems>
    </cacheField>
    <cacheField name="Genre" numFmtId="0">
      <sharedItems count="4">
        <s v="SF"/>
        <s v="Fantasy"/>
        <s v="Romance"/>
        <s v="Thriller"/>
      </sharedItems>
    </cacheField>
    <cacheField name="Format" numFmtId="0">
      <sharedItems count="2">
        <s v="Electronic"/>
        <s v="Print"/>
      </sharedItems>
    </cacheField>
    <cacheField name="Market" numFmtId="0">
      <sharedItems count="4">
        <s v="LA"/>
        <s v="NA"/>
        <s v="APAC"/>
        <s v="EMEA"/>
      </sharedItems>
    </cacheField>
    <cacheField name="FY 2000" numFmtId="0">
      <sharedItems containsSemiMixedTypes="0" containsString="0" containsNumber="1" containsInteger="1" minValue="0" maxValue="98264" count="18">
        <n v="0"/>
        <n v="985"/>
        <n v="455"/>
        <n v="47"/>
        <n v="483"/>
        <n v="368"/>
        <n v="95"/>
        <n v="7628"/>
        <n v="9426"/>
        <n v="73261"/>
        <n v="93794"/>
        <n v="15632"/>
        <n v="2764"/>
        <n v="53896"/>
        <n v="86620"/>
        <n v="98264"/>
        <n v="5090"/>
        <n v="79994"/>
      </sharedItems>
    </cacheField>
    <cacheField name="FY 2001" numFmtId="0">
      <sharedItems containsSemiMixedTypes="0" containsString="0" containsNumber="1" containsInteger="1" minValue="0" maxValue="86256"/>
    </cacheField>
    <cacheField name="FY 2002" numFmtId="0">
      <sharedItems containsSemiMixedTypes="0" containsString="0" containsNumber="1" containsInteger="1" minValue="0" maxValue="694450"/>
    </cacheField>
    <cacheField name="FY 2003" numFmtId="0">
      <sharedItems containsSemiMixedTypes="0" containsString="0" containsNumber="1" containsInteger="1" minValue="0" maxValue="753850"/>
    </cacheField>
    <cacheField name="FY 2004" numFmtId="0">
      <sharedItems containsSemiMixedTypes="0" containsString="0" containsNumber="1" containsInteger="1" minValue="0" maxValue="762557"/>
    </cacheField>
    <cacheField name="FY 2005" numFmtId="0">
      <sharedItems containsSemiMixedTypes="0" containsString="0" containsNumber="1" containsInteger="1" minValue="0" maxValue="779695"/>
    </cacheField>
    <cacheField name="FY 2006" numFmtId="0">
      <sharedItems containsSemiMixedTypes="0" containsString="0" containsNumber="1" containsInteger="1" minValue="0" maxValue="786251"/>
    </cacheField>
    <cacheField name="FY 2007" numFmtId="0">
      <sharedItems containsSemiMixedTypes="0" containsString="0" containsNumber="1" containsInteger="1" minValue="0" maxValue="822764"/>
    </cacheField>
    <cacheField name="FY 2008" numFmtId="0">
      <sharedItems containsSemiMixedTypes="0" containsString="0" containsNumber="1" containsInteger="1" minValue="0" maxValue="831377"/>
    </cacheField>
    <cacheField name="FY 2009" numFmtId="0">
      <sharedItems containsSemiMixedTypes="0" containsString="0" containsNumber="1" containsInteger="1" minValue="0" maxValue="897819"/>
    </cacheField>
    <cacheField name="FY 2010" numFmtId="0">
      <sharedItems containsSemiMixedTypes="0" containsString="0" containsNumber="1" containsInteger="1" minValue="0" maxValue="1056599"/>
    </cacheField>
    <cacheField name="FY 2011" numFmtId="0">
      <sharedItems containsSemiMixedTypes="0" containsString="0" containsNumber="1" containsInteger="1" minValue="0" maxValue="1471425"/>
    </cacheField>
    <cacheField name="FY 2012" numFmtId="0">
      <sharedItems containsSemiMixedTypes="0" containsString="0" containsNumber="1" containsInteger="1" minValue="29" maxValue="2381531"/>
    </cacheField>
    <cacheField name="Total Units _x000a_to Date" numFmtId="0">
      <sharedItems containsSemiMixedTypes="0" containsString="0" containsNumber="1" containsInteger="1" minValue="200" maxValue="8355242"/>
    </cacheField>
    <cacheField name="Sell Price" numFmtId="8">
      <sharedItems containsSemiMixedTypes="0" containsString="0" containsNumber="1" minValue="0.99" maxValue="15.99"/>
    </cacheField>
    <cacheField name="Total Earnings _x000a_to Date" numFmtId="44">
      <sharedItems containsSemiMixedTypes="0" containsString="0" containsNumber="1" minValue="428.67" maxValue="133600319.5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4">
  <r>
    <x v="0"/>
    <x v="0"/>
    <x v="0"/>
    <x v="0"/>
    <x v="0"/>
    <x v="0"/>
    <n v="0"/>
    <n v="0"/>
    <n v="0"/>
    <n v="0"/>
    <n v="0"/>
    <n v="0"/>
    <n v="0"/>
    <n v="0"/>
    <n v="0"/>
    <n v="0"/>
    <n v="0"/>
    <n v="1172"/>
    <n v="1172"/>
    <n v="1.99"/>
    <n v="2332.2800000000002"/>
  </r>
  <r>
    <x v="0"/>
    <x v="1"/>
    <x v="0"/>
    <x v="1"/>
    <x v="1"/>
    <x v="0"/>
    <n v="0"/>
    <n v="0"/>
    <n v="0"/>
    <n v="0"/>
    <n v="0"/>
    <n v="0"/>
    <n v="0"/>
    <n v="0"/>
    <n v="0"/>
    <n v="0"/>
    <n v="0"/>
    <n v="276"/>
    <n v="276"/>
    <n v="15.99"/>
    <n v="4413.24"/>
  </r>
  <r>
    <x v="0"/>
    <x v="2"/>
    <x v="1"/>
    <x v="1"/>
    <x v="2"/>
    <x v="0"/>
    <n v="0"/>
    <n v="0"/>
    <n v="0"/>
    <n v="0"/>
    <n v="0"/>
    <n v="0"/>
    <n v="0"/>
    <n v="0"/>
    <n v="0"/>
    <n v="0"/>
    <n v="0"/>
    <n v="9301"/>
    <n v="9301"/>
    <n v="11.99"/>
    <n v="111518.99"/>
  </r>
  <r>
    <x v="0"/>
    <x v="2"/>
    <x v="1"/>
    <x v="1"/>
    <x v="0"/>
    <x v="0"/>
    <n v="0"/>
    <n v="0"/>
    <n v="0"/>
    <n v="0"/>
    <n v="0"/>
    <n v="0"/>
    <n v="0"/>
    <n v="0"/>
    <n v="0"/>
    <n v="0"/>
    <n v="0"/>
    <n v="8178"/>
    <n v="8178"/>
    <n v="12.99"/>
    <n v="106232.22"/>
  </r>
  <r>
    <x v="0"/>
    <x v="2"/>
    <x v="1"/>
    <x v="1"/>
    <x v="1"/>
    <x v="0"/>
    <n v="0"/>
    <n v="0"/>
    <n v="0"/>
    <n v="0"/>
    <n v="0"/>
    <n v="0"/>
    <n v="0"/>
    <n v="0"/>
    <n v="0"/>
    <n v="0"/>
    <n v="0"/>
    <n v="4013"/>
    <n v="4013"/>
    <n v="15.99"/>
    <n v="64167.87"/>
  </r>
  <r>
    <x v="0"/>
    <x v="2"/>
    <x v="1"/>
    <x v="0"/>
    <x v="3"/>
    <x v="0"/>
    <n v="0"/>
    <n v="0"/>
    <n v="0"/>
    <n v="0"/>
    <n v="0"/>
    <n v="0"/>
    <n v="0"/>
    <n v="0"/>
    <n v="0"/>
    <n v="0"/>
    <n v="0"/>
    <n v="11554"/>
    <n v="11554"/>
    <n v="0.99"/>
    <n v="11438.46"/>
  </r>
  <r>
    <x v="0"/>
    <x v="3"/>
    <x v="1"/>
    <x v="1"/>
    <x v="2"/>
    <x v="0"/>
    <n v="0"/>
    <n v="0"/>
    <n v="0"/>
    <n v="0"/>
    <n v="0"/>
    <n v="0"/>
    <n v="0"/>
    <n v="0"/>
    <n v="0"/>
    <n v="0"/>
    <n v="0"/>
    <n v="24222"/>
    <n v="24222"/>
    <n v="11.99"/>
    <n v="290421.78000000003"/>
  </r>
  <r>
    <x v="0"/>
    <x v="4"/>
    <x v="1"/>
    <x v="1"/>
    <x v="3"/>
    <x v="0"/>
    <n v="0"/>
    <n v="0"/>
    <n v="0"/>
    <n v="0"/>
    <n v="0"/>
    <n v="0"/>
    <n v="0"/>
    <n v="0"/>
    <n v="0"/>
    <n v="0"/>
    <n v="0"/>
    <n v="1880"/>
    <n v="1880"/>
    <n v="9.99"/>
    <n v="18781.2"/>
  </r>
  <r>
    <x v="0"/>
    <x v="5"/>
    <x v="1"/>
    <x v="1"/>
    <x v="1"/>
    <x v="0"/>
    <n v="0"/>
    <n v="0"/>
    <n v="0"/>
    <n v="0"/>
    <n v="0"/>
    <n v="0"/>
    <n v="0"/>
    <n v="0"/>
    <n v="0"/>
    <n v="0"/>
    <n v="0"/>
    <n v="3344"/>
    <n v="3344"/>
    <n v="15.99"/>
    <n v="53470.559999999998"/>
  </r>
  <r>
    <x v="0"/>
    <x v="6"/>
    <x v="1"/>
    <x v="1"/>
    <x v="1"/>
    <x v="0"/>
    <n v="0"/>
    <n v="0"/>
    <n v="0"/>
    <n v="0"/>
    <n v="0"/>
    <n v="0"/>
    <n v="0"/>
    <n v="0"/>
    <n v="0"/>
    <n v="0"/>
    <n v="0"/>
    <n v="2199"/>
    <n v="2199"/>
    <n v="15.99"/>
    <n v="35162.01"/>
  </r>
  <r>
    <x v="0"/>
    <x v="7"/>
    <x v="0"/>
    <x v="1"/>
    <x v="0"/>
    <x v="0"/>
    <n v="0"/>
    <n v="0"/>
    <n v="0"/>
    <n v="0"/>
    <n v="0"/>
    <n v="0"/>
    <n v="0"/>
    <n v="0"/>
    <n v="0"/>
    <n v="0"/>
    <n v="0"/>
    <n v="48363"/>
    <n v="48363"/>
    <n v="12.99"/>
    <n v="628235.37"/>
  </r>
  <r>
    <x v="0"/>
    <x v="8"/>
    <x v="1"/>
    <x v="0"/>
    <x v="1"/>
    <x v="0"/>
    <n v="0"/>
    <n v="0"/>
    <n v="0"/>
    <n v="0"/>
    <n v="0"/>
    <n v="0"/>
    <n v="0"/>
    <n v="0"/>
    <n v="0"/>
    <n v="0"/>
    <n v="1045"/>
    <n v="6895"/>
    <n v="7940"/>
    <n v="3.99"/>
    <n v="31680.600000000002"/>
  </r>
  <r>
    <x v="0"/>
    <x v="9"/>
    <x v="1"/>
    <x v="0"/>
    <x v="3"/>
    <x v="0"/>
    <n v="0"/>
    <n v="0"/>
    <n v="0"/>
    <n v="0"/>
    <n v="0"/>
    <n v="0"/>
    <n v="0"/>
    <n v="0"/>
    <n v="0"/>
    <n v="0"/>
    <n v="944"/>
    <n v="3403"/>
    <n v="4347"/>
    <n v="0.99"/>
    <n v="4303.53"/>
  </r>
  <r>
    <x v="0"/>
    <x v="10"/>
    <x v="1"/>
    <x v="1"/>
    <x v="1"/>
    <x v="0"/>
    <n v="0"/>
    <n v="0"/>
    <n v="0"/>
    <n v="0"/>
    <n v="0"/>
    <n v="0"/>
    <n v="0"/>
    <n v="0"/>
    <n v="0"/>
    <n v="0"/>
    <n v="263"/>
    <n v="2231"/>
    <n v="2494"/>
    <n v="15.99"/>
    <n v="39879.06"/>
  </r>
  <r>
    <x v="0"/>
    <x v="11"/>
    <x v="1"/>
    <x v="1"/>
    <x v="1"/>
    <x v="0"/>
    <n v="0"/>
    <n v="0"/>
    <n v="0"/>
    <n v="0"/>
    <n v="0"/>
    <n v="0"/>
    <n v="0"/>
    <n v="0"/>
    <n v="0"/>
    <n v="0"/>
    <n v="60"/>
    <n v="1142"/>
    <n v="1202"/>
    <n v="15.99"/>
    <n v="19219.98"/>
  </r>
  <r>
    <x v="0"/>
    <x v="12"/>
    <x v="1"/>
    <x v="1"/>
    <x v="1"/>
    <x v="0"/>
    <n v="0"/>
    <n v="0"/>
    <n v="0"/>
    <n v="0"/>
    <n v="0"/>
    <n v="0"/>
    <n v="0"/>
    <n v="0"/>
    <n v="0"/>
    <n v="0"/>
    <n v="638"/>
    <n v="1955"/>
    <n v="2593"/>
    <n v="15.99"/>
    <n v="41462.07"/>
  </r>
  <r>
    <x v="0"/>
    <x v="13"/>
    <x v="1"/>
    <x v="1"/>
    <x v="1"/>
    <x v="0"/>
    <n v="0"/>
    <n v="0"/>
    <n v="0"/>
    <n v="0"/>
    <n v="0"/>
    <n v="0"/>
    <n v="0"/>
    <n v="0"/>
    <n v="0"/>
    <n v="0"/>
    <n v="78"/>
    <n v="2095"/>
    <n v="2173"/>
    <n v="15.99"/>
    <n v="34746.270000000004"/>
  </r>
  <r>
    <x v="0"/>
    <x v="14"/>
    <x v="0"/>
    <x v="1"/>
    <x v="2"/>
    <x v="0"/>
    <n v="0"/>
    <n v="0"/>
    <n v="0"/>
    <n v="0"/>
    <n v="0"/>
    <n v="0"/>
    <n v="0"/>
    <n v="0"/>
    <n v="0"/>
    <n v="0"/>
    <n v="0"/>
    <n v="2601"/>
    <n v="2601"/>
    <n v="11.99"/>
    <n v="31185.99"/>
  </r>
  <r>
    <x v="0"/>
    <x v="14"/>
    <x v="0"/>
    <x v="1"/>
    <x v="3"/>
    <x v="0"/>
    <n v="0"/>
    <n v="0"/>
    <n v="0"/>
    <n v="0"/>
    <n v="0"/>
    <n v="0"/>
    <n v="0"/>
    <n v="0"/>
    <n v="0"/>
    <n v="0"/>
    <n v="0"/>
    <n v="1521"/>
    <n v="1521"/>
    <n v="9.99"/>
    <n v="15194.79"/>
  </r>
  <r>
    <x v="0"/>
    <x v="15"/>
    <x v="0"/>
    <x v="1"/>
    <x v="2"/>
    <x v="0"/>
    <n v="0"/>
    <n v="0"/>
    <n v="0"/>
    <n v="0"/>
    <n v="0"/>
    <n v="0"/>
    <n v="0"/>
    <n v="0"/>
    <n v="0"/>
    <n v="0"/>
    <n v="0"/>
    <n v="1395"/>
    <n v="1395"/>
    <n v="11.99"/>
    <n v="16726.05"/>
  </r>
  <r>
    <x v="0"/>
    <x v="16"/>
    <x v="1"/>
    <x v="0"/>
    <x v="2"/>
    <x v="0"/>
    <n v="0"/>
    <n v="0"/>
    <n v="0"/>
    <n v="0"/>
    <n v="0"/>
    <n v="0"/>
    <n v="0"/>
    <n v="0"/>
    <n v="0"/>
    <n v="0"/>
    <n v="0"/>
    <n v="2769"/>
    <n v="2769"/>
    <n v="1.49"/>
    <n v="4125.8100000000004"/>
  </r>
  <r>
    <x v="0"/>
    <x v="17"/>
    <x v="0"/>
    <x v="0"/>
    <x v="1"/>
    <x v="0"/>
    <n v="0"/>
    <n v="0"/>
    <n v="0"/>
    <n v="0"/>
    <n v="0"/>
    <n v="0"/>
    <n v="0"/>
    <n v="0"/>
    <n v="0"/>
    <n v="0"/>
    <n v="45"/>
    <n v="9024"/>
    <n v="9069"/>
    <n v="3.99"/>
    <n v="36185.310000000005"/>
  </r>
  <r>
    <x v="0"/>
    <x v="18"/>
    <x v="0"/>
    <x v="0"/>
    <x v="2"/>
    <x v="0"/>
    <n v="0"/>
    <n v="0"/>
    <n v="0"/>
    <n v="0"/>
    <n v="0"/>
    <n v="0"/>
    <n v="0"/>
    <n v="0"/>
    <n v="0"/>
    <n v="0"/>
    <n v="814"/>
    <n v="3848"/>
    <n v="4662"/>
    <n v="1.49"/>
    <n v="6946.38"/>
  </r>
  <r>
    <x v="0"/>
    <x v="19"/>
    <x v="0"/>
    <x v="1"/>
    <x v="2"/>
    <x v="0"/>
    <n v="0"/>
    <n v="0"/>
    <n v="0"/>
    <n v="0"/>
    <n v="0"/>
    <n v="0"/>
    <n v="0"/>
    <n v="0"/>
    <n v="0"/>
    <n v="0"/>
    <n v="235"/>
    <n v="2392"/>
    <n v="2627"/>
    <n v="11.99"/>
    <n v="31497.73"/>
  </r>
  <r>
    <x v="0"/>
    <x v="20"/>
    <x v="0"/>
    <x v="1"/>
    <x v="3"/>
    <x v="0"/>
    <n v="0"/>
    <n v="0"/>
    <n v="0"/>
    <n v="0"/>
    <n v="0"/>
    <n v="0"/>
    <n v="0"/>
    <n v="0"/>
    <n v="0"/>
    <n v="0"/>
    <n v="218"/>
    <n v="1043"/>
    <n v="1261"/>
    <n v="9.99"/>
    <n v="12597.39"/>
  </r>
  <r>
    <x v="0"/>
    <x v="21"/>
    <x v="0"/>
    <x v="0"/>
    <x v="3"/>
    <x v="0"/>
    <n v="0"/>
    <n v="0"/>
    <n v="0"/>
    <n v="0"/>
    <n v="0"/>
    <n v="0"/>
    <n v="0"/>
    <n v="0"/>
    <n v="0"/>
    <n v="0"/>
    <n v="54"/>
    <n v="7303"/>
    <n v="7357"/>
    <n v="0.99"/>
    <n v="7283.43"/>
  </r>
  <r>
    <x v="0"/>
    <x v="22"/>
    <x v="0"/>
    <x v="1"/>
    <x v="3"/>
    <x v="0"/>
    <n v="0"/>
    <n v="0"/>
    <n v="0"/>
    <n v="0"/>
    <n v="0"/>
    <n v="0"/>
    <n v="0"/>
    <n v="0"/>
    <n v="0"/>
    <n v="0"/>
    <n v="319"/>
    <n v="1696"/>
    <n v="2015"/>
    <n v="9.99"/>
    <n v="20129.850000000002"/>
  </r>
  <r>
    <x v="0"/>
    <x v="23"/>
    <x v="1"/>
    <x v="1"/>
    <x v="0"/>
    <x v="0"/>
    <n v="0"/>
    <n v="0"/>
    <n v="0"/>
    <n v="0"/>
    <n v="0"/>
    <n v="0"/>
    <n v="0"/>
    <n v="0"/>
    <n v="0"/>
    <n v="0"/>
    <n v="126"/>
    <n v="563"/>
    <n v="689"/>
    <n v="12.99"/>
    <n v="8950.11"/>
  </r>
  <r>
    <x v="0"/>
    <x v="24"/>
    <x v="1"/>
    <x v="0"/>
    <x v="0"/>
    <x v="0"/>
    <n v="0"/>
    <n v="0"/>
    <n v="0"/>
    <n v="0"/>
    <n v="0"/>
    <n v="0"/>
    <n v="0"/>
    <n v="0"/>
    <n v="0"/>
    <n v="0"/>
    <n v="428"/>
    <n v="4888"/>
    <n v="5316"/>
    <n v="1.99"/>
    <n v="10578.84"/>
  </r>
  <r>
    <x v="1"/>
    <x v="25"/>
    <x v="2"/>
    <x v="1"/>
    <x v="0"/>
    <x v="1"/>
    <n v="2272"/>
    <n v="2475"/>
    <n v="2552"/>
    <n v="4444"/>
    <n v="3701"/>
    <n v="6086"/>
    <n v="4890"/>
    <n v="5953"/>
    <n v="6475"/>
    <n v="5126"/>
    <n v="5921"/>
    <n v="2669"/>
    <n v="53549"/>
    <n v="12.99"/>
    <n v="695601.51"/>
  </r>
  <r>
    <x v="1"/>
    <x v="25"/>
    <x v="2"/>
    <x v="1"/>
    <x v="1"/>
    <x v="2"/>
    <n v="287"/>
    <n v="1501"/>
    <n v="2587"/>
    <n v="4273"/>
    <n v="4734"/>
    <n v="3666"/>
    <n v="2905"/>
    <n v="2810"/>
    <n v="2120"/>
    <n v="3322"/>
    <n v="3714"/>
    <n v="2731"/>
    <n v="35105"/>
    <n v="15.99"/>
    <n v="561328.94999999995"/>
  </r>
  <r>
    <x v="1"/>
    <x v="25"/>
    <x v="2"/>
    <x v="0"/>
    <x v="2"/>
    <x v="3"/>
    <n v="275"/>
    <n v="1025"/>
    <n v="1430"/>
    <n v="2836"/>
    <n v="3821"/>
    <n v="1686"/>
    <n v="5498"/>
    <n v="2071"/>
    <n v="3754"/>
    <n v="2494"/>
    <n v="9088"/>
    <n v="8775"/>
    <n v="42800"/>
    <n v="1.49"/>
    <n v="63772"/>
  </r>
  <r>
    <x v="1"/>
    <x v="26"/>
    <x v="2"/>
    <x v="1"/>
    <x v="3"/>
    <x v="4"/>
    <n v="775"/>
    <n v="1044"/>
    <n v="3614"/>
    <n v="2601"/>
    <n v="4579"/>
    <n v="5309"/>
    <n v="5160"/>
    <n v="5681"/>
    <n v="2674"/>
    <n v="4440"/>
    <n v="5373"/>
    <n v="2132"/>
    <n v="43865"/>
    <n v="9.99"/>
    <n v="438211.35000000003"/>
  </r>
  <r>
    <x v="1"/>
    <x v="27"/>
    <x v="2"/>
    <x v="1"/>
    <x v="2"/>
    <x v="5"/>
    <n v="1179"/>
    <n v="2505"/>
    <n v="2513"/>
    <n v="2400"/>
    <n v="1896"/>
    <n v="4965"/>
    <n v="2209"/>
    <n v="3344"/>
    <n v="5983"/>
    <n v="5396"/>
    <n v="4524"/>
    <n v="1842"/>
    <n v="39124"/>
    <n v="11.99"/>
    <n v="469096.76"/>
  </r>
  <r>
    <x v="2"/>
    <x v="28"/>
    <x v="0"/>
    <x v="1"/>
    <x v="2"/>
    <x v="0"/>
    <n v="0"/>
    <n v="0"/>
    <n v="0"/>
    <n v="0"/>
    <n v="0"/>
    <n v="0"/>
    <n v="0"/>
    <n v="0"/>
    <n v="0"/>
    <n v="7796"/>
    <n v="4229"/>
    <n v="1885"/>
    <n v="13910"/>
    <n v="11.99"/>
    <n v="166780.9"/>
  </r>
  <r>
    <x v="2"/>
    <x v="28"/>
    <x v="0"/>
    <x v="1"/>
    <x v="1"/>
    <x v="0"/>
    <n v="0"/>
    <n v="0"/>
    <n v="0"/>
    <n v="0"/>
    <n v="0"/>
    <n v="0"/>
    <n v="0"/>
    <n v="0"/>
    <n v="0"/>
    <n v="63104"/>
    <n v="62662"/>
    <n v="31533"/>
    <n v="157299"/>
    <n v="15.99"/>
    <n v="2515211.0100000002"/>
  </r>
  <r>
    <x v="2"/>
    <x v="28"/>
    <x v="0"/>
    <x v="0"/>
    <x v="2"/>
    <x v="0"/>
    <n v="0"/>
    <n v="0"/>
    <n v="0"/>
    <n v="0"/>
    <n v="0"/>
    <n v="0"/>
    <n v="0"/>
    <n v="0"/>
    <n v="0"/>
    <n v="172756"/>
    <n v="189218"/>
    <n v="233145"/>
    <n v="595119"/>
    <n v="1.49"/>
    <n v="886727.30999999994"/>
  </r>
  <r>
    <x v="2"/>
    <x v="28"/>
    <x v="0"/>
    <x v="0"/>
    <x v="1"/>
    <x v="0"/>
    <n v="0"/>
    <n v="0"/>
    <n v="0"/>
    <n v="0"/>
    <n v="0"/>
    <n v="0"/>
    <n v="0"/>
    <n v="0"/>
    <n v="0"/>
    <n v="299315"/>
    <n v="359022"/>
    <n v="443540"/>
    <n v="1101877"/>
    <n v="3.99"/>
    <n v="4396489.2300000004"/>
  </r>
  <r>
    <x v="2"/>
    <x v="29"/>
    <x v="0"/>
    <x v="1"/>
    <x v="1"/>
    <x v="0"/>
    <n v="0"/>
    <n v="0"/>
    <n v="0"/>
    <n v="0"/>
    <n v="0"/>
    <n v="0"/>
    <n v="0"/>
    <n v="0"/>
    <n v="0"/>
    <n v="3942"/>
    <n v="486"/>
    <n v="1333"/>
    <n v="5761"/>
    <n v="15.99"/>
    <n v="92118.39"/>
  </r>
  <r>
    <x v="2"/>
    <x v="30"/>
    <x v="3"/>
    <x v="1"/>
    <x v="3"/>
    <x v="0"/>
    <n v="0"/>
    <n v="0"/>
    <n v="0"/>
    <n v="0"/>
    <n v="0"/>
    <n v="0"/>
    <n v="0"/>
    <n v="0"/>
    <n v="0"/>
    <n v="17407"/>
    <n v="14587"/>
    <n v="7680"/>
    <n v="39674"/>
    <n v="9.99"/>
    <n v="396343.26"/>
  </r>
  <r>
    <x v="2"/>
    <x v="31"/>
    <x v="0"/>
    <x v="0"/>
    <x v="2"/>
    <x v="0"/>
    <n v="0"/>
    <n v="0"/>
    <n v="0"/>
    <n v="0"/>
    <n v="0"/>
    <n v="0"/>
    <n v="0"/>
    <n v="0"/>
    <n v="0"/>
    <n v="0"/>
    <n v="0"/>
    <n v="564979"/>
    <n v="564979"/>
    <n v="1.49"/>
    <n v="841818.71"/>
  </r>
  <r>
    <x v="2"/>
    <x v="32"/>
    <x v="2"/>
    <x v="0"/>
    <x v="1"/>
    <x v="0"/>
    <n v="0"/>
    <n v="0"/>
    <n v="0"/>
    <n v="0"/>
    <n v="0"/>
    <n v="0"/>
    <n v="0"/>
    <n v="0"/>
    <n v="0"/>
    <n v="0"/>
    <n v="20161"/>
    <n v="13370"/>
    <n v="33531"/>
    <n v="3.99"/>
    <n v="133788.69"/>
  </r>
  <r>
    <x v="2"/>
    <x v="33"/>
    <x v="1"/>
    <x v="0"/>
    <x v="0"/>
    <x v="0"/>
    <n v="0"/>
    <n v="0"/>
    <n v="0"/>
    <n v="0"/>
    <n v="0"/>
    <n v="0"/>
    <n v="0"/>
    <n v="0"/>
    <n v="0"/>
    <n v="0"/>
    <n v="110547"/>
    <n v="142011"/>
    <n v="252558"/>
    <n v="1.99"/>
    <n v="502590.42"/>
  </r>
  <r>
    <x v="2"/>
    <x v="34"/>
    <x v="3"/>
    <x v="0"/>
    <x v="1"/>
    <x v="0"/>
    <n v="0"/>
    <n v="0"/>
    <n v="0"/>
    <n v="0"/>
    <n v="0"/>
    <n v="0"/>
    <n v="0"/>
    <n v="0"/>
    <n v="0"/>
    <n v="0"/>
    <n v="0"/>
    <n v="531"/>
    <n v="531"/>
    <n v="3.99"/>
    <n v="2118.69"/>
  </r>
  <r>
    <x v="2"/>
    <x v="35"/>
    <x v="2"/>
    <x v="0"/>
    <x v="3"/>
    <x v="0"/>
    <n v="0"/>
    <n v="0"/>
    <n v="0"/>
    <n v="0"/>
    <n v="0"/>
    <n v="0"/>
    <n v="0"/>
    <n v="0"/>
    <n v="0"/>
    <n v="0"/>
    <n v="0"/>
    <n v="15312"/>
    <n v="15312"/>
    <n v="0.99"/>
    <n v="15158.88"/>
  </r>
  <r>
    <x v="2"/>
    <x v="36"/>
    <x v="3"/>
    <x v="1"/>
    <x v="3"/>
    <x v="0"/>
    <n v="0"/>
    <n v="0"/>
    <n v="0"/>
    <n v="0"/>
    <n v="0"/>
    <n v="0"/>
    <n v="0"/>
    <n v="0"/>
    <n v="0"/>
    <n v="0"/>
    <n v="0"/>
    <n v="15131"/>
    <n v="15131"/>
    <n v="9.99"/>
    <n v="151158.69"/>
  </r>
  <r>
    <x v="2"/>
    <x v="37"/>
    <x v="1"/>
    <x v="1"/>
    <x v="1"/>
    <x v="0"/>
    <n v="0"/>
    <n v="0"/>
    <n v="0"/>
    <n v="0"/>
    <n v="0"/>
    <n v="0"/>
    <n v="0"/>
    <n v="0"/>
    <n v="0"/>
    <n v="0"/>
    <n v="0"/>
    <n v="9039"/>
    <n v="9039"/>
    <n v="15.99"/>
    <n v="144533.61000000002"/>
  </r>
  <r>
    <x v="2"/>
    <x v="37"/>
    <x v="0"/>
    <x v="1"/>
    <x v="2"/>
    <x v="0"/>
    <n v="0"/>
    <n v="0"/>
    <n v="0"/>
    <n v="0"/>
    <n v="0"/>
    <n v="0"/>
    <n v="0"/>
    <n v="0"/>
    <n v="0"/>
    <n v="0"/>
    <n v="4859"/>
    <n v="8073"/>
    <n v="12932"/>
    <n v="11.99"/>
    <n v="155054.68"/>
  </r>
  <r>
    <x v="2"/>
    <x v="37"/>
    <x v="0"/>
    <x v="1"/>
    <x v="1"/>
    <x v="0"/>
    <n v="0"/>
    <n v="0"/>
    <n v="0"/>
    <n v="0"/>
    <n v="0"/>
    <n v="0"/>
    <n v="0"/>
    <n v="0"/>
    <n v="0"/>
    <n v="0"/>
    <n v="0"/>
    <n v="5328"/>
    <n v="5328"/>
    <n v="15.99"/>
    <n v="85194.72"/>
  </r>
  <r>
    <x v="2"/>
    <x v="37"/>
    <x v="1"/>
    <x v="0"/>
    <x v="0"/>
    <x v="0"/>
    <n v="0"/>
    <n v="0"/>
    <n v="0"/>
    <n v="0"/>
    <n v="0"/>
    <n v="0"/>
    <n v="0"/>
    <n v="0"/>
    <n v="0"/>
    <n v="0"/>
    <n v="0"/>
    <n v="35537"/>
    <n v="35537"/>
    <n v="1.99"/>
    <n v="70718.63"/>
  </r>
  <r>
    <x v="2"/>
    <x v="37"/>
    <x v="3"/>
    <x v="0"/>
    <x v="2"/>
    <x v="0"/>
    <n v="0"/>
    <n v="0"/>
    <n v="0"/>
    <n v="0"/>
    <n v="0"/>
    <n v="0"/>
    <n v="0"/>
    <n v="0"/>
    <n v="0"/>
    <n v="0"/>
    <n v="4683"/>
    <n v="16517"/>
    <n v="21200"/>
    <n v="1.49"/>
    <n v="31588"/>
  </r>
  <r>
    <x v="2"/>
    <x v="37"/>
    <x v="3"/>
    <x v="0"/>
    <x v="0"/>
    <x v="0"/>
    <n v="0"/>
    <n v="0"/>
    <n v="0"/>
    <n v="0"/>
    <n v="0"/>
    <n v="0"/>
    <n v="0"/>
    <n v="0"/>
    <n v="0"/>
    <n v="0"/>
    <n v="0"/>
    <n v="32933"/>
    <n v="32933"/>
    <n v="1.99"/>
    <n v="65536.67"/>
  </r>
  <r>
    <x v="3"/>
    <x v="38"/>
    <x v="2"/>
    <x v="0"/>
    <x v="1"/>
    <x v="0"/>
    <n v="186"/>
    <n v="993"/>
    <n v="1120"/>
    <n v="1617"/>
    <n v="1511"/>
    <n v="1781"/>
    <n v="2207"/>
    <n v="2409"/>
    <n v="2407"/>
    <n v="1948"/>
    <n v="2855"/>
    <n v="4473"/>
    <n v="23507"/>
    <n v="3.99"/>
    <n v="93792.930000000008"/>
  </r>
  <r>
    <x v="3"/>
    <x v="39"/>
    <x v="2"/>
    <x v="1"/>
    <x v="3"/>
    <x v="0"/>
    <n v="413"/>
    <n v="1000"/>
    <n v="1329"/>
    <n v="1350"/>
    <n v="1860"/>
    <n v="1968"/>
    <n v="2107"/>
    <n v="2318"/>
    <n v="2219"/>
    <n v="1550"/>
    <n v="1672"/>
    <n v="1281"/>
    <n v="19067"/>
    <n v="9.99"/>
    <n v="190479.33000000002"/>
  </r>
  <r>
    <x v="3"/>
    <x v="40"/>
    <x v="2"/>
    <x v="1"/>
    <x v="1"/>
    <x v="0"/>
    <n v="150"/>
    <n v="854"/>
    <n v="872"/>
    <n v="1635"/>
    <n v="1665"/>
    <n v="1366"/>
    <n v="2243"/>
    <n v="1553"/>
    <n v="2471"/>
    <n v="1618"/>
    <n v="1740"/>
    <n v="1151"/>
    <n v="17318"/>
    <n v="15.99"/>
    <n v="276914.82"/>
  </r>
  <r>
    <x v="3"/>
    <x v="41"/>
    <x v="2"/>
    <x v="0"/>
    <x v="1"/>
    <x v="0"/>
    <n v="441"/>
    <n v="536"/>
    <n v="1418"/>
    <n v="1194"/>
    <n v="1317"/>
    <n v="2024"/>
    <n v="1640"/>
    <n v="1659"/>
    <n v="1729"/>
    <n v="2247"/>
    <n v="3184"/>
    <n v="3837"/>
    <n v="21226"/>
    <n v="3.99"/>
    <n v="84691.74"/>
  </r>
  <r>
    <x v="3"/>
    <x v="42"/>
    <x v="2"/>
    <x v="1"/>
    <x v="1"/>
    <x v="0"/>
    <n v="52"/>
    <n v="596"/>
    <n v="1427"/>
    <n v="1043"/>
    <n v="1450"/>
    <n v="1905"/>
    <n v="1886"/>
    <n v="1562"/>
    <n v="2056"/>
    <n v="2317"/>
    <n v="1442"/>
    <n v="1325"/>
    <n v="17061"/>
    <n v="15.99"/>
    <n v="272805.39"/>
  </r>
  <r>
    <x v="3"/>
    <x v="43"/>
    <x v="2"/>
    <x v="0"/>
    <x v="3"/>
    <x v="0"/>
    <n v="181"/>
    <n v="814"/>
    <n v="994"/>
    <n v="1041"/>
    <n v="1776"/>
    <n v="1517"/>
    <n v="1962"/>
    <n v="1982"/>
    <n v="1994"/>
    <n v="2007"/>
    <n v="3037"/>
    <n v="3831"/>
    <n v="21136"/>
    <n v="0.99"/>
    <n v="20924.64"/>
  </r>
  <r>
    <x v="3"/>
    <x v="44"/>
    <x v="2"/>
    <x v="0"/>
    <x v="1"/>
    <x v="0"/>
    <n v="25"/>
    <n v="757"/>
    <n v="850"/>
    <n v="1549"/>
    <n v="1914"/>
    <n v="1510"/>
    <n v="1514"/>
    <n v="1709"/>
    <n v="2510"/>
    <n v="2163"/>
    <n v="2566"/>
    <n v="2535"/>
    <n v="19602"/>
    <n v="3.99"/>
    <n v="78211.98000000001"/>
  </r>
  <r>
    <x v="3"/>
    <x v="45"/>
    <x v="3"/>
    <x v="1"/>
    <x v="1"/>
    <x v="0"/>
    <n v="0"/>
    <n v="0"/>
    <n v="0"/>
    <n v="0"/>
    <n v="0"/>
    <n v="1604"/>
    <n v="1638"/>
    <n v="2364"/>
    <n v="1993"/>
    <n v="1871"/>
    <n v="1422"/>
    <n v="893"/>
    <n v="11785"/>
    <n v="15.99"/>
    <n v="188442.15"/>
  </r>
  <r>
    <x v="3"/>
    <x v="46"/>
    <x v="3"/>
    <x v="1"/>
    <x v="2"/>
    <x v="0"/>
    <n v="0"/>
    <n v="0"/>
    <n v="0"/>
    <n v="0"/>
    <n v="0"/>
    <n v="0"/>
    <n v="1861"/>
    <n v="1682"/>
    <n v="2023"/>
    <n v="1597"/>
    <n v="1576"/>
    <n v="1452"/>
    <n v="10191"/>
    <n v="11.99"/>
    <n v="122190.09"/>
  </r>
  <r>
    <x v="3"/>
    <x v="46"/>
    <x v="3"/>
    <x v="0"/>
    <x v="0"/>
    <x v="0"/>
    <n v="0"/>
    <n v="0"/>
    <n v="0"/>
    <n v="0"/>
    <n v="0"/>
    <n v="0"/>
    <n v="0"/>
    <n v="2313"/>
    <n v="1935"/>
    <n v="2441"/>
    <n v="3309"/>
    <n v="3328"/>
    <n v="13326"/>
    <n v="1.99"/>
    <n v="26518.74"/>
  </r>
  <r>
    <x v="3"/>
    <x v="47"/>
    <x v="1"/>
    <x v="1"/>
    <x v="1"/>
    <x v="0"/>
    <n v="0"/>
    <n v="0"/>
    <n v="0"/>
    <n v="0"/>
    <n v="0"/>
    <n v="0"/>
    <n v="0"/>
    <n v="0"/>
    <n v="0"/>
    <n v="2165"/>
    <n v="1695"/>
    <n v="1097"/>
    <n v="4957"/>
    <n v="15.99"/>
    <n v="79262.430000000008"/>
  </r>
  <r>
    <x v="4"/>
    <x v="48"/>
    <x v="3"/>
    <x v="1"/>
    <x v="3"/>
    <x v="0"/>
    <n v="0"/>
    <n v="0"/>
    <n v="0"/>
    <n v="0"/>
    <n v="0"/>
    <n v="0"/>
    <n v="0"/>
    <n v="0"/>
    <n v="204090"/>
    <n v="141378"/>
    <n v="477226"/>
    <n v="376281"/>
    <n v="1198975"/>
    <n v="9.99"/>
    <n v="11977760.25"/>
  </r>
  <r>
    <x v="4"/>
    <x v="48"/>
    <x v="3"/>
    <x v="0"/>
    <x v="2"/>
    <x v="0"/>
    <n v="0"/>
    <n v="0"/>
    <n v="0"/>
    <n v="0"/>
    <n v="0"/>
    <n v="0"/>
    <n v="0"/>
    <n v="0"/>
    <n v="197444"/>
    <n v="465142"/>
    <n v="638497"/>
    <n v="1199412"/>
    <n v="2500495"/>
    <n v="1.49"/>
    <n v="3725737.55"/>
  </r>
  <r>
    <x v="4"/>
    <x v="48"/>
    <x v="3"/>
    <x v="0"/>
    <x v="0"/>
    <x v="0"/>
    <n v="0"/>
    <n v="0"/>
    <n v="0"/>
    <n v="0"/>
    <n v="0"/>
    <n v="0"/>
    <n v="0"/>
    <n v="0"/>
    <n v="145413"/>
    <n v="551950"/>
    <n v="493740"/>
    <n v="1067142"/>
    <n v="2258245"/>
    <n v="1.99"/>
    <n v="4493907.55"/>
  </r>
  <r>
    <x v="4"/>
    <x v="49"/>
    <x v="0"/>
    <x v="0"/>
    <x v="2"/>
    <x v="0"/>
    <n v="0"/>
    <n v="0"/>
    <n v="0"/>
    <n v="0"/>
    <n v="0"/>
    <n v="0"/>
    <n v="0"/>
    <n v="0"/>
    <n v="244100"/>
    <n v="466534"/>
    <n v="492094"/>
    <n v="1155817"/>
    <n v="2358545"/>
    <n v="1.49"/>
    <n v="3514232.05"/>
  </r>
  <r>
    <x v="4"/>
    <x v="50"/>
    <x v="0"/>
    <x v="1"/>
    <x v="3"/>
    <x v="0"/>
    <n v="0"/>
    <n v="0"/>
    <n v="0"/>
    <n v="0"/>
    <n v="0"/>
    <n v="0"/>
    <n v="0"/>
    <n v="0"/>
    <n v="103954"/>
    <n v="304633"/>
    <n v="324118"/>
    <n v="369359"/>
    <n v="1102064"/>
    <n v="9.99"/>
    <n v="11009619.359999999"/>
  </r>
  <r>
    <x v="4"/>
    <x v="51"/>
    <x v="0"/>
    <x v="1"/>
    <x v="2"/>
    <x v="0"/>
    <n v="0"/>
    <n v="0"/>
    <n v="0"/>
    <n v="0"/>
    <n v="0"/>
    <n v="0"/>
    <n v="0"/>
    <n v="0"/>
    <n v="133905"/>
    <n v="446955"/>
    <n v="474323"/>
    <n v="337910"/>
    <n v="1393093"/>
    <n v="11.99"/>
    <n v="16703185.07"/>
  </r>
  <r>
    <x v="4"/>
    <x v="52"/>
    <x v="3"/>
    <x v="1"/>
    <x v="3"/>
    <x v="0"/>
    <n v="0"/>
    <n v="0"/>
    <n v="0"/>
    <n v="0"/>
    <n v="0"/>
    <n v="0"/>
    <n v="0"/>
    <n v="0"/>
    <n v="228176"/>
    <n v="228826"/>
    <n v="288703"/>
    <n v="297843"/>
    <n v="1043548"/>
    <n v="9.99"/>
    <n v="10425044.52"/>
  </r>
  <r>
    <x v="4"/>
    <x v="53"/>
    <x v="0"/>
    <x v="1"/>
    <x v="0"/>
    <x v="0"/>
    <n v="0"/>
    <n v="0"/>
    <n v="0"/>
    <n v="0"/>
    <n v="0"/>
    <n v="0"/>
    <n v="0"/>
    <n v="0"/>
    <n v="221047"/>
    <n v="232897"/>
    <n v="367919"/>
    <n v="286465"/>
    <n v="1108328"/>
    <n v="12.99"/>
    <n v="14397180.720000001"/>
  </r>
  <r>
    <x v="4"/>
    <x v="54"/>
    <x v="0"/>
    <x v="1"/>
    <x v="2"/>
    <x v="0"/>
    <n v="0"/>
    <n v="0"/>
    <n v="0"/>
    <n v="0"/>
    <n v="0"/>
    <n v="0"/>
    <n v="0"/>
    <n v="0"/>
    <n v="211460"/>
    <n v="437368"/>
    <n v="290554"/>
    <n v="332891"/>
    <n v="1272273"/>
    <n v="11.99"/>
    <n v="15254553.27"/>
  </r>
  <r>
    <x v="4"/>
    <x v="55"/>
    <x v="1"/>
    <x v="1"/>
    <x v="0"/>
    <x v="0"/>
    <n v="0"/>
    <n v="0"/>
    <n v="0"/>
    <n v="0"/>
    <n v="0"/>
    <n v="0"/>
    <n v="0"/>
    <n v="0"/>
    <n v="179093"/>
    <n v="444788"/>
    <n v="412227"/>
    <n v="405853"/>
    <n v="1441961"/>
    <n v="12.99"/>
    <n v="18731073.390000001"/>
  </r>
  <r>
    <x v="5"/>
    <x v="56"/>
    <x v="1"/>
    <x v="0"/>
    <x v="2"/>
    <x v="0"/>
    <n v="0"/>
    <n v="0"/>
    <n v="131"/>
    <n v="969"/>
    <n v="1364"/>
    <n v="1609"/>
    <n v="2325"/>
    <n v="2722"/>
    <n v="3244"/>
    <n v="4138"/>
    <n v="5107"/>
    <n v="5541"/>
    <n v="27150"/>
    <n v="1.49"/>
    <n v="40453.5"/>
  </r>
  <r>
    <x v="5"/>
    <x v="57"/>
    <x v="3"/>
    <x v="0"/>
    <x v="2"/>
    <x v="0"/>
    <n v="0"/>
    <n v="0"/>
    <n v="216"/>
    <n v="835"/>
    <n v="1289"/>
    <n v="1672"/>
    <n v="2215"/>
    <n v="2595"/>
    <n v="3324"/>
    <n v="4102"/>
    <n v="5023"/>
    <n v="5444"/>
    <n v="26715"/>
    <n v="1.49"/>
    <n v="39805.35"/>
  </r>
  <r>
    <x v="5"/>
    <x v="58"/>
    <x v="0"/>
    <x v="0"/>
    <x v="2"/>
    <x v="0"/>
    <n v="0"/>
    <n v="0"/>
    <n v="0"/>
    <n v="654"/>
    <n v="1479"/>
    <n v="1873"/>
    <n v="2219"/>
    <n v="2789"/>
    <n v="3202"/>
    <n v="4170"/>
    <n v="4838"/>
    <n v="5591"/>
    <n v="26815"/>
    <n v="1.49"/>
    <n v="39954.35"/>
  </r>
  <r>
    <x v="5"/>
    <x v="59"/>
    <x v="1"/>
    <x v="0"/>
    <x v="1"/>
    <x v="0"/>
    <n v="0"/>
    <n v="0"/>
    <n v="0"/>
    <n v="921"/>
    <n v="1331"/>
    <n v="1884"/>
    <n v="2202"/>
    <n v="2995"/>
    <n v="3248"/>
    <n v="3946"/>
    <n v="5024"/>
    <n v="5974"/>
    <n v="27525"/>
    <n v="3.99"/>
    <n v="109824.75"/>
  </r>
  <r>
    <x v="5"/>
    <x v="60"/>
    <x v="1"/>
    <x v="1"/>
    <x v="2"/>
    <x v="0"/>
    <n v="0"/>
    <n v="0"/>
    <n v="0"/>
    <n v="0"/>
    <n v="1323"/>
    <n v="1627"/>
    <n v="2143"/>
    <n v="2504"/>
    <n v="3040"/>
    <n v="3363"/>
    <n v="3104"/>
    <n v="1789"/>
    <n v="18893"/>
    <n v="11.99"/>
    <n v="226527.07"/>
  </r>
  <r>
    <x v="5"/>
    <x v="61"/>
    <x v="2"/>
    <x v="1"/>
    <x v="1"/>
    <x v="0"/>
    <n v="0"/>
    <n v="0"/>
    <n v="0"/>
    <n v="0"/>
    <n v="27612"/>
    <n v="31025"/>
    <n v="35972"/>
    <n v="37957"/>
    <n v="45202"/>
    <n v="43025"/>
    <n v="38281"/>
    <n v="20925"/>
    <n v="279999"/>
    <n v="15.99"/>
    <n v="4477184.01"/>
  </r>
  <r>
    <x v="5"/>
    <x v="62"/>
    <x v="2"/>
    <x v="0"/>
    <x v="2"/>
    <x v="0"/>
    <n v="0"/>
    <n v="0"/>
    <n v="0"/>
    <n v="0"/>
    <n v="0"/>
    <n v="30269"/>
    <n v="37098"/>
    <n v="39151"/>
    <n v="46470"/>
    <n v="54900"/>
    <n v="63012"/>
    <n v="63954"/>
    <n v="334854"/>
    <n v="1.49"/>
    <n v="498932.46"/>
  </r>
  <r>
    <x v="5"/>
    <x v="63"/>
    <x v="2"/>
    <x v="0"/>
    <x v="2"/>
    <x v="0"/>
    <n v="0"/>
    <n v="0"/>
    <n v="0"/>
    <n v="0"/>
    <n v="0"/>
    <n v="30875"/>
    <n v="36665"/>
    <n v="37782"/>
    <n v="45232"/>
    <n v="55271"/>
    <n v="59196"/>
    <n v="61066"/>
    <n v="326087"/>
    <n v="1.49"/>
    <n v="485869.63"/>
  </r>
  <r>
    <x v="5"/>
    <x v="64"/>
    <x v="3"/>
    <x v="0"/>
    <x v="1"/>
    <x v="0"/>
    <n v="0"/>
    <n v="0"/>
    <n v="0"/>
    <n v="0"/>
    <n v="0"/>
    <n v="2120"/>
    <n v="2521"/>
    <n v="2794"/>
    <n v="3964"/>
    <n v="5563"/>
    <n v="7522"/>
    <n v="7543"/>
    <n v="32027"/>
    <n v="3.99"/>
    <n v="127787.73000000001"/>
  </r>
  <r>
    <x v="5"/>
    <x v="65"/>
    <x v="0"/>
    <x v="0"/>
    <x v="2"/>
    <x v="0"/>
    <n v="0"/>
    <n v="0"/>
    <n v="0"/>
    <n v="0"/>
    <n v="0"/>
    <n v="1715"/>
    <n v="2568"/>
    <n v="2703"/>
    <n v="3708"/>
    <n v="5116"/>
    <n v="7423"/>
    <n v="7972"/>
    <n v="31205"/>
    <n v="1.49"/>
    <n v="46495.45"/>
  </r>
  <r>
    <x v="5"/>
    <x v="66"/>
    <x v="2"/>
    <x v="0"/>
    <x v="0"/>
    <x v="0"/>
    <n v="0"/>
    <n v="0"/>
    <n v="0"/>
    <n v="0"/>
    <n v="0"/>
    <n v="0"/>
    <n v="35553"/>
    <n v="41846"/>
    <n v="45943"/>
    <n v="54163"/>
    <n v="60088"/>
    <n v="62228"/>
    <n v="299821"/>
    <n v="1.99"/>
    <n v="596643.79"/>
  </r>
  <r>
    <x v="5"/>
    <x v="67"/>
    <x v="2"/>
    <x v="1"/>
    <x v="3"/>
    <x v="0"/>
    <n v="0"/>
    <n v="0"/>
    <n v="0"/>
    <n v="0"/>
    <n v="0"/>
    <n v="0"/>
    <n v="39854"/>
    <n v="40428"/>
    <n v="45001"/>
    <n v="43309"/>
    <n v="36187"/>
    <n v="18772"/>
    <n v="223551"/>
    <n v="9.99"/>
    <n v="2233274.4900000002"/>
  </r>
  <r>
    <x v="5"/>
    <x v="68"/>
    <x v="3"/>
    <x v="1"/>
    <x v="1"/>
    <x v="0"/>
    <n v="0"/>
    <n v="0"/>
    <n v="0"/>
    <n v="0"/>
    <n v="0"/>
    <n v="0"/>
    <n v="0"/>
    <n v="2957"/>
    <n v="3751"/>
    <n v="4321"/>
    <n v="4381"/>
    <n v="2528"/>
    <n v="17938"/>
    <n v="15.99"/>
    <n v="286828.62"/>
  </r>
  <r>
    <x v="5"/>
    <x v="69"/>
    <x v="0"/>
    <x v="0"/>
    <x v="1"/>
    <x v="0"/>
    <n v="0"/>
    <n v="0"/>
    <n v="0"/>
    <n v="0"/>
    <n v="0"/>
    <n v="0"/>
    <n v="0"/>
    <n v="2843"/>
    <n v="3071"/>
    <n v="4780"/>
    <n v="7836"/>
    <n v="7159"/>
    <n v="25689"/>
    <n v="3.99"/>
    <n v="102499.11"/>
  </r>
  <r>
    <x v="5"/>
    <x v="70"/>
    <x v="3"/>
    <x v="0"/>
    <x v="3"/>
    <x v="0"/>
    <n v="0"/>
    <n v="0"/>
    <n v="0"/>
    <n v="0"/>
    <n v="0"/>
    <n v="0"/>
    <n v="0"/>
    <n v="2754"/>
    <n v="3563"/>
    <n v="5006"/>
    <n v="7644"/>
    <n v="7202"/>
    <n v="26169"/>
    <n v="0.99"/>
    <n v="25907.31"/>
  </r>
  <r>
    <x v="5"/>
    <x v="71"/>
    <x v="2"/>
    <x v="1"/>
    <x v="1"/>
    <x v="0"/>
    <n v="0"/>
    <n v="0"/>
    <n v="0"/>
    <n v="0"/>
    <n v="0"/>
    <n v="0"/>
    <n v="0"/>
    <n v="0"/>
    <n v="45531"/>
    <n v="44390"/>
    <n v="35992"/>
    <n v="21899"/>
    <n v="147812"/>
    <n v="15.99"/>
    <n v="2363513.88"/>
  </r>
  <r>
    <x v="5"/>
    <x v="72"/>
    <x v="0"/>
    <x v="0"/>
    <x v="1"/>
    <x v="0"/>
    <n v="0"/>
    <n v="0"/>
    <n v="0"/>
    <n v="0"/>
    <n v="0"/>
    <n v="0"/>
    <n v="0"/>
    <n v="0"/>
    <n v="3770"/>
    <n v="5516"/>
    <n v="7970"/>
    <n v="7054"/>
    <n v="24310"/>
    <n v="3.99"/>
    <n v="96996.900000000009"/>
  </r>
  <r>
    <x v="5"/>
    <x v="73"/>
    <x v="3"/>
    <x v="1"/>
    <x v="0"/>
    <x v="0"/>
    <n v="0"/>
    <n v="0"/>
    <n v="0"/>
    <n v="0"/>
    <n v="0"/>
    <n v="0"/>
    <n v="0"/>
    <n v="0"/>
    <n v="3169"/>
    <n v="3852"/>
    <n v="4259"/>
    <n v="2398"/>
    <n v="13678"/>
    <n v="12.99"/>
    <n v="177677.22"/>
  </r>
  <r>
    <x v="5"/>
    <x v="74"/>
    <x v="2"/>
    <x v="0"/>
    <x v="2"/>
    <x v="0"/>
    <n v="0"/>
    <n v="0"/>
    <n v="0"/>
    <n v="0"/>
    <n v="0"/>
    <n v="0"/>
    <n v="0"/>
    <n v="0"/>
    <n v="46673"/>
    <n v="53025"/>
    <n v="60132"/>
    <n v="60312"/>
    <n v="220142"/>
    <n v="1.49"/>
    <n v="328011.58"/>
  </r>
  <r>
    <x v="6"/>
    <x v="75"/>
    <x v="1"/>
    <x v="1"/>
    <x v="2"/>
    <x v="0"/>
    <n v="0"/>
    <n v="0"/>
    <n v="0"/>
    <n v="0"/>
    <n v="0"/>
    <n v="112418"/>
    <n v="341228"/>
    <n v="360074"/>
    <n v="386223"/>
    <n v="374099"/>
    <n v="301040"/>
    <n v="153987"/>
    <n v="2029069"/>
    <n v="11.99"/>
    <n v="24328537.309999999"/>
  </r>
  <r>
    <x v="6"/>
    <x v="76"/>
    <x v="1"/>
    <x v="1"/>
    <x v="2"/>
    <x v="0"/>
    <n v="0"/>
    <n v="0"/>
    <n v="0"/>
    <n v="0"/>
    <n v="0"/>
    <n v="0"/>
    <n v="280340"/>
    <n v="359860"/>
    <n v="375038"/>
    <n v="366522"/>
    <n v="298678"/>
    <n v="157404"/>
    <n v="1837842"/>
    <n v="11.99"/>
    <n v="22035725.580000002"/>
  </r>
  <r>
    <x v="6"/>
    <x v="77"/>
    <x v="3"/>
    <x v="0"/>
    <x v="3"/>
    <x v="0"/>
    <n v="0"/>
    <n v="0"/>
    <n v="0"/>
    <n v="0"/>
    <n v="0"/>
    <n v="0"/>
    <n v="0"/>
    <n v="548041"/>
    <n v="590496"/>
    <n v="770128"/>
    <n v="1424044"/>
    <n v="2233964"/>
    <n v="5566673"/>
    <n v="0.99"/>
    <n v="5511006.2699999996"/>
  </r>
  <r>
    <x v="7"/>
    <x v="78"/>
    <x v="3"/>
    <x v="0"/>
    <x v="2"/>
    <x v="0"/>
    <n v="0"/>
    <n v="0"/>
    <n v="0"/>
    <n v="0"/>
    <n v="0"/>
    <n v="0"/>
    <n v="0"/>
    <n v="0"/>
    <n v="0"/>
    <n v="0"/>
    <n v="4465"/>
    <n v="5347"/>
    <n v="9812"/>
    <n v="1.49"/>
    <n v="14619.88"/>
  </r>
  <r>
    <x v="7"/>
    <x v="79"/>
    <x v="3"/>
    <x v="1"/>
    <x v="2"/>
    <x v="0"/>
    <n v="0"/>
    <n v="0"/>
    <n v="0"/>
    <n v="0"/>
    <n v="0"/>
    <n v="0"/>
    <n v="0"/>
    <n v="0"/>
    <n v="0"/>
    <n v="68243"/>
    <n v="166494"/>
    <n v="165975"/>
    <n v="400712"/>
    <n v="11.99"/>
    <n v="4804536.88"/>
  </r>
  <r>
    <x v="7"/>
    <x v="79"/>
    <x v="3"/>
    <x v="0"/>
    <x v="2"/>
    <x v="0"/>
    <n v="0"/>
    <n v="0"/>
    <n v="0"/>
    <n v="0"/>
    <n v="0"/>
    <n v="0"/>
    <n v="0"/>
    <n v="0"/>
    <n v="0"/>
    <n v="0"/>
    <n v="0"/>
    <n v="760465"/>
    <n v="760465"/>
    <n v="1.49"/>
    <n v="1133092.8500000001"/>
  </r>
  <r>
    <x v="7"/>
    <x v="79"/>
    <x v="3"/>
    <x v="0"/>
    <x v="1"/>
    <x v="0"/>
    <n v="0"/>
    <n v="0"/>
    <n v="0"/>
    <n v="0"/>
    <n v="0"/>
    <n v="0"/>
    <n v="0"/>
    <n v="0"/>
    <n v="0"/>
    <n v="0"/>
    <n v="464920"/>
    <n v="568013"/>
    <n v="1032933"/>
    <n v="3.99"/>
    <n v="4121402.6700000004"/>
  </r>
  <r>
    <x v="7"/>
    <x v="80"/>
    <x v="2"/>
    <x v="0"/>
    <x v="3"/>
    <x v="0"/>
    <n v="0"/>
    <n v="0"/>
    <n v="0"/>
    <n v="0"/>
    <n v="0"/>
    <n v="0"/>
    <n v="0"/>
    <n v="0"/>
    <n v="0"/>
    <n v="204"/>
    <n v="200"/>
    <n v="29"/>
    <n v="433"/>
    <n v="0.99"/>
    <n v="428.67"/>
  </r>
  <r>
    <x v="7"/>
    <x v="80"/>
    <x v="2"/>
    <x v="0"/>
    <x v="1"/>
    <x v="0"/>
    <n v="0"/>
    <n v="0"/>
    <n v="0"/>
    <n v="0"/>
    <n v="0"/>
    <n v="0"/>
    <n v="0"/>
    <n v="0"/>
    <n v="0"/>
    <n v="96"/>
    <n v="62"/>
    <n v="42"/>
    <n v="200"/>
    <n v="3.99"/>
    <n v="798"/>
  </r>
  <r>
    <x v="7"/>
    <x v="81"/>
    <x v="1"/>
    <x v="0"/>
    <x v="3"/>
    <x v="0"/>
    <n v="0"/>
    <n v="0"/>
    <n v="0"/>
    <n v="0"/>
    <n v="0"/>
    <n v="0"/>
    <n v="0"/>
    <n v="0"/>
    <n v="0"/>
    <n v="3423"/>
    <n v="4552"/>
    <n v="6257"/>
    <n v="14232"/>
    <n v="0.99"/>
    <n v="14089.68"/>
  </r>
  <r>
    <x v="7"/>
    <x v="82"/>
    <x v="0"/>
    <x v="0"/>
    <x v="0"/>
    <x v="0"/>
    <n v="0"/>
    <n v="0"/>
    <n v="0"/>
    <n v="0"/>
    <n v="0"/>
    <n v="0"/>
    <n v="0"/>
    <n v="0"/>
    <n v="0"/>
    <n v="3561"/>
    <n v="4346"/>
    <n v="5036"/>
    <n v="12943"/>
    <n v="1.99"/>
    <n v="25756.57"/>
  </r>
  <r>
    <x v="7"/>
    <x v="83"/>
    <x v="1"/>
    <x v="0"/>
    <x v="2"/>
    <x v="0"/>
    <n v="0"/>
    <n v="0"/>
    <n v="0"/>
    <n v="0"/>
    <n v="0"/>
    <n v="0"/>
    <n v="0"/>
    <n v="0"/>
    <n v="0"/>
    <n v="0"/>
    <n v="56833"/>
    <n v="31063"/>
    <n v="87896"/>
    <n v="1.49"/>
    <n v="130965.04"/>
  </r>
  <r>
    <x v="7"/>
    <x v="84"/>
    <x v="3"/>
    <x v="1"/>
    <x v="3"/>
    <x v="0"/>
    <n v="0"/>
    <n v="0"/>
    <n v="0"/>
    <n v="0"/>
    <n v="0"/>
    <n v="0"/>
    <n v="0"/>
    <n v="0"/>
    <n v="0"/>
    <n v="0"/>
    <n v="0"/>
    <n v="186314"/>
    <n v="186314"/>
    <n v="9.99"/>
    <n v="1861276.86"/>
  </r>
  <r>
    <x v="7"/>
    <x v="85"/>
    <x v="2"/>
    <x v="1"/>
    <x v="0"/>
    <x v="0"/>
    <n v="0"/>
    <n v="0"/>
    <n v="0"/>
    <n v="0"/>
    <n v="0"/>
    <n v="0"/>
    <n v="0"/>
    <n v="0"/>
    <n v="114"/>
    <n v="349"/>
    <n v="559"/>
    <n v="363"/>
    <n v="1385"/>
    <n v="12.99"/>
    <n v="17991.150000000001"/>
  </r>
  <r>
    <x v="7"/>
    <x v="85"/>
    <x v="2"/>
    <x v="1"/>
    <x v="1"/>
    <x v="0"/>
    <n v="0"/>
    <n v="0"/>
    <n v="0"/>
    <n v="0"/>
    <n v="0"/>
    <n v="0"/>
    <n v="0"/>
    <n v="0"/>
    <n v="66"/>
    <n v="409"/>
    <n v="372"/>
    <n v="609"/>
    <n v="1456"/>
    <n v="15.99"/>
    <n v="23281.439999999999"/>
  </r>
  <r>
    <x v="7"/>
    <x v="85"/>
    <x v="2"/>
    <x v="1"/>
    <x v="3"/>
    <x v="0"/>
    <n v="0"/>
    <n v="0"/>
    <n v="0"/>
    <n v="0"/>
    <n v="0"/>
    <n v="0"/>
    <n v="0"/>
    <n v="0"/>
    <n v="205"/>
    <n v="375"/>
    <n v="435"/>
    <n v="504"/>
    <n v="1519"/>
    <n v="9.99"/>
    <n v="15174.81"/>
  </r>
  <r>
    <x v="7"/>
    <x v="86"/>
    <x v="1"/>
    <x v="1"/>
    <x v="2"/>
    <x v="0"/>
    <n v="0"/>
    <n v="0"/>
    <n v="0"/>
    <n v="0"/>
    <n v="0"/>
    <n v="0"/>
    <n v="0"/>
    <n v="0"/>
    <n v="61"/>
    <n v="297"/>
    <n v="477"/>
    <n v="582"/>
    <n v="1417"/>
    <n v="11.99"/>
    <n v="16989.830000000002"/>
  </r>
  <r>
    <x v="8"/>
    <x v="87"/>
    <x v="1"/>
    <x v="0"/>
    <x v="3"/>
    <x v="6"/>
    <n v="107"/>
    <n v="1195"/>
    <n v="3362"/>
    <n v="4939"/>
    <n v="10938"/>
    <n v="14223"/>
    <n v="17633"/>
    <n v="32860"/>
    <n v="57407"/>
    <n v="103227"/>
    <n v="283367"/>
    <n v="544166"/>
    <n v="1073519"/>
    <n v="0.99"/>
    <n v="1062783.81"/>
  </r>
  <r>
    <x v="8"/>
    <x v="88"/>
    <x v="1"/>
    <x v="0"/>
    <x v="0"/>
    <x v="0"/>
    <n v="0"/>
    <n v="1321"/>
    <n v="2857"/>
    <n v="6911"/>
    <n v="9803"/>
    <n v="11474"/>
    <n v="17403"/>
    <n v="41885"/>
    <n v="68039"/>
    <n v="87367"/>
    <n v="186408"/>
    <n v="646451"/>
    <n v="1079919"/>
    <n v="1.99"/>
    <n v="2149038.81"/>
  </r>
  <r>
    <x v="8"/>
    <x v="89"/>
    <x v="1"/>
    <x v="1"/>
    <x v="0"/>
    <x v="0"/>
    <n v="0"/>
    <n v="0"/>
    <n v="3052"/>
    <n v="5094"/>
    <n v="7205"/>
    <n v="13180"/>
    <n v="20897"/>
    <n v="42078"/>
    <n v="71796"/>
    <n v="88883"/>
    <n v="110086"/>
    <n v="259598"/>
    <n v="621869"/>
    <n v="12.99"/>
    <n v="8078078.3100000005"/>
  </r>
  <r>
    <x v="8"/>
    <x v="90"/>
    <x v="1"/>
    <x v="0"/>
    <x v="3"/>
    <x v="0"/>
    <n v="0"/>
    <n v="0"/>
    <n v="0"/>
    <n v="4404"/>
    <n v="10069"/>
    <n v="12311"/>
    <n v="20224"/>
    <n v="38941"/>
    <n v="50741"/>
    <n v="106658"/>
    <n v="261233"/>
    <n v="869685"/>
    <n v="1374266"/>
    <n v="0.99"/>
    <n v="1360523.34"/>
  </r>
  <r>
    <x v="8"/>
    <x v="91"/>
    <x v="1"/>
    <x v="0"/>
    <x v="3"/>
    <x v="0"/>
    <n v="0"/>
    <n v="0"/>
    <n v="0"/>
    <n v="4662"/>
    <n v="9478"/>
    <n v="12207"/>
    <n v="23454"/>
    <n v="27979"/>
    <n v="48865"/>
    <n v="103954"/>
    <n v="278512"/>
    <n v="533990"/>
    <n v="1043101"/>
    <n v="0.99"/>
    <n v="1032669.99"/>
  </r>
  <r>
    <x v="8"/>
    <x v="92"/>
    <x v="1"/>
    <x v="0"/>
    <x v="1"/>
    <x v="0"/>
    <n v="0"/>
    <n v="0"/>
    <n v="0"/>
    <n v="0"/>
    <n v="10257"/>
    <n v="12506"/>
    <n v="22667"/>
    <n v="36344"/>
    <n v="62704"/>
    <n v="98539"/>
    <n v="216129"/>
    <n v="850598"/>
    <n v="1309744"/>
    <n v="3.99"/>
    <n v="5225878.5600000005"/>
  </r>
  <r>
    <x v="8"/>
    <x v="93"/>
    <x v="1"/>
    <x v="1"/>
    <x v="3"/>
    <x v="0"/>
    <n v="0"/>
    <n v="0"/>
    <n v="0"/>
    <n v="0"/>
    <n v="9076"/>
    <n v="13165"/>
    <n v="18101"/>
    <n v="36634"/>
    <n v="70360"/>
    <n v="68133"/>
    <n v="169271"/>
    <n v="220212"/>
    <n v="604952"/>
    <n v="9.99"/>
    <n v="6043470.4800000004"/>
  </r>
  <r>
    <x v="8"/>
    <x v="94"/>
    <x v="1"/>
    <x v="0"/>
    <x v="1"/>
    <x v="0"/>
    <n v="0"/>
    <n v="0"/>
    <n v="0"/>
    <n v="0"/>
    <n v="0"/>
    <n v="12904"/>
    <n v="17816"/>
    <n v="27234"/>
    <n v="65954"/>
    <n v="92622"/>
    <n v="207343"/>
    <n v="327854"/>
    <n v="751727"/>
    <n v="3.99"/>
    <n v="2999390.73"/>
  </r>
  <r>
    <x v="8"/>
    <x v="95"/>
    <x v="1"/>
    <x v="0"/>
    <x v="1"/>
    <x v="0"/>
    <n v="0"/>
    <n v="0"/>
    <n v="0"/>
    <n v="0"/>
    <n v="0"/>
    <n v="0"/>
    <n v="16348"/>
    <n v="41673"/>
    <n v="57070"/>
    <n v="98772"/>
    <n v="199364"/>
    <n v="201632"/>
    <n v="614859"/>
    <n v="3.99"/>
    <n v="2453287.41"/>
  </r>
  <r>
    <x v="8"/>
    <x v="96"/>
    <x v="1"/>
    <x v="1"/>
    <x v="1"/>
    <x v="0"/>
    <n v="0"/>
    <n v="0"/>
    <n v="0"/>
    <n v="0"/>
    <n v="0"/>
    <n v="0"/>
    <n v="17718"/>
    <n v="25620"/>
    <n v="61747"/>
    <n v="81403"/>
    <n v="130390"/>
    <n v="284083"/>
    <n v="600961"/>
    <n v="15.99"/>
    <n v="9609366.3900000006"/>
  </r>
  <r>
    <x v="8"/>
    <x v="97"/>
    <x v="1"/>
    <x v="1"/>
    <x v="0"/>
    <x v="0"/>
    <n v="0"/>
    <n v="0"/>
    <n v="0"/>
    <n v="0"/>
    <n v="0"/>
    <n v="0"/>
    <n v="0"/>
    <n v="27813"/>
    <n v="50507"/>
    <n v="88325"/>
    <n v="152209"/>
    <n v="296293"/>
    <n v="615147"/>
    <n v="12.99"/>
    <n v="7990759.5300000003"/>
  </r>
  <r>
    <x v="8"/>
    <x v="98"/>
    <x v="1"/>
    <x v="1"/>
    <x v="2"/>
    <x v="0"/>
    <n v="0"/>
    <n v="0"/>
    <n v="0"/>
    <n v="0"/>
    <n v="0"/>
    <n v="0"/>
    <n v="0"/>
    <n v="34746"/>
    <n v="71901"/>
    <n v="89096"/>
    <n v="138957"/>
    <n v="191215"/>
    <n v="525915"/>
    <n v="11.99"/>
    <n v="6305720.8500000006"/>
  </r>
  <r>
    <x v="8"/>
    <x v="99"/>
    <x v="1"/>
    <x v="0"/>
    <x v="0"/>
    <x v="0"/>
    <n v="0"/>
    <n v="0"/>
    <n v="0"/>
    <n v="0"/>
    <n v="0"/>
    <n v="0"/>
    <n v="0"/>
    <n v="0"/>
    <n v="71039"/>
    <n v="103757"/>
    <n v="225359"/>
    <n v="293938"/>
    <n v="694093"/>
    <n v="1.99"/>
    <n v="1381245.07"/>
  </r>
  <r>
    <x v="8"/>
    <x v="100"/>
    <x v="1"/>
    <x v="0"/>
    <x v="3"/>
    <x v="0"/>
    <n v="0"/>
    <n v="0"/>
    <n v="0"/>
    <n v="0"/>
    <n v="0"/>
    <n v="0"/>
    <n v="0"/>
    <n v="0"/>
    <n v="0"/>
    <n v="86247"/>
    <n v="176450"/>
    <n v="517115"/>
    <n v="779812"/>
    <n v="0.99"/>
    <n v="772013.88"/>
  </r>
  <r>
    <x v="8"/>
    <x v="101"/>
    <x v="1"/>
    <x v="1"/>
    <x v="1"/>
    <x v="0"/>
    <n v="0"/>
    <n v="0"/>
    <n v="0"/>
    <n v="0"/>
    <n v="0"/>
    <n v="0"/>
    <n v="0"/>
    <n v="0"/>
    <n v="0"/>
    <n v="0"/>
    <n v="142825"/>
    <n v="170219"/>
    <n v="313044"/>
    <n v="15.99"/>
    <n v="5005573.5600000005"/>
  </r>
  <r>
    <x v="8"/>
    <x v="102"/>
    <x v="1"/>
    <x v="1"/>
    <x v="3"/>
    <x v="0"/>
    <n v="0"/>
    <n v="0"/>
    <n v="0"/>
    <n v="0"/>
    <n v="0"/>
    <n v="0"/>
    <n v="0"/>
    <n v="0"/>
    <n v="0"/>
    <n v="0"/>
    <n v="0"/>
    <n v="276930"/>
    <n v="276930"/>
    <n v="9.99"/>
    <n v="2766530.7"/>
  </r>
  <r>
    <x v="9"/>
    <x v="103"/>
    <x v="3"/>
    <x v="0"/>
    <x v="3"/>
    <x v="0"/>
    <n v="0"/>
    <n v="0"/>
    <n v="0"/>
    <n v="0"/>
    <n v="0"/>
    <n v="0"/>
    <n v="0"/>
    <n v="0"/>
    <n v="0"/>
    <n v="0"/>
    <n v="84172"/>
    <n v="43731"/>
    <n v="127903"/>
    <n v="0.99"/>
    <n v="126623.97"/>
  </r>
  <r>
    <x v="9"/>
    <x v="104"/>
    <x v="1"/>
    <x v="0"/>
    <x v="0"/>
    <x v="0"/>
    <n v="0"/>
    <n v="0"/>
    <n v="0"/>
    <n v="0"/>
    <n v="0"/>
    <n v="0"/>
    <n v="0"/>
    <n v="0"/>
    <n v="0"/>
    <n v="0"/>
    <n v="103487"/>
    <n v="71345"/>
    <n v="174832"/>
    <n v="1.99"/>
    <n v="347915.68"/>
  </r>
  <r>
    <x v="9"/>
    <x v="105"/>
    <x v="1"/>
    <x v="1"/>
    <x v="2"/>
    <x v="0"/>
    <n v="0"/>
    <n v="0"/>
    <n v="0"/>
    <n v="0"/>
    <n v="0"/>
    <n v="0"/>
    <n v="0"/>
    <n v="0"/>
    <n v="0"/>
    <n v="0"/>
    <n v="65797"/>
    <n v="6188"/>
    <n v="71985"/>
    <n v="11.99"/>
    <n v="863100.15"/>
  </r>
  <r>
    <x v="9"/>
    <x v="106"/>
    <x v="1"/>
    <x v="1"/>
    <x v="2"/>
    <x v="0"/>
    <n v="0"/>
    <n v="0"/>
    <n v="0"/>
    <n v="0"/>
    <n v="0"/>
    <n v="0"/>
    <n v="0"/>
    <n v="0"/>
    <n v="0"/>
    <n v="0"/>
    <n v="50278"/>
    <n v="16757"/>
    <n v="67035"/>
    <n v="11.99"/>
    <n v="803749.65"/>
  </r>
  <r>
    <x v="9"/>
    <x v="107"/>
    <x v="2"/>
    <x v="0"/>
    <x v="2"/>
    <x v="0"/>
    <n v="0"/>
    <n v="0"/>
    <n v="0"/>
    <n v="0"/>
    <n v="0"/>
    <n v="0"/>
    <n v="0"/>
    <n v="0"/>
    <n v="0"/>
    <n v="0"/>
    <n v="75200"/>
    <n v="77111"/>
    <n v="152311"/>
    <n v="1.49"/>
    <n v="226943.38999999998"/>
  </r>
  <r>
    <x v="9"/>
    <x v="108"/>
    <x v="0"/>
    <x v="1"/>
    <x v="2"/>
    <x v="0"/>
    <n v="0"/>
    <n v="0"/>
    <n v="0"/>
    <n v="0"/>
    <n v="0"/>
    <n v="0"/>
    <n v="0"/>
    <n v="0"/>
    <n v="0"/>
    <n v="0"/>
    <n v="19209"/>
    <n v="22317"/>
    <n v="41526"/>
    <n v="11.99"/>
    <n v="497896.74"/>
  </r>
  <r>
    <x v="9"/>
    <x v="108"/>
    <x v="0"/>
    <x v="1"/>
    <x v="0"/>
    <x v="0"/>
    <n v="0"/>
    <n v="0"/>
    <n v="0"/>
    <n v="0"/>
    <n v="0"/>
    <n v="0"/>
    <n v="0"/>
    <n v="0"/>
    <n v="0"/>
    <n v="0"/>
    <n v="68536"/>
    <n v="15109"/>
    <n v="83645"/>
    <n v="12.99"/>
    <n v="1086548.55"/>
  </r>
  <r>
    <x v="9"/>
    <x v="108"/>
    <x v="0"/>
    <x v="1"/>
    <x v="3"/>
    <x v="0"/>
    <n v="0"/>
    <n v="0"/>
    <n v="0"/>
    <n v="0"/>
    <n v="0"/>
    <n v="0"/>
    <n v="0"/>
    <n v="0"/>
    <n v="0"/>
    <n v="0"/>
    <n v="60559"/>
    <n v="1397"/>
    <n v="61956"/>
    <n v="9.99"/>
    <n v="618940.44000000006"/>
  </r>
  <r>
    <x v="9"/>
    <x v="108"/>
    <x v="0"/>
    <x v="0"/>
    <x v="3"/>
    <x v="0"/>
    <n v="0"/>
    <n v="0"/>
    <n v="0"/>
    <n v="0"/>
    <n v="0"/>
    <n v="0"/>
    <n v="0"/>
    <n v="0"/>
    <n v="0"/>
    <n v="0"/>
    <n v="114616"/>
    <n v="74409"/>
    <n v="189025"/>
    <n v="0.99"/>
    <n v="187134.75"/>
  </r>
  <r>
    <x v="10"/>
    <x v="109"/>
    <x v="1"/>
    <x v="0"/>
    <x v="1"/>
    <x v="0"/>
    <n v="0"/>
    <n v="79945"/>
    <n v="15647"/>
    <n v="66705"/>
    <n v="42157"/>
    <n v="69162"/>
    <n v="88104"/>
    <n v="90289"/>
    <n v="84541"/>
    <n v="2396"/>
    <n v="32140"/>
    <n v="76673"/>
    <n v="647759"/>
    <n v="3.99"/>
    <n v="2584558.41"/>
  </r>
  <r>
    <x v="10"/>
    <x v="110"/>
    <x v="1"/>
    <x v="1"/>
    <x v="2"/>
    <x v="0"/>
    <n v="0"/>
    <n v="0"/>
    <n v="0"/>
    <n v="0"/>
    <n v="0"/>
    <n v="72670"/>
    <n v="96351"/>
    <n v="4915"/>
    <n v="62917"/>
    <n v="60974"/>
    <n v="58227"/>
    <n v="14915"/>
    <n v="370969"/>
    <n v="11.99"/>
    <n v="4447918.3100000005"/>
  </r>
  <r>
    <x v="10"/>
    <x v="111"/>
    <x v="2"/>
    <x v="0"/>
    <x v="2"/>
    <x v="0"/>
    <n v="0"/>
    <n v="26879"/>
    <n v="27698"/>
    <n v="32822"/>
    <n v="38924"/>
    <n v="77141"/>
    <n v="78069"/>
    <n v="20159"/>
    <n v="87667"/>
    <n v="10058"/>
    <n v="92022"/>
    <n v="97171"/>
    <n v="588610"/>
    <n v="1.49"/>
    <n v="877028.9"/>
  </r>
  <r>
    <x v="10"/>
    <x v="111"/>
    <x v="2"/>
    <x v="0"/>
    <x v="1"/>
    <x v="0"/>
    <n v="0"/>
    <n v="0"/>
    <n v="0"/>
    <n v="0"/>
    <n v="0"/>
    <n v="89830"/>
    <n v="14047"/>
    <n v="28385"/>
    <n v="74230"/>
    <n v="101559"/>
    <n v="83743"/>
    <n v="34827"/>
    <n v="426621"/>
    <n v="3.99"/>
    <n v="1702217.79"/>
  </r>
  <r>
    <x v="10"/>
    <x v="112"/>
    <x v="0"/>
    <x v="1"/>
    <x v="3"/>
    <x v="0"/>
    <n v="0"/>
    <n v="32750"/>
    <n v="47834"/>
    <n v="77447"/>
    <n v="93338"/>
    <n v="2808"/>
    <n v="86496"/>
    <n v="25149"/>
    <n v="13026"/>
    <n v="8507"/>
    <n v="22422"/>
    <n v="12644"/>
    <n v="422421"/>
    <n v="9.99"/>
    <n v="4219985.79"/>
  </r>
  <r>
    <x v="10"/>
    <x v="113"/>
    <x v="1"/>
    <x v="0"/>
    <x v="3"/>
    <x v="0"/>
    <n v="0"/>
    <n v="39700"/>
    <n v="55875"/>
    <n v="55169"/>
    <n v="33705"/>
    <n v="66210"/>
    <n v="17406"/>
    <n v="88602"/>
    <n v="87707"/>
    <n v="27006"/>
    <n v="56513"/>
    <n v="55155"/>
    <n v="583048"/>
    <n v="0.99"/>
    <n v="577217.52"/>
  </r>
  <r>
    <x v="10"/>
    <x v="114"/>
    <x v="2"/>
    <x v="1"/>
    <x v="2"/>
    <x v="0"/>
    <n v="0"/>
    <n v="0"/>
    <n v="0"/>
    <n v="0"/>
    <n v="0"/>
    <n v="0"/>
    <n v="78853"/>
    <n v="25699"/>
    <n v="58903"/>
    <n v="28543"/>
    <n v="40076"/>
    <n v="19987"/>
    <n v="252061"/>
    <n v="11.99"/>
    <n v="3022211.39"/>
  </r>
  <r>
    <x v="10"/>
    <x v="115"/>
    <x v="1"/>
    <x v="1"/>
    <x v="1"/>
    <x v="0"/>
    <n v="0"/>
    <n v="44155"/>
    <n v="57665"/>
    <n v="59776"/>
    <n v="43316"/>
    <n v="67509"/>
    <n v="93328"/>
    <n v="65571"/>
    <n v="84151"/>
    <n v="51764"/>
    <n v="17276"/>
    <n v="32339"/>
    <n v="616850"/>
    <n v="15.99"/>
    <n v="9863431.5"/>
  </r>
  <r>
    <x v="10"/>
    <x v="116"/>
    <x v="2"/>
    <x v="1"/>
    <x v="1"/>
    <x v="0"/>
    <n v="0"/>
    <n v="0"/>
    <n v="0"/>
    <n v="0"/>
    <n v="0"/>
    <n v="0"/>
    <n v="0"/>
    <n v="0"/>
    <n v="0"/>
    <n v="5164"/>
    <n v="22593"/>
    <n v="31254"/>
    <n v="59011"/>
    <n v="15.99"/>
    <n v="943585.89"/>
  </r>
  <r>
    <x v="11"/>
    <x v="117"/>
    <x v="3"/>
    <x v="0"/>
    <x v="0"/>
    <x v="0"/>
    <n v="0"/>
    <n v="0"/>
    <n v="0"/>
    <n v="0"/>
    <n v="0"/>
    <n v="68990"/>
    <n v="11327"/>
    <n v="8467"/>
    <n v="57582"/>
    <n v="80334"/>
    <n v="26641"/>
    <n v="27160"/>
    <n v="280501"/>
    <n v="1.99"/>
    <n v="558196.99"/>
  </r>
  <r>
    <x v="11"/>
    <x v="118"/>
    <x v="2"/>
    <x v="0"/>
    <x v="0"/>
    <x v="0"/>
    <n v="0"/>
    <n v="0"/>
    <n v="0"/>
    <n v="0"/>
    <n v="0"/>
    <n v="91919"/>
    <n v="58524"/>
    <n v="45061"/>
    <n v="80018"/>
    <n v="58831"/>
    <n v="66666"/>
    <n v="33377"/>
    <n v="434396"/>
    <n v="1.99"/>
    <n v="864448.04"/>
  </r>
  <r>
    <x v="11"/>
    <x v="119"/>
    <x v="2"/>
    <x v="1"/>
    <x v="2"/>
    <x v="0"/>
    <n v="0"/>
    <n v="0"/>
    <n v="0"/>
    <n v="0"/>
    <n v="0"/>
    <n v="73781"/>
    <n v="83663"/>
    <n v="9603"/>
    <n v="35164"/>
    <n v="64947"/>
    <n v="23341"/>
    <n v="17334"/>
    <n v="307833"/>
    <n v="11.99"/>
    <n v="3690917.67"/>
  </r>
  <r>
    <x v="11"/>
    <x v="120"/>
    <x v="2"/>
    <x v="0"/>
    <x v="3"/>
    <x v="0"/>
    <n v="0"/>
    <n v="0"/>
    <n v="0"/>
    <n v="0"/>
    <n v="0"/>
    <n v="80719"/>
    <n v="45080"/>
    <n v="18957"/>
    <n v="13365"/>
    <n v="2484"/>
    <n v="113817"/>
    <n v="39643"/>
    <n v="314065"/>
    <n v="0.99"/>
    <n v="310924.34999999998"/>
  </r>
  <r>
    <x v="11"/>
    <x v="121"/>
    <x v="2"/>
    <x v="0"/>
    <x v="3"/>
    <x v="0"/>
    <n v="0"/>
    <n v="0"/>
    <n v="0"/>
    <n v="0"/>
    <n v="0"/>
    <n v="91743"/>
    <n v="71807"/>
    <n v="10844"/>
    <n v="63295"/>
    <n v="103279"/>
    <n v="36000"/>
    <n v="92427"/>
    <n v="469395"/>
    <n v="0.99"/>
    <n v="464701.05"/>
  </r>
  <r>
    <x v="11"/>
    <x v="122"/>
    <x v="2"/>
    <x v="0"/>
    <x v="0"/>
    <x v="0"/>
    <n v="0"/>
    <n v="0"/>
    <n v="0"/>
    <n v="0"/>
    <n v="0"/>
    <n v="26332"/>
    <n v="1613"/>
    <n v="71488"/>
    <n v="46267"/>
    <n v="84489"/>
    <n v="33510"/>
    <n v="22786"/>
    <n v="286485"/>
    <n v="1.99"/>
    <n v="570105.15"/>
  </r>
  <r>
    <x v="11"/>
    <x v="123"/>
    <x v="2"/>
    <x v="1"/>
    <x v="2"/>
    <x v="0"/>
    <n v="0"/>
    <n v="0"/>
    <n v="0"/>
    <n v="0"/>
    <n v="0"/>
    <n v="37960"/>
    <n v="28783"/>
    <n v="24813"/>
    <n v="87542"/>
    <n v="73763"/>
    <n v="54739"/>
    <n v="24941"/>
    <n v="332541"/>
    <n v="11.99"/>
    <n v="3987166.59"/>
  </r>
  <r>
    <x v="11"/>
    <x v="124"/>
    <x v="2"/>
    <x v="0"/>
    <x v="0"/>
    <x v="0"/>
    <n v="0"/>
    <n v="0"/>
    <n v="0"/>
    <n v="0"/>
    <n v="0"/>
    <n v="41493"/>
    <n v="94075"/>
    <n v="16134"/>
    <n v="87712"/>
    <n v="102373"/>
    <n v="100308"/>
    <n v="63501"/>
    <n v="505596"/>
    <n v="1.99"/>
    <n v="1006136.04"/>
  </r>
  <r>
    <x v="12"/>
    <x v="125"/>
    <x v="0"/>
    <x v="1"/>
    <x v="1"/>
    <x v="7"/>
    <n v="1570"/>
    <n v="2999"/>
    <n v="4531"/>
    <n v="5140"/>
    <n v="8229"/>
    <n v="11145"/>
    <n v="16019"/>
    <n v="18929"/>
    <n v="25288"/>
    <n v="33516"/>
    <n v="38217"/>
    <n v="20791"/>
    <n v="194002"/>
    <n v="15.99"/>
    <n v="3102091.98"/>
  </r>
  <r>
    <x v="12"/>
    <x v="126"/>
    <x v="3"/>
    <x v="1"/>
    <x v="2"/>
    <x v="0"/>
    <n v="2986"/>
    <n v="3386"/>
    <n v="4168"/>
    <n v="5431"/>
    <n v="8773"/>
    <n v="11678"/>
    <n v="15449"/>
    <n v="17664"/>
    <n v="28933"/>
    <n v="27743"/>
    <n v="35111"/>
    <n v="20629"/>
    <n v="181951"/>
    <n v="11.99"/>
    <n v="2181592.4900000002"/>
  </r>
  <r>
    <x v="12"/>
    <x v="127"/>
    <x v="1"/>
    <x v="0"/>
    <x v="2"/>
    <x v="0"/>
    <n v="0"/>
    <n v="0"/>
    <n v="4689"/>
    <n v="5574"/>
    <n v="9926"/>
    <n v="14173"/>
    <n v="16302"/>
    <n v="19609"/>
    <n v="29950"/>
    <n v="37525"/>
    <n v="59263"/>
    <n v="71167"/>
    <n v="268178"/>
    <n v="1.49"/>
    <n v="399585.22"/>
  </r>
  <r>
    <x v="12"/>
    <x v="128"/>
    <x v="2"/>
    <x v="1"/>
    <x v="1"/>
    <x v="0"/>
    <n v="0"/>
    <n v="0"/>
    <n v="4014"/>
    <n v="5593"/>
    <n v="8476"/>
    <n v="12038"/>
    <n v="16174"/>
    <n v="18098"/>
    <n v="28304"/>
    <n v="28692"/>
    <n v="41705"/>
    <n v="24239"/>
    <n v="187333"/>
    <n v="15.99"/>
    <n v="2995454.67"/>
  </r>
  <r>
    <x v="12"/>
    <x v="129"/>
    <x v="3"/>
    <x v="0"/>
    <x v="1"/>
    <x v="0"/>
    <n v="0"/>
    <n v="0"/>
    <n v="4136"/>
    <n v="5902"/>
    <n v="9285"/>
    <n v="10051"/>
    <n v="15925"/>
    <n v="19311"/>
    <n v="26245"/>
    <n v="40403"/>
    <n v="55140"/>
    <n v="64891"/>
    <n v="251289"/>
    <n v="3.99"/>
    <n v="1002643.1100000001"/>
  </r>
  <r>
    <x v="12"/>
    <x v="130"/>
    <x v="1"/>
    <x v="1"/>
    <x v="1"/>
    <x v="0"/>
    <n v="0"/>
    <n v="0"/>
    <n v="0"/>
    <n v="5941"/>
    <n v="7613"/>
    <n v="12419"/>
    <n v="15377"/>
    <n v="19133"/>
    <n v="29472"/>
    <n v="33983"/>
    <n v="36885"/>
    <n v="24746"/>
    <n v="185569"/>
    <n v="15.99"/>
    <n v="2967248.31"/>
  </r>
  <r>
    <x v="12"/>
    <x v="131"/>
    <x v="2"/>
    <x v="0"/>
    <x v="1"/>
    <x v="0"/>
    <n v="0"/>
    <n v="0"/>
    <n v="0"/>
    <n v="5951"/>
    <n v="9276"/>
    <n v="12254"/>
    <n v="16140"/>
    <n v="18543"/>
    <n v="25037"/>
    <n v="38614"/>
    <n v="51691"/>
    <n v="64237"/>
    <n v="241743"/>
    <n v="3.99"/>
    <n v="964554.57000000007"/>
  </r>
  <r>
    <x v="12"/>
    <x v="132"/>
    <x v="1"/>
    <x v="0"/>
    <x v="1"/>
    <x v="0"/>
    <n v="0"/>
    <n v="0"/>
    <n v="0"/>
    <n v="0"/>
    <n v="9021"/>
    <n v="13148"/>
    <n v="15187"/>
    <n v="18205"/>
    <n v="26326"/>
    <n v="36762"/>
    <n v="66209"/>
    <n v="60325"/>
    <n v="245183"/>
    <n v="3.99"/>
    <n v="978280.17"/>
  </r>
  <r>
    <x v="12"/>
    <x v="133"/>
    <x v="3"/>
    <x v="0"/>
    <x v="0"/>
    <x v="0"/>
    <n v="0"/>
    <n v="0"/>
    <n v="0"/>
    <n v="0"/>
    <n v="9007"/>
    <n v="11459"/>
    <n v="16581"/>
    <n v="17716"/>
    <n v="26215"/>
    <n v="35130"/>
    <n v="66519"/>
    <n v="72571"/>
    <n v="255198"/>
    <n v="1.99"/>
    <n v="507844.02"/>
  </r>
  <r>
    <x v="12"/>
    <x v="134"/>
    <x v="1"/>
    <x v="0"/>
    <x v="3"/>
    <x v="0"/>
    <n v="0"/>
    <n v="0"/>
    <n v="0"/>
    <n v="0"/>
    <n v="0"/>
    <n v="10062"/>
    <n v="15425"/>
    <n v="17304"/>
    <n v="25440"/>
    <n v="37480"/>
    <n v="60833"/>
    <n v="69629"/>
    <n v="236173"/>
    <n v="0.99"/>
    <n v="233811.27"/>
  </r>
  <r>
    <x v="12"/>
    <x v="135"/>
    <x v="1"/>
    <x v="0"/>
    <x v="2"/>
    <x v="0"/>
    <n v="0"/>
    <n v="0"/>
    <n v="0"/>
    <n v="0"/>
    <n v="0"/>
    <n v="12492"/>
    <n v="15818"/>
    <n v="17484"/>
    <n v="29841"/>
    <n v="40700"/>
    <n v="56286"/>
    <n v="60912"/>
    <n v="233533"/>
    <n v="1.49"/>
    <n v="347964.17"/>
  </r>
  <r>
    <x v="12"/>
    <x v="136"/>
    <x v="2"/>
    <x v="0"/>
    <x v="2"/>
    <x v="0"/>
    <n v="0"/>
    <n v="0"/>
    <n v="0"/>
    <n v="0"/>
    <n v="0"/>
    <n v="12255"/>
    <n v="16542"/>
    <n v="18867"/>
    <n v="27431"/>
    <n v="42484"/>
    <n v="52979"/>
    <n v="64934"/>
    <n v="235492"/>
    <n v="1.49"/>
    <n v="350883.08"/>
  </r>
  <r>
    <x v="12"/>
    <x v="137"/>
    <x v="0"/>
    <x v="1"/>
    <x v="0"/>
    <x v="0"/>
    <n v="0"/>
    <n v="0"/>
    <n v="0"/>
    <n v="0"/>
    <n v="0"/>
    <n v="14698"/>
    <n v="15914"/>
    <n v="19443"/>
    <n v="27888"/>
    <n v="27685"/>
    <n v="37471"/>
    <n v="23231"/>
    <n v="166330"/>
    <n v="12.99"/>
    <n v="2160626.7000000002"/>
  </r>
  <r>
    <x v="12"/>
    <x v="138"/>
    <x v="1"/>
    <x v="1"/>
    <x v="2"/>
    <x v="0"/>
    <n v="0"/>
    <n v="0"/>
    <n v="0"/>
    <n v="0"/>
    <n v="0"/>
    <n v="13160"/>
    <n v="16435"/>
    <n v="18119"/>
    <n v="28041"/>
    <n v="30253"/>
    <n v="29021"/>
    <n v="23121"/>
    <n v="158150"/>
    <n v="11.99"/>
    <n v="1896218.5"/>
  </r>
  <r>
    <x v="12"/>
    <x v="139"/>
    <x v="3"/>
    <x v="1"/>
    <x v="2"/>
    <x v="0"/>
    <n v="0"/>
    <n v="0"/>
    <n v="0"/>
    <n v="0"/>
    <n v="0"/>
    <n v="0"/>
    <n v="16714"/>
    <n v="19064"/>
    <n v="29361"/>
    <n v="28966"/>
    <n v="40796"/>
    <n v="25019"/>
    <n v="159920"/>
    <n v="11.99"/>
    <n v="1917440.8"/>
  </r>
  <r>
    <x v="12"/>
    <x v="140"/>
    <x v="1"/>
    <x v="0"/>
    <x v="2"/>
    <x v="0"/>
    <n v="0"/>
    <n v="0"/>
    <n v="0"/>
    <n v="0"/>
    <n v="0"/>
    <n v="0"/>
    <n v="0"/>
    <n v="18398"/>
    <n v="28403"/>
    <n v="43804"/>
    <n v="51534"/>
    <n v="70316"/>
    <n v="212455"/>
    <n v="1.49"/>
    <n v="316557.95"/>
  </r>
  <r>
    <x v="12"/>
    <x v="140"/>
    <x v="1"/>
    <x v="0"/>
    <x v="3"/>
    <x v="0"/>
    <n v="0"/>
    <n v="0"/>
    <n v="0"/>
    <n v="0"/>
    <n v="0"/>
    <n v="0"/>
    <n v="15404"/>
    <n v="19588"/>
    <n v="26779"/>
    <n v="41409"/>
    <n v="64098"/>
    <n v="69657"/>
    <n v="236935"/>
    <n v="0.99"/>
    <n v="234565.65"/>
  </r>
  <r>
    <x v="12"/>
    <x v="140"/>
    <x v="1"/>
    <x v="0"/>
    <x v="0"/>
    <x v="0"/>
    <n v="0"/>
    <n v="0"/>
    <n v="0"/>
    <n v="0"/>
    <n v="0"/>
    <n v="0"/>
    <n v="16117"/>
    <n v="17432"/>
    <n v="27953"/>
    <n v="38243"/>
    <n v="65757"/>
    <n v="67076"/>
    <n v="232578"/>
    <n v="1.99"/>
    <n v="462830.22"/>
  </r>
  <r>
    <x v="12"/>
    <x v="141"/>
    <x v="0"/>
    <x v="1"/>
    <x v="3"/>
    <x v="0"/>
    <n v="0"/>
    <n v="0"/>
    <n v="0"/>
    <n v="0"/>
    <n v="0"/>
    <n v="0"/>
    <n v="0"/>
    <n v="17487"/>
    <n v="27781"/>
    <n v="29981"/>
    <n v="36472"/>
    <n v="25206"/>
    <n v="136927"/>
    <n v="9.99"/>
    <n v="1367900.73"/>
  </r>
  <r>
    <x v="12"/>
    <x v="142"/>
    <x v="1"/>
    <x v="0"/>
    <x v="1"/>
    <x v="0"/>
    <n v="0"/>
    <n v="0"/>
    <n v="0"/>
    <n v="0"/>
    <n v="0"/>
    <n v="0"/>
    <n v="0"/>
    <n v="18970"/>
    <n v="27041"/>
    <n v="43604"/>
    <n v="51218"/>
    <n v="68416"/>
    <n v="209249"/>
    <n v="3.99"/>
    <n v="834903.51"/>
  </r>
  <r>
    <x v="12"/>
    <x v="143"/>
    <x v="0"/>
    <x v="1"/>
    <x v="2"/>
    <x v="0"/>
    <n v="0"/>
    <n v="0"/>
    <n v="0"/>
    <n v="0"/>
    <n v="0"/>
    <n v="0"/>
    <n v="0"/>
    <n v="0"/>
    <n v="27263"/>
    <n v="28580"/>
    <n v="36026"/>
    <n v="21648"/>
    <n v="113517"/>
    <n v="11.99"/>
    <n v="1361068.83"/>
  </r>
  <r>
    <x v="12"/>
    <x v="143"/>
    <x v="0"/>
    <x v="1"/>
    <x v="1"/>
    <x v="0"/>
    <n v="0"/>
    <n v="0"/>
    <n v="0"/>
    <n v="0"/>
    <n v="0"/>
    <n v="0"/>
    <n v="0"/>
    <n v="0"/>
    <n v="26944"/>
    <n v="30229"/>
    <n v="36614"/>
    <n v="22013"/>
    <n v="115800"/>
    <n v="15.99"/>
    <n v="1851642"/>
  </r>
  <r>
    <x v="12"/>
    <x v="143"/>
    <x v="0"/>
    <x v="1"/>
    <x v="3"/>
    <x v="0"/>
    <n v="0"/>
    <n v="0"/>
    <n v="0"/>
    <n v="0"/>
    <n v="0"/>
    <n v="0"/>
    <n v="0"/>
    <n v="0"/>
    <n v="25030"/>
    <n v="33736"/>
    <n v="40403"/>
    <n v="21537"/>
    <n v="120706"/>
    <n v="9.99"/>
    <n v="1205852.94"/>
  </r>
  <r>
    <x v="12"/>
    <x v="143"/>
    <x v="0"/>
    <x v="0"/>
    <x v="1"/>
    <x v="0"/>
    <n v="0"/>
    <n v="0"/>
    <n v="0"/>
    <n v="0"/>
    <n v="0"/>
    <n v="0"/>
    <n v="0"/>
    <n v="19016"/>
    <n v="28424"/>
    <n v="40856"/>
    <n v="49007"/>
    <n v="61197"/>
    <n v="198500"/>
    <n v="3.99"/>
    <n v="792015"/>
  </r>
  <r>
    <x v="12"/>
    <x v="144"/>
    <x v="2"/>
    <x v="1"/>
    <x v="3"/>
    <x v="0"/>
    <n v="0"/>
    <n v="0"/>
    <n v="0"/>
    <n v="0"/>
    <n v="0"/>
    <n v="0"/>
    <n v="0"/>
    <n v="0"/>
    <n v="26948"/>
    <n v="27488"/>
    <n v="28494"/>
    <n v="24875"/>
    <n v="107805"/>
    <n v="9.99"/>
    <n v="1076971.95"/>
  </r>
  <r>
    <x v="12"/>
    <x v="145"/>
    <x v="3"/>
    <x v="0"/>
    <x v="2"/>
    <x v="0"/>
    <n v="0"/>
    <n v="0"/>
    <n v="0"/>
    <n v="0"/>
    <n v="0"/>
    <n v="0"/>
    <n v="0"/>
    <n v="0"/>
    <n v="0"/>
    <n v="43012"/>
    <n v="63861"/>
    <n v="64833"/>
    <n v="171706"/>
    <n v="1.49"/>
    <n v="255841.94"/>
  </r>
  <r>
    <x v="12"/>
    <x v="146"/>
    <x v="3"/>
    <x v="0"/>
    <x v="3"/>
    <x v="0"/>
    <n v="0"/>
    <n v="0"/>
    <n v="0"/>
    <n v="0"/>
    <n v="0"/>
    <n v="0"/>
    <n v="0"/>
    <n v="0"/>
    <n v="0"/>
    <n v="37581"/>
    <n v="62352"/>
    <n v="69730"/>
    <n v="169663"/>
    <n v="0.99"/>
    <n v="167966.37"/>
  </r>
  <r>
    <x v="12"/>
    <x v="147"/>
    <x v="1"/>
    <x v="1"/>
    <x v="2"/>
    <x v="0"/>
    <n v="0"/>
    <n v="0"/>
    <n v="0"/>
    <n v="0"/>
    <n v="0"/>
    <n v="0"/>
    <n v="0"/>
    <n v="0"/>
    <n v="0"/>
    <n v="28097"/>
    <n v="31133"/>
    <n v="23561"/>
    <n v="82791"/>
    <n v="11.99"/>
    <n v="992664.09"/>
  </r>
  <r>
    <x v="12"/>
    <x v="147"/>
    <x v="1"/>
    <x v="1"/>
    <x v="0"/>
    <x v="0"/>
    <n v="0"/>
    <n v="0"/>
    <n v="0"/>
    <n v="0"/>
    <n v="0"/>
    <n v="0"/>
    <n v="0"/>
    <n v="0"/>
    <n v="0"/>
    <n v="32839"/>
    <n v="32696"/>
    <n v="22459"/>
    <n v="87994"/>
    <n v="12.99"/>
    <n v="1143042.06"/>
  </r>
  <r>
    <x v="12"/>
    <x v="147"/>
    <x v="1"/>
    <x v="0"/>
    <x v="2"/>
    <x v="0"/>
    <n v="0"/>
    <n v="0"/>
    <n v="0"/>
    <n v="0"/>
    <n v="0"/>
    <n v="0"/>
    <n v="0"/>
    <n v="0"/>
    <n v="0"/>
    <n v="35847"/>
    <n v="53032"/>
    <n v="65920"/>
    <n v="154799"/>
    <n v="1.49"/>
    <n v="230650.51"/>
  </r>
  <r>
    <x v="12"/>
    <x v="147"/>
    <x v="1"/>
    <x v="0"/>
    <x v="3"/>
    <x v="0"/>
    <n v="0"/>
    <n v="0"/>
    <n v="0"/>
    <n v="0"/>
    <n v="0"/>
    <n v="0"/>
    <n v="0"/>
    <n v="0"/>
    <n v="0"/>
    <n v="36256"/>
    <n v="57192"/>
    <n v="60963"/>
    <n v="154411"/>
    <n v="0.99"/>
    <n v="152866.88999999998"/>
  </r>
  <r>
    <x v="13"/>
    <x v="148"/>
    <x v="3"/>
    <x v="1"/>
    <x v="0"/>
    <x v="0"/>
    <n v="0"/>
    <n v="694450"/>
    <n v="753850"/>
    <n v="762557"/>
    <n v="776087"/>
    <n v="786251"/>
    <n v="820706"/>
    <n v="826363"/>
    <n v="893696"/>
    <n v="863650"/>
    <n v="687546"/>
    <n v="351642"/>
    <n v="8216798"/>
    <n v="12.99"/>
    <n v="106736206.02"/>
  </r>
  <r>
    <x v="13"/>
    <x v="149"/>
    <x v="3"/>
    <x v="1"/>
    <x v="1"/>
    <x v="0"/>
    <n v="0"/>
    <n v="603229"/>
    <n v="752809"/>
    <n v="760729"/>
    <n v="779695"/>
    <n v="780761"/>
    <n v="822764"/>
    <n v="831377"/>
    <n v="897819"/>
    <n v="867515"/>
    <n v="687959"/>
    <n v="570585"/>
    <n v="8355242"/>
    <n v="15.99"/>
    <n v="133600319.58"/>
  </r>
  <r>
    <x v="13"/>
    <x v="150"/>
    <x v="2"/>
    <x v="0"/>
    <x v="0"/>
    <x v="0"/>
    <n v="0"/>
    <n v="1071"/>
    <n v="2925"/>
    <n v="3996"/>
    <n v="4740"/>
    <n v="5516"/>
    <n v="7043"/>
    <n v="9992"/>
    <n v="17866"/>
    <n v="24831"/>
    <n v="31991"/>
    <n v="43200"/>
    <n v="153171"/>
    <n v="1.99"/>
    <n v="304810.28999999998"/>
  </r>
  <r>
    <x v="13"/>
    <x v="151"/>
    <x v="2"/>
    <x v="1"/>
    <x v="1"/>
    <x v="0"/>
    <n v="0"/>
    <n v="0"/>
    <n v="3423"/>
    <n v="4270"/>
    <n v="4590"/>
    <n v="5202"/>
    <n v="7915"/>
    <n v="9791"/>
    <n v="17518"/>
    <n v="18539"/>
    <n v="19037"/>
    <n v="13031"/>
    <n v="103316"/>
    <n v="15.99"/>
    <n v="1652022.84"/>
  </r>
  <r>
    <x v="13"/>
    <x v="152"/>
    <x v="0"/>
    <x v="1"/>
    <x v="0"/>
    <x v="0"/>
    <n v="0"/>
    <n v="0"/>
    <n v="0"/>
    <n v="0"/>
    <n v="0"/>
    <n v="0"/>
    <n v="7169"/>
    <n v="9348"/>
    <n v="16276"/>
    <n v="19843"/>
    <n v="18504"/>
    <n v="13672"/>
    <n v="84812"/>
    <n v="12.99"/>
    <n v="1101707.8800000001"/>
  </r>
  <r>
    <x v="13"/>
    <x v="152"/>
    <x v="0"/>
    <x v="1"/>
    <x v="1"/>
    <x v="0"/>
    <n v="0"/>
    <n v="0"/>
    <n v="0"/>
    <n v="3683"/>
    <n v="4910"/>
    <n v="5368"/>
    <n v="8858"/>
    <n v="9128"/>
    <n v="19525"/>
    <n v="20137"/>
    <n v="18032"/>
    <n v="11939"/>
    <n v="101580"/>
    <n v="15.99"/>
    <n v="1624264.2"/>
  </r>
  <r>
    <x v="13"/>
    <x v="152"/>
    <x v="0"/>
    <x v="1"/>
    <x v="3"/>
    <x v="0"/>
    <n v="0"/>
    <n v="0"/>
    <n v="0"/>
    <n v="0"/>
    <n v="0"/>
    <n v="0"/>
    <n v="0"/>
    <n v="9834"/>
    <n v="19341"/>
    <n v="21603"/>
    <n v="20420"/>
    <n v="15290"/>
    <n v="86488"/>
    <n v="9.99"/>
    <n v="864015.12"/>
  </r>
  <r>
    <x v="13"/>
    <x v="152"/>
    <x v="0"/>
    <x v="0"/>
    <x v="2"/>
    <x v="0"/>
    <n v="0"/>
    <n v="0"/>
    <n v="0"/>
    <n v="0"/>
    <n v="0"/>
    <n v="5468"/>
    <n v="7185"/>
    <n v="9632"/>
    <n v="19724"/>
    <n v="24994"/>
    <n v="33197"/>
    <n v="35166"/>
    <n v="135366"/>
    <n v="1.49"/>
    <n v="201695.34"/>
  </r>
  <r>
    <x v="13"/>
    <x v="152"/>
    <x v="0"/>
    <x v="0"/>
    <x v="0"/>
    <x v="0"/>
    <n v="0"/>
    <n v="0"/>
    <n v="0"/>
    <n v="0"/>
    <n v="0"/>
    <n v="0"/>
    <n v="7378"/>
    <n v="9075"/>
    <n v="19955"/>
    <n v="22759"/>
    <n v="32076"/>
    <n v="36018"/>
    <n v="127261"/>
    <n v="1.99"/>
    <n v="253249.38999999998"/>
  </r>
  <r>
    <x v="13"/>
    <x v="153"/>
    <x v="1"/>
    <x v="1"/>
    <x v="3"/>
    <x v="0"/>
    <n v="0"/>
    <n v="0"/>
    <n v="0"/>
    <n v="0"/>
    <n v="0"/>
    <n v="0"/>
    <n v="0"/>
    <n v="9145"/>
    <n v="18799"/>
    <n v="18284"/>
    <n v="18179"/>
    <n v="15254"/>
    <n v="79661"/>
    <n v="9.99"/>
    <n v="795813.39"/>
  </r>
  <r>
    <x v="13"/>
    <x v="154"/>
    <x v="2"/>
    <x v="0"/>
    <x v="0"/>
    <x v="0"/>
    <n v="0"/>
    <n v="0"/>
    <n v="0"/>
    <n v="0"/>
    <n v="0"/>
    <n v="0"/>
    <n v="0"/>
    <n v="0"/>
    <n v="19140"/>
    <n v="22442"/>
    <n v="32780"/>
    <n v="38627"/>
    <n v="112989"/>
    <n v="1.99"/>
    <n v="224848.11"/>
  </r>
  <r>
    <x v="13"/>
    <x v="155"/>
    <x v="0"/>
    <x v="1"/>
    <x v="0"/>
    <x v="0"/>
    <n v="0"/>
    <n v="0"/>
    <n v="0"/>
    <n v="0"/>
    <n v="0"/>
    <n v="0"/>
    <n v="0"/>
    <n v="0"/>
    <n v="0"/>
    <n v="19910"/>
    <n v="19583"/>
    <n v="12273"/>
    <n v="51766"/>
    <n v="12.99"/>
    <n v="672440.34"/>
  </r>
  <r>
    <x v="13"/>
    <x v="155"/>
    <x v="0"/>
    <x v="0"/>
    <x v="3"/>
    <x v="0"/>
    <n v="0"/>
    <n v="0"/>
    <n v="0"/>
    <n v="0"/>
    <n v="0"/>
    <n v="0"/>
    <n v="0"/>
    <n v="0"/>
    <n v="0"/>
    <n v="27842"/>
    <n v="30607"/>
    <n v="35266"/>
    <n v="93715"/>
    <n v="0.99"/>
    <n v="92777.85"/>
  </r>
  <r>
    <x v="13"/>
    <x v="156"/>
    <x v="1"/>
    <x v="0"/>
    <x v="2"/>
    <x v="0"/>
    <n v="0"/>
    <n v="0"/>
    <n v="0"/>
    <n v="0"/>
    <n v="0"/>
    <n v="0"/>
    <n v="0"/>
    <n v="0"/>
    <n v="0"/>
    <n v="23826"/>
    <n v="31638"/>
    <n v="40105"/>
    <n v="95569"/>
    <n v="1.49"/>
    <n v="142397.81"/>
  </r>
  <r>
    <x v="13"/>
    <x v="157"/>
    <x v="1"/>
    <x v="1"/>
    <x v="1"/>
    <x v="0"/>
    <n v="0"/>
    <n v="0"/>
    <n v="0"/>
    <n v="0"/>
    <n v="0"/>
    <n v="0"/>
    <n v="0"/>
    <n v="0"/>
    <n v="0"/>
    <n v="21684"/>
    <n v="18333"/>
    <n v="12505"/>
    <n v="52522"/>
    <n v="15.99"/>
    <n v="839826.78"/>
  </r>
  <r>
    <x v="14"/>
    <x v="158"/>
    <x v="3"/>
    <x v="0"/>
    <x v="1"/>
    <x v="0"/>
    <n v="0"/>
    <n v="0"/>
    <n v="0"/>
    <n v="14675"/>
    <n v="17700"/>
    <n v="29384"/>
    <n v="44387"/>
    <n v="51981"/>
    <n v="97297"/>
    <n v="168211"/>
    <n v="390997"/>
    <n v="521872"/>
    <n v="1336504"/>
    <n v="3.99"/>
    <n v="5332650.96"/>
  </r>
  <r>
    <x v="14"/>
    <x v="159"/>
    <x v="2"/>
    <x v="1"/>
    <x v="2"/>
    <x v="0"/>
    <n v="0"/>
    <n v="0"/>
    <n v="0"/>
    <n v="0"/>
    <n v="0"/>
    <n v="7060"/>
    <n v="14504"/>
    <n v="19480"/>
    <n v="28697"/>
    <n v="38521"/>
    <n v="67579"/>
    <n v="33448"/>
    <n v="209289"/>
    <n v="11.99"/>
    <n v="2509375.11"/>
  </r>
  <r>
    <x v="14"/>
    <x v="160"/>
    <x v="0"/>
    <x v="0"/>
    <x v="1"/>
    <x v="0"/>
    <n v="0"/>
    <n v="0"/>
    <n v="0"/>
    <n v="0"/>
    <n v="0"/>
    <n v="0"/>
    <n v="41164"/>
    <n v="50757"/>
    <n v="95957"/>
    <n v="205646"/>
    <n v="336987"/>
    <n v="648333"/>
    <n v="1378844"/>
    <n v="3.99"/>
    <n v="5501587.5600000005"/>
  </r>
  <r>
    <x v="14"/>
    <x v="161"/>
    <x v="2"/>
    <x v="0"/>
    <x v="3"/>
    <x v="0"/>
    <n v="0"/>
    <n v="0"/>
    <n v="0"/>
    <n v="0"/>
    <n v="0"/>
    <n v="0"/>
    <n v="6062"/>
    <n v="13091"/>
    <n v="17547"/>
    <n v="34585"/>
    <n v="49021"/>
    <n v="83921"/>
    <n v="204227"/>
    <n v="0.99"/>
    <n v="202184.73"/>
  </r>
  <r>
    <x v="14"/>
    <x v="162"/>
    <x v="0"/>
    <x v="0"/>
    <x v="2"/>
    <x v="0"/>
    <n v="0"/>
    <n v="0"/>
    <n v="0"/>
    <n v="0"/>
    <n v="0"/>
    <n v="0"/>
    <n v="0"/>
    <n v="17720"/>
    <n v="34731"/>
    <n v="45774"/>
    <n v="111022"/>
    <n v="98375"/>
    <n v="307622"/>
    <n v="1.49"/>
    <n v="458356.77999999997"/>
  </r>
  <r>
    <x v="14"/>
    <x v="163"/>
    <x v="0"/>
    <x v="0"/>
    <x v="0"/>
    <x v="0"/>
    <n v="0"/>
    <n v="0"/>
    <n v="0"/>
    <n v="0"/>
    <n v="0"/>
    <n v="0"/>
    <n v="0"/>
    <n v="17801"/>
    <n v="31473"/>
    <n v="42688"/>
    <n v="111022"/>
    <n v="98375"/>
    <n v="301359"/>
    <n v="1.99"/>
    <n v="599704.41"/>
  </r>
  <r>
    <x v="14"/>
    <x v="164"/>
    <x v="3"/>
    <x v="1"/>
    <x v="2"/>
    <x v="0"/>
    <n v="0"/>
    <n v="0"/>
    <n v="0"/>
    <n v="0"/>
    <n v="17685"/>
    <n v="31505"/>
    <n v="42923"/>
    <n v="56711"/>
    <n v="82746"/>
    <n v="221052"/>
    <n v="216574"/>
    <n v="194082"/>
    <n v="863278"/>
    <n v="11.99"/>
    <n v="10350703.220000001"/>
  </r>
  <r>
    <x v="14"/>
    <x v="165"/>
    <x v="2"/>
    <x v="0"/>
    <x v="1"/>
    <x v="0"/>
    <n v="0"/>
    <n v="0"/>
    <n v="0"/>
    <n v="0"/>
    <n v="0"/>
    <n v="0"/>
    <n v="0"/>
    <n v="5508"/>
    <n v="13123"/>
    <n v="20480"/>
    <n v="38561"/>
    <n v="43345"/>
    <n v="121017"/>
    <n v="3.99"/>
    <n v="482857.83"/>
  </r>
  <r>
    <x v="14"/>
    <x v="166"/>
    <x v="0"/>
    <x v="1"/>
    <x v="0"/>
    <x v="0"/>
    <n v="0"/>
    <n v="0"/>
    <n v="0"/>
    <n v="0"/>
    <n v="0"/>
    <n v="0"/>
    <n v="0"/>
    <n v="0"/>
    <n v="0"/>
    <n v="56185"/>
    <n v="67882"/>
    <n v="26058"/>
    <n v="150125"/>
    <n v="12.99"/>
    <n v="1950123.75"/>
  </r>
  <r>
    <x v="14"/>
    <x v="167"/>
    <x v="0"/>
    <x v="0"/>
    <x v="0"/>
    <x v="0"/>
    <n v="0"/>
    <n v="0"/>
    <n v="0"/>
    <n v="0"/>
    <n v="0"/>
    <n v="0"/>
    <n v="0"/>
    <n v="0"/>
    <n v="0"/>
    <n v="15552"/>
    <n v="6994"/>
    <n v="46785"/>
    <n v="69331"/>
    <n v="1.99"/>
    <n v="137968.69"/>
  </r>
  <r>
    <x v="14"/>
    <x v="168"/>
    <x v="2"/>
    <x v="1"/>
    <x v="1"/>
    <x v="0"/>
    <n v="0"/>
    <n v="0"/>
    <n v="0"/>
    <n v="0"/>
    <n v="0"/>
    <n v="0"/>
    <n v="0"/>
    <n v="0"/>
    <n v="29955"/>
    <n v="36267"/>
    <n v="35096"/>
    <n v="26551"/>
    <n v="127869"/>
    <n v="15.99"/>
    <n v="2044625.31"/>
  </r>
  <r>
    <x v="14"/>
    <x v="169"/>
    <x v="2"/>
    <x v="0"/>
    <x v="0"/>
    <x v="0"/>
    <n v="0"/>
    <n v="0"/>
    <n v="0"/>
    <n v="0"/>
    <n v="0"/>
    <n v="0"/>
    <n v="0"/>
    <n v="0"/>
    <n v="32879"/>
    <n v="49723"/>
    <n v="62711"/>
    <n v="76378"/>
    <n v="221691"/>
    <n v="1.99"/>
    <n v="441165.09"/>
  </r>
  <r>
    <x v="14"/>
    <x v="170"/>
    <x v="3"/>
    <x v="0"/>
    <x v="3"/>
    <x v="0"/>
    <n v="0"/>
    <n v="0"/>
    <n v="0"/>
    <n v="0"/>
    <n v="0"/>
    <n v="28512"/>
    <n v="43488"/>
    <n v="53964"/>
    <n v="94923"/>
    <n v="225790"/>
    <n v="348248"/>
    <n v="591209"/>
    <n v="1386134"/>
    <n v="0.99"/>
    <n v="1372272.66"/>
  </r>
  <r>
    <x v="14"/>
    <x v="171"/>
    <x v="1"/>
    <x v="1"/>
    <x v="1"/>
    <x v="8"/>
    <n v="712"/>
    <n v="4541"/>
    <n v="5102"/>
    <n v="12993"/>
    <n v="19268"/>
    <n v="34090"/>
    <n v="44002"/>
    <n v="55482"/>
    <n v="87989"/>
    <n v="184387"/>
    <n v="231980"/>
    <n v="205703"/>
    <n v="895675"/>
    <n v="15.99"/>
    <n v="14321843.25"/>
  </r>
  <r>
    <x v="14"/>
    <x v="171"/>
    <x v="1"/>
    <x v="1"/>
    <x v="3"/>
    <x v="9"/>
    <n v="339"/>
    <n v="3947"/>
    <n v="5253"/>
    <n v="13600"/>
    <n v="19613"/>
    <n v="32615"/>
    <n v="40608"/>
    <n v="57726"/>
    <n v="80551"/>
    <n v="193695"/>
    <n v="204161"/>
    <n v="171474"/>
    <n v="896843"/>
    <n v="9.99"/>
    <n v="8959461.5700000003"/>
  </r>
  <r>
    <x v="14"/>
    <x v="171"/>
    <x v="1"/>
    <x v="0"/>
    <x v="0"/>
    <x v="10"/>
    <n v="802"/>
    <n v="3281"/>
    <n v="5898"/>
    <n v="13175"/>
    <n v="16631"/>
    <n v="34620"/>
    <n v="41977"/>
    <n v="54695"/>
    <n v="94555"/>
    <n v="245086"/>
    <n v="316199"/>
    <n v="545318"/>
    <n v="1466031"/>
    <n v="1.99"/>
    <n v="2917401.69"/>
  </r>
  <r>
    <x v="14"/>
    <x v="172"/>
    <x v="3"/>
    <x v="1"/>
    <x v="0"/>
    <x v="0"/>
    <n v="0"/>
    <n v="0"/>
    <n v="0"/>
    <n v="0"/>
    <n v="0"/>
    <n v="0"/>
    <n v="44841"/>
    <n v="61623"/>
    <n v="78969"/>
    <n v="156641"/>
    <n v="193120"/>
    <n v="177995"/>
    <n v="713189"/>
    <n v="12.99"/>
    <n v="9264325.1099999994"/>
  </r>
  <r>
    <x v="15"/>
    <x v="173"/>
    <x v="1"/>
    <x v="0"/>
    <x v="2"/>
    <x v="0"/>
    <n v="0"/>
    <n v="124782"/>
    <n v="133052"/>
    <n v="136403"/>
    <n v="170642"/>
    <n v="213068"/>
    <n v="292711"/>
    <n v="301985"/>
    <n v="550810"/>
    <n v="765172"/>
    <n v="1119838"/>
    <n v="1974488"/>
    <n v="5782951"/>
    <n v="1.49"/>
    <n v="8616596.9900000002"/>
  </r>
  <r>
    <x v="15"/>
    <x v="174"/>
    <x v="2"/>
    <x v="1"/>
    <x v="1"/>
    <x v="0"/>
    <n v="0"/>
    <n v="100875"/>
    <n v="130592"/>
    <n v="137448"/>
    <n v="153428"/>
    <n v="248489"/>
    <n v="276833"/>
    <n v="375943"/>
    <n v="553407"/>
    <n v="629566"/>
    <n v="604492"/>
    <n v="348747"/>
    <n v="3559820"/>
    <n v="15.99"/>
    <n v="56921521.800000004"/>
  </r>
  <r>
    <x v="15"/>
    <x v="175"/>
    <x v="2"/>
    <x v="0"/>
    <x v="1"/>
    <x v="0"/>
    <n v="0"/>
    <n v="114456"/>
    <n v="129719"/>
    <n v="143142"/>
    <n v="150346"/>
    <n v="222733"/>
    <n v="287357"/>
    <n v="313384"/>
    <n v="500970"/>
    <n v="672617"/>
    <n v="996904"/>
    <n v="1139103"/>
    <n v="4670731"/>
    <n v="3.99"/>
    <n v="18636216.690000001"/>
  </r>
  <r>
    <x v="15"/>
    <x v="176"/>
    <x v="2"/>
    <x v="0"/>
    <x v="0"/>
    <x v="0"/>
    <n v="0"/>
    <n v="107906"/>
    <n v="125545"/>
    <n v="139058"/>
    <n v="171302"/>
    <n v="220264"/>
    <n v="282981"/>
    <n v="341082"/>
    <n v="494346"/>
    <n v="707358"/>
    <n v="898803"/>
    <n v="1293079"/>
    <n v="4781724"/>
    <n v="1.99"/>
    <n v="9515630.7599999998"/>
  </r>
  <r>
    <x v="15"/>
    <x v="177"/>
    <x v="2"/>
    <x v="1"/>
    <x v="0"/>
    <x v="0"/>
    <n v="0"/>
    <n v="0"/>
    <n v="125302"/>
    <n v="135847"/>
    <n v="151657"/>
    <n v="211946"/>
    <n v="283704"/>
    <n v="310405"/>
    <n v="507711"/>
    <n v="541246"/>
    <n v="655402"/>
    <n v="361884"/>
    <n v="3285104"/>
    <n v="12.99"/>
    <n v="42673500.960000001"/>
  </r>
  <r>
    <x v="15"/>
    <x v="178"/>
    <x v="2"/>
    <x v="0"/>
    <x v="1"/>
    <x v="0"/>
    <n v="0"/>
    <n v="0"/>
    <n v="132250"/>
    <n v="140056"/>
    <n v="145651"/>
    <n v="239186"/>
    <n v="297237"/>
    <n v="380548"/>
    <n v="478798"/>
    <n v="795256"/>
    <n v="997880"/>
    <n v="1996972"/>
    <n v="5603834"/>
    <n v="3.99"/>
    <n v="22359297.66"/>
  </r>
  <r>
    <x v="15"/>
    <x v="179"/>
    <x v="2"/>
    <x v="0"/>
    <x v="1"/>
    <x v="0"/>
    <n v="0"/>
    <n v="0"/>
    <n v="125424"/>
    <n v="142609"/>
    <n v="170790"/>
    <n v="238804"/>
    <n v="277575"/>
    <n v="356558"/>
    <n v="515509"/>
    <n v="798902"/>
    <n v="1021499"/>
    <n v="1025423"/>
    <n v="4673093"/>
    <n v="3.99"/>
    <n v="18645641.07"/>
  </r>
  <r>
    <x v="15"/>
    <x v="180"/>
    <x v="2"/>
    <x v="1"/>
    <x v="2"/>
    <x v="0"/>
    <n v="0"/>
    <n v="0"/>
    <n v="126892"/>
    <n v="139796"/>
    <n v="149267"/>
    <n v="249694"/>
    <n v="275544"/>
    <n v="303094"/>
    <n v="543793"/>
    <n v="572249"/>
    <n v="650291"/>
    <n v="468388"/>
    <n v="3479008"/>
    <n v="11.99"/>
    <n v="41713305.920000002"/>
  </r>
  <r>
    <x v="15"/>
    <x v="181"/>
    <x v="2"/>
    <x v="1"/>
    <x v="0"/>
    <x v="0"/>
    <n v="0"/>
    <n v="0"/>
    <n v="0"/>
    <n v="144203"/>
    <n v="154826"/>
    <n v="180606"/>
    <n v="276882"/>
    <n v="359856"/>
    <n v="456479"/>
    <n v="549973"/>
    <n v="662120"/>
    <n v="612076"/>
    <n v="3397021"/>
    <n v="12.99"/>
    <n v="44127302.789999999"/>
  </r>
  <r>
    <x v="15"/>
    <x v="182"/>
    <x v="2"/>
    <x v="0"/>
    <x v="0"/>
    <x v="0"/>
    <n v="0"/>
    <n v="0"/>
    <n v="0"/>
    <n v="139849"/>
    <n v="150055"/>
    <n v="245965"/>
    <n v="292712"/>
    <n v="395843"/>
    <n v="532904"/>
    <n v="691088"/>
    <n v="872908"/>
    <n v="1081698"/>
    <n v="4403022"/>
    <n v="1.99"/>
    <n v="8762013.7799999993"/>
  </r>
  <r>
    <x v="15"/>
    <x v="183"/>
    <x v="2"/>
    <x v="1"/>
    <x v="3"/>
    <x v="0"/>
    <n v="0"/>
    <n v="0"/>
    <n v="0"/>
    <n v="136082"/>
    <n v="157353"/>
    <n v="181781"/>
    <n v="282160"/>
    <n v="372613"/>
    <n v="543473"/>
    <n v="633733"/>
    <n v="686014"/>
    <n v="437838"/>
    <n v="3431047"/>
    <n v="9.99"/>
    <n v="34276159.530000001"/>
  </r>
  <r>
    <x v="15"/>
    <x v="184"/>
    <x v="2"/>
    <x v="1"/>
    <x v="2"/>
    <x v="0"/>
    <n v="0"/>
    <n v="0"/>
    <n v="0"/>
    <n v="144662"/>
    <n v="171513"/>
    <n v="226562"/>
    <n v="282987"/>
    <n v="338600"/>
    <n v="522477"/>
    <n v="559566"/>
    <n v="578398"/>
    <n v="422074"/>
    <n v="3246839"/>
    <n v="11.99"/>
    <n v="38929599.609999999"/>
  </r>
  <r>
    <x v="15"/>
    <x v="185"/>
    <x v="2"/>
    <x v="0"/>
    <x v="1"/>
    <x v="0"/>
    <n v="0"/>
    <n v="0"/>
    <n v="0"/>
    <n v="0"/>
    <n v="157260"/>
    <n v="187533"/>
    <n v="281710"/>
    <n v="376093"/>
    <n v="527579"/>
    <n v="804990"/>
    <n v="1059179"/>
    <n v="1203461"/>
    <n v="4597805"/>
    <n v="3.99"/>
    <n v="18345241.949999999"/>
  </r>
  <r>
    <x v="15"/>
    <x v="186"/>
    <x v="2"/>
    <x v="0"/>
    <x v="1"/>
    <x v="0"/>
    <n v="0"/>
    <n v="0"/>
    <n v="0"/>
    <n v="0"/>
    <n v="159928"/>
    <n v="214030"/>
    <n v="287372"/>
    <n v="351060"/>
    <n v="554083"/>
    <n v="677345"/>
    <n v="876796"/>
    <n v="1976084"/>
    <n v="5096698"/>
    <n v="3.99"/>
    <n v="20335825.02"/>
  </r>
  <r>
    <x v="15"/>
    <x v="187"/>
    <x v="2"/>
    <x v="0"/>
    <x v="3"/>
    <x v="0"/>
    <n v="0"/>
    <n v="0"/>
    <n v="0"/>
    <n v="0"/>
    <n v="168251"/>
    <n v="204334"/>
    <n v="282078"/>
    <n v="361071"/>
    <n v="501941"/>
    <n v="691466"/>
    <n v="1004096"/>
    <n v="1370185"/>
    <n v="4583422"/>
    <n v="0.99"/>
    <n v="4537587.78"/>
  </r>
  <r>
    <x v="15"/>
    <x v="188"/>
    <x v="2"/>
    <x v="1"/>
    <x v="3"/>
    <x v="0"/>
    <n v="0"/>
    <n v="0"/>
    <n v="0"/>
    <n v="0"/>
    <n v="0"/>
    <n v="213851"/>
    <n v="275476"/>
    <n v="306629"/>
    <n v="501449"/>
    <n v="622287"/>
    <n v="578277"/>
    <n v="627068"/>
    <n v="3125037"/>
    <n v="9.99"/>
    <n v="31219119.629999999"/>
  </r>
  <r>
    <x v="15"/>
    <x v="189"/>
    <x v="2"/>
    <x v="0"/>
    <x v="1"/>
    <x v="0"/>
    <n v="0"/>
    <n v="0"/>
    <n v="0"/>
    <n v="0"/>
    <n v="0"/>
    <n v="180163"/>
    <n v="299517"/>
    <n v="325268"/>
    <n v="490993"/>
    <n v="815684"/>
    <n v="972951"/>
    <n v="1449026"/>
    <n v="4533602"/>
    <n v="3.99"/>
    <n v="18089071.98"/>
  </r>
  <r>
    <x v="15"/>
    <x v="190"/>
    <x v="2"/>
    <x v="1"/>
    <x v="2"/>
    <x v="0"/>
    <n v="0"/>
    <n v="0"/>
    <n v="0"/>
    <n v="0"/>
    <n v="0"/>
    <n v="217697"/>
    <n v="281764"/>
    <n v="324759"/>
    <n v="517785"/>
    <n v="653060"/>
    <n v="694989"/>
    <n v="423851"/>
    <n v="3113905"/>
    <n v="11.99"/>
    <n v="37335720.950000003"/>
  </r>
  <r>
    <x v="15"/>
    <x v="191"/>
    <x v="2"/>
    <x v="1"/>
    <x v="0"/>
    <x v="0"/>
    <n v="0"/>
    <n v="0"/>
    <n v="0"/>
    <n v="0"/>
    <n v="0"/>
    <n v="0"/>
    <n v="298902"/>
    <n v="300189"/>
    <n v="461456"/>
    <n v="553680"/>
    <n v="543381"/>
    <n v="548107"/>
    <n v="2705715"/>
    <n v="12.99"/>
    <n v="35147237.850000001"/>
  </r>
  <r>
    <x v="15"/>
    <x v="192"/>
    <x v="2"/>
    <x v="1"/>
    <x v="3"/>
    <x v="0"/>
    <n v="0"/>
    <n v="0"/>
    <n v="0"/>
    <n v="0"/>
    <n v="0"/>
    <n v="0"/>
    <n v="277618"/>
    <n v="395912"/>
    <n v="505624"/>
    <n v="540967"/>
    <n v="666072"/>
    <n v="654298"/>
    <n v="3040491"/>
    <n v="9.99"/>
    <n v="30374505.09"/>
  </r>
  <r>
    <x v="15"/>
    <x v="193"/>
    <x v="2"/>
    <x v="0"/>
    <x v="3"/>
    <x v="0"/>
    <n v="0"/>
    <n v="0"/>
    <n v="0"/>
    <n v="0"/>
    <n v="0"/>
    <n v="0"/>
    <n v="0"/>
    <n v="313437"/>
    <n v="513413"/>
    <n v="782846"/>
    <n v="1117757"/>
    <n v="1427822"/>
    <n v="4155275"/>
    <n v="0.99"/>
    <n v="4113722.25"/>
  </r>
  <r>
    <x v="15"/>
    <x v="194"/>
    <x v="2"/>
    <x v="1"/>
    <x v="1"/>
    <x v="0"/>
    <n v="0"/>
    <n v="0"/>
    <n v="0"/>
    <n v="0"/>
    <n v="0"/>
    <n v="0"/>
    <n v="0"/>
    <n v="0"/>
    <n v="467075"/>
    <n v="564197"/>
    <n v="575362"/>
    <n v="412067"/>
    <n v="2018701"/>
    <n v="15.99"/>
    <n v="32279028.990000002"/>
  </r>
  <r>
    <x v="15"/>
    <x v="195"/>
    <x v="2"/>
    <x v="0"/>
    <x v="1"/>
    <x v="0"/>
    <n v="0"/>
    <n v="0"/>
    <n v="0"/>
    <n v="0"/>
    <n v="0"/>
    <n v="0"/>
    <n v="0"/>
    <n v="0"/>
    <n v="0"/>
    <n v="767899"/>
    <n v="984050"/>
    <n v="1581156"/>
    <n v="3333105"/>
    <n v="3.99"/>
    <n v="13299088.950000001"/>
  </r>
  <r>
    <x v="15"/>
    <x v="196"/>
    <x v="2"/>
    <x v="1"/>
    <x v="2"/>
    <x v="0"/>
    <n v="0"/>
    <n v="0"/>
    <n v="0"/>
    <n v="0"/>
    <n v="0"/>
    <n v="0"/>
    <n v="0"/>
    <n v="0"/>
    <n v="0"/>
    <n v="664383"/>
    <n v="546682"/>
    <n v="530753"/>
    <n v="1741818"/>
    <n v="11.99"/>
    <n v="20884397.82"/>
  </r>
  <r>
    <x v="16"/>
    <x v="197"/>
    <x v="0"/>
    <x v="1"/>
    <x v="0"/>
    <x v="0"/>
    <n v="0"/>
    <n v="0"/>
    <n v="0"/>
    <n v="0"/>
    <n v="417630"/>
    <n v="486466"/>
    <n v="343049"/>
    <n v="445616"/>
    <n v="487035"/>
    <n v="255238"/>
    <n v="289581"/>
    <n v="128142"/>
    <n v="2852757"/>
    <n v="12.99"/>
    <n v="37057313.43"/>
  </r>
  <r>
    <x v="16"/>
    <x v="197"/>
    <x v="0"/>
    <x v="1"/>
    <x v="1"/>
    <x v="0"/>
    <n v="0"/>
    <n v="0"/>
    <n v="0"/>
    <n v="0"/>
    <n v="0"/>
    <n v="0"/>
    <n v="456255"/>
    <n v="271282"/>
    <n v="294482"/>
    <n v="246294"/>
    <n v="324076"/>
    <n v="126315"/>
    <n v="1718704"/>
    <n v="15.99"/>
    <n v="27482076.960000001"/>
  </r>
  <r>
    <x v="16"/>
    <x v="197"/>
    <x v="0"/>
    <x v="1"/>
    <x v="3"/>
    <x v="0"/>
    <n v="0"/>
    <n v="0"/>
    <n v="0"/>
    <n v="0"/>
    <n v="0"/>
    <n v="441721"/>
    <n v="412079"/>
    <n v="285218"/>
    <n v="381474"/>
    <n v="311834"/>
    <n v="336538"/>
    <n v="150421"/>
    <n v="2319285"/>
    <n v="9.99"/>
    <n v="23169657.150000002"/>
  </r>
  <r>
    <x v="16"/>
    <x v="197"/>
    <x v="0"/>
    <x v="0"/>
    <x v="3"/>
    <x v="0"/>
    <n v="0"/>
    <n v="0"/>
    <n v="0"/>
    <n v="0"/>
    <n v="0"/>
    <n v="283030"/>
    <n v="354472"/>
    <n v="413938"/>
    <n v="252135"/>
    <n v="513436"/>
    <n v="335890"/>
    <n v="385396"/>
    <n v="2538297"/>
    <n v="0.99"/>
    <n v="2512914.0299999998"/>
  </r>
  <r>
    <x v="16"/>
    <x v="197"/>
    <x v="0"/>
    <x v="0"/>
    <x v="0"/>
    <x v="0"/>
    <n v="0"/>
    <n v="0"/>
    <n v="0"/>
    <n v="0"/>
    <n v="0"/>
    <n v="0"/>
    <n v="0"/>
    <n v="459545"/>
    <n v="311340"/>
    <n v="338890"/>
    <n v="467453"/>
    <n v="414345"/>
    <n v="1991573"/>
    <n v="1.99"/>
    <n v="3963230.27"/>
  </r>
  <r>
    <x v="16"/>
    <x v="197"/>
    <x v="0"/>
    <x v="0"/>
    <x v="1"/>
    <x v="0"/>
    <n v="0"/>
    <n v="0"/>
    <n v="0"/>
    <n v="0"/>
    <n v="0"/>
    <n v="0"/>
    <n v="295421"/>
    <n v="399838"/>
    <n v="491274"/>
    <n v="320565"/>
    <n v="452298"/>
    <n v="387119"/>
    <n v="2346515"/>
    <n v="3.99"/>
    <n v="9362594.8499999996"/>
  </r>
  <r>
    <x v="16"/>
    <x v="198"/>
    <x v="0"/>
    <x v="0"/>
    <x v="1"/>
    <x v="0"/>
    <n v="0"/>
    <n v="0"/>
    <n v="0"/>
    <n v="0"/>
    <n v="0"/>
    <n v="0"/>
    <n v="0"/>
    <n v="271958"/>
    <n v="473775"/>
    <n v="390143"/>
    <n v="528111"/>
    <n v="320124"/>
    <n v="1984111"/>
    <n v="3.99"/>
    <n v="7916602.8900000006"/>
  </r>
  <r>
    <x v="16"/>
    <x v="199"/>
    <x v="0"/>
    <x v="1"/>
    <x v="2"/>
    <x v="0"/>
    <n v="0"/>
    <n v="0"/>
    <n v="0"/>
    <n v="0"/>
    <n v="0"/>
    <n v="0"/>
    <n v="0"/>
    <n v="0"/>
    <n v="0"/>
    <n v="259733"/>
    <n v="282127"/>
    <n v="129308"/>
    <n v="671168"/>
    <n v="11.99"/>
    <n v="8047304.3200000003"/>
  </r>
  <r>
    <x v="16"/>
    <x v="199"/>
    <x v="0"/>
    <x v="1"/>
    <x v="1"/>
    <x v="0"/>
    <n v="0"/>
    <n v="0"/>
    <n v="0"/>
    <n v="0"/>
    <n v="0"/>
    <n v="0"/>
    <n v="0"/>
    <n v="0"/>
    <n v="458002"/>
    <n v="303193"/>
    <n v="258824"/>
    <n v="165254"/>
    <n v="1185273"/>
    <n v="15.99"/>
    <n v="18952515.27"/>
  </r>
  <r>
    <x v="16"/>
    <x v="199"/>
    <x v="0"/>
    <x v="0"/>
    <x v="3"/>
    <x v="0"/>
    <n v="0"/>
    <n v="0"/>
    <n v="0"/>
    <n v="0"/>
    <n v="0"/>
    <n v="0"/>
    <n v="0"/>
    <n v="0"/>
    <n v="392065"/>
    <n v="414207"/>
    <n v="297090"/>
    <n v="295238"/>
    <n v="1398600"/>
    <n v="0.99"/>
    <n v="1384614"/>
  </r>
  <r>
    <x v="16"/>
    <x v="199"/>
    <x v="0"/>
    <x v="0"/>
    <x v="0"/>
    <x v="0"/>
    <n v="0"/>
    <n v="0"/>
    <n v="0"/>
    <n v="0"/>
    <n v="0"/>
    <n v="0"/>
    <n v="0"/>
    <n v="407848"/>
    <n v="390467"/>
    <n v="378567"/>
    <n v="463171"/>
    <n v="355236"/>
    <n v="1995289"/>
    <n v="1.99"/>
    <n v="3970625.11"/>
  </r>
  <r>
    <x v="16"/>
    <x v="200"/>
    <x v="3"/>
    <x v="0"/>
    <x v="2"/>
    <x v="0"/>
    <n v="0"/>
    <n v="0"/>
    <n v="0"/>
    <n v="0"/>
    <n v="0"/>
    <n v="0"/>
    <n v="0"/>
    <n v="0"/>
    <n v="0"/>
    <n v="399781"/>
    <n v="375589"/>
    <n v="339083"/>
    <n v="1114453"/>
    <n v="1.49"/>
    <n v="1660534.97"/>
  </r>
  <r>
    <x v="17"/>
    <x v="201"/>
    <x v="0"/>
    <x v="1"/>
    <x v="1"/>
    <x v="0"/>
    <n v="0"/>
    <n v="0"/>
    <n v="0"/>
    <n v="0"/>
    <n v="0"/>
    <n v="0"/>
    <n v="0"/>
    <n v="0"/>
    <n v="0"/>
    <n v="350186"/>
    <n v="298526"/>
    <n v="162401"/>
    <n v="811113"/>
    <n v="15.99"/>
    <n v="12969696.870000001"/>
  </r>
  <r>
    <x v="17"/>
    <x v="202"/>
    <x v="0"/>
    <x v="1"/>
    <x v="1"/>
    <x v="0"/>
    <n v="0"/>
    <n v="0"/>
    <n v="0"/>
    <n v="0"/>
    <n v="0"/>
    <n v="0"/>
    <n v="0"/>
    <n v="0"/>
    <n v="0"/>
    <n v="262358"/>
    <n v="196431"/>
    <n v="98687"/>
    <n v="557476"/>
    <n v="15.99"/>
    <n v="8914041.2400000002"/>
  </r>
  <r>
    <x v="17"/>
    <x v="203"/>
    <x v="2"/>
    <x v="0"/>
    <x v="1"/>
    <x v="0"/>
    <n v="0"/>
    <n v="0"/>
    <n v="0"/>
    <n v="0"/>
    <n v="0"/>
    <n v="0"/>
    <n v="0"/>
    <n v="0"/>
    <n v="0"/>
    <n v="384823"/>
    <n v="491096"/>
    <n v="436679"/>
    <n v="1312598"/>
    <n v="3.99"/>
    <n v="5237266.0200000005"/>
  </r>
  <r>
    <x v="18"/>
    <x v="204"/>
    <x v="0"/>
    <x v="0"/>
    <x v="1"/>
    <x v="0"/>
    <n v="0"/>
    <n v="0"/>
    <n v="0"/>
    <n v="0"/>
    <n v="0"/>
    <n v="0"/>
    <n v="0"/>
    <n v="0"/>
    <n v="18667"/>
    <n v="22345"/>
    <n v="37223"/>
    <n v="50606"/>
    <n v="128841"/>
    <n v="3.99"/>
    <n v="514075.59"/>
  </r>
  <r>
    <x v="18"/>
    <x v="205"/>
    <x v="0"/>
    <x v="1"/>
    <x v="2"/>
    <x v="0"/>
    <n v="0"/>
    <n v="0"/>
    <n v="0"/>
    <n v="0"/>
    <n v="0"/>
    <n v="0"/>
    <n v="0"/>
    <n v="0"/>
    <n v="17537"/>
    <n v="20008"/>
    <n v="21234"/>
    <n v="13993"/>
    <n v="72772"/>
    <n v="11.99"/>
    <n v="872536.28"/>
  </r>
  <r>
    <x v="18"/>
    <x v="206"/>
    <x v="2"/>
    <x v="1"/>
    <x v="0"/>
    <x v="0"/>
    <n v="0"/>
    <n v="0"/>
    <n v="0"/>
    <n v="0"/>
    <n v="0"/>
    <n v="0"/>
    <n v="144"/>
    <n v="290"/>
    <n v="650"/>
    <n v="812"/>
    <n v="829"/>
    <n v="536"/>
    <n v="3261"/>
    <n v="12.99"/>
    <n v="42360.39"/>
  </r>
  <r>
    <x v="18"/>
    <x v="207"/>
    <x v="0"/>
    <x v="1"/>
    <x v="3"/>
    <x v="0"/>
    <n v="0"/>
    <n v="0"/>
    <n v="0"/>
    <n v="0"/>
    <n v="0"/>
    <n v="0"/>
    <n v="0"/>
    <n v="0"/>
    <n v="0"/>
    <n v="22403"/>
    <n v="23694"/>
    <n v="14381"/>
    <n v="60478"/>
    <n v="9.99"/>
    <n v="604175.22"/>
  </r>
  <r>
    <x v="18"/>
    <x v="208"/>
    <x v="1"/>
    <x v="1"/>
    <x v="3"/>
    <x v="0"/>
    <n v="0"/>
    <n v="0"/>
    <n v="0"/>
    <n v="0"/>
    <n v="0"/>
    <n v="0"/>
    <n v="232"/>
    <n v="479"/>
    <n v="632"/>
    <n v="814"/>
    <n v="833"/>
    <n v="546"/>
    <n v="3536"/>
    <n v="9.99"/>
    <n v="35324.639999999999"/>
  </r>
  <r>
    <x v="18"/>
    <x v="209"/>
    <x v="1"/>
    <x v="0"/>
    <x v="2"/>
    <x v="0"/>
    <n v="0"/>
    <n v="0"/>
    <n v="0"/>
    <n v="0"/>
    <n v="0"/>
    <n v="0"/>
    <n v="0"/>
    <n v="415"/>
    <n v="552"/>
    <n v="958"/>
    <n v="1272"/>
    <n v="1544"/>
    <n v="4741"/>
    <n v="1.49"/>
    <n v="7064.09"/>
  </r>
  <r>
    <x v="18"/>
    <x v="210"/>
    <x v="1"/>
    <x v="0"/>
    <x v="3"/>
    <x v="0"/>
    <n v="0"/>
    <n v="0"/>
    <n v="0"/>
    <n v="0"/>
    <n v="0"/>
    <n v="0"/>
    <n v="0"/>
    <n v="0"/>
    <n v="547"/>
    <n v="935"/>
    <n v="1240"/>
    <n v="1672"/>
    <n v="4394"/>
    <n v="0.99"/>
    <n v="4350.0600000000004"/>
  </r>
  <r>
    <x v="18"/>
    <x v="211"/>
    <x v="0"/>
    <x v="0"/>
    <x v="2"/>
    <x v="0"/>
    <n v="0"/>
    <n v="0"/>
    <n v="0"/>
    <n v="0"/>
    <n v="0"/>
    <n v="0"/>
    <n v="0"/>
    <n v="0"/>
    <n v="0"/>
    <n v="22326"/>
    <n v="38127"/>
    <n v="46264"/>
    <n v="106717"/>
    <n v="1.49"/>
    <n v="159008.32999999999"/>
  </r>
  <r>
    <x v="18"/>
    <x v="212"/>
    <x v="1"/>
    <x v="1"/>
    <x v="2"/>
    <x v="0"/>
    <n v="0"/>
    <n v="0"/>
    <n v="0"/>
    <n v="0"/>
    <n v="0"/>
    <n v="0"/>
    <n v="0"/>
    <n v="0"/>
    <n v="541"/>
    <n v="780"/>
    <n v="809"/>
    <n v="560"/>
    <n v="2690"/>
    <n v="11.99"/>
    <n v="32253.100000000002"/>
  </r>
  <r>
    <x v="18"/>
    <x v="213"/>
    <x v="1"/>
    <x v="0"/>
    <x v="0"/>
    <x v="0"/>
    <n v="0"/>
    <n v="0"/>
    <n v="0"/>
    <n v="0"/>
    <n v="0"/>
    <n v="0"/>
    <n v="0"/>
    <n v="0"/>
    <n v="735"/>
    <n v="851"/>
    <n v="1265"/>
    <n v="1574"/>
    <n v="4425"/>
    <n v="1.99"/>
    <n v="8805.75"/>
  </r>
  <r>
    <x v="18"/>
    <x v="214"/>
    <x v="1"/>
    <x v="1"/>
    <x v="2"/>
    <x v="0"/>
    <n v="0"/>
    <n v="0"/>
    <n v="0"/>
    <n v="0"/>
    <n v="0"/>
    <n v="0"/>
    <n v="0"/>
    <n v="0"/>
    <n v="526"/>
    <n v="835"/>
    <n v="810"/>
    <n v="555"/>
    <n v="2726"/>
    <n v="11.99"/>
    <n v="32684.74"/>
  </r>
  <r>
    <x v="18"/>
    <x v="215"/>
    <x v="0"/>
    <x v="0"/>
    <x v="0"/>
    <x v="0"/>
    <n v="0"/>
    <n v="0"/>
    <n v="0"/>
    <n v="0"/>
    <n v="0"/>
    <n v="0"/>
    <n v="0"/>
    <n v="0"/>
    <n v="0"/>
    <n v="0"/>
    <n v="37214"/>
    <n v="53805"/>
    <n v="91019"/>
    <n v="1.99"/>
    <n v="181127.81"/>
  </r>
  <r>
    <x v="18"/>
    <x v="216"/>
    <x v="3"/>
    <x v="1"/>
    <x v="1"/>
    <x v="0"/>
    <n v="0"/>
    <n v="0"/>
    <n v="0"/>
    <n v="0"/>
    <n v="0"/>
    <n v="0"/>
    <n v="0"/>
    <n v="0"/>
    <n v="0"/>
    <n v="0"/>
    <n v="0"/>
    <n v="15281"/>
    <n v="15281"/>
    <n v="15.99"/>
    <n v="244343.19"/>
  </r>
  <r>
    <x v="18"/>
    <x v="217"/>
    <x v="3"/>
    <x v="1"/>
    <x v="0"/>
    <x v="0"/>
    <n v="0"/>
    <n v="0"/>
    <n v="0"/>
    <n v="0"/>
    <n v="0"/>
    <n v="0"/>
    <n v="0"/>
    <n v="0"/>
    <n v="0"/>
    <n v="0"/>
    <n v="0"/>
    <n v="16539"/>
    <n v="16539"/>
    <n v="12.99"/>
    <n v="214841.61000000002"/>
  </r>
  <r>
    <x v="19"/>
    <x v="218"/>
    <x v="3"/>
    <x v="1"/>
    <x v="0"/>
    <x v="0"/>
    <n v="0"/>
    <n v="0"/>
    <n v="0"/>
    <n v="0"/>
    <n v="0"/>
    <n v="0"/>
    <n v="80356"/>
    <n v="10921"/>
    <n v="77670"/>
    <n v="72875"/>
    <n v="64775"/>
    <n v="4601"/>
    <n v="311198"/>
    <n v="12.99"/>
    <n v="4042462.02"/>
  </r>
  <r>
    <x v="19"/>
    <x v="219"/>
    <x v="0"/>
    <x v="1"/>
    <x v="2"/>
    <x v="0"/>
    <n v="0"/>
    <n v="0"/>
    <n v="0"/>
    <n v="0"/>
    <n v="0"/>
    <n v="68194"/>
    <n v="70023"/>
    <n v="88140"/>
    <n v="95730"/>
    <n v="29544"/>
    <n v="13728"/>
    <n v="29532"/>
    <n v="394891"/>
    <n v="11.99"/>
    <n v="4734743.09"/>
  </r>
  <r>
    <x v="19"/>
    <x v="219"/>
    <x v="0"/>
    <x v="1"/>
    <x v="0"/>
    <x v="0"/>
    <n v="0"/>
    <n v="0"/>
    <n v="0"/>
    <n v="0"/>
    <n v="93410"/>
    <n v="55313"/>
    <n v="37670"/>
    <n v="65396"/>
    <n v="63025"/>
    <n v="37004"/>
    <n v="3863"/>
    <n v="25930"/>
    <n v="381611"/>
    <n v="12.99"/>
    <n v="4957126.8899999997"/>
  </r>
  <r>
    <x v="19"/>
    <x v="219"/>
    <x v="0"/>
    <x v="1"/>
    <x v="1"/>
    <x v="0"/>
    <n v="0"/>
    <n v="0"/>
    <n v="0"/>
    <n v="0"/>
    <n v="0"/>
    <n v="0"/>
    <n v="48270"/>
    <n v="26108"/>
    <n v="31639"/>
    <n v="84387"/>
    <n v="32871"/>
    <n v="5811"/>
    <n v="229086"/>
    <n v="15.99"/>
    <n v="3663085.14"/>
  </r>
  <r>
    <x v="19"/>
    <x v="219"/>
    <x v="0"/>
    <x v="1"/>
    <x v="3"/>
    <x v="0"/>
    <n v="0"/>
    <n v="0"/>
    <n v="0"/>
    <n v="33856"/>
    <n v="68834"/>
    <n v="44607"/>
    <n v="86450"/>
    <n v="16306"/>
    <n v="84233"/>
    <n v="705"/>
    <n v="44179"/>
    <n v="8186"/>
    <n v="387356"/>
    <n v="9.99"/>
    <n v="3869686.44"/>
  </r>
  <r>
    <x v="19"/>
    <x v="219"/>
    <x v="0"/>
    <x v="0"/>
    <x v="2"/>
    <x v="0"/>
    <n v="0"/>
    <n v="0"/>
    <n v="60236"/>
    <n v="54580"/>
    <n v="4995"/>
    <n v="1622"/>
    <n v="74520"/>
    <n v="85725"/>
    <n v="81550"/>
    <n v="60956"/>
    <n v="111227"/>
    <n v="42882"/>
    <n v="578293"/>
    <n v="1.49"/>
    <n v="861656.57"/>
  </r>
  <r>
    <x v="19"/>
    <x v="219"/>
    <x v="0"/>
    <x v="0"/>
    <x v="0"/>
    <x v="0"/>
    <n v="0"/>
    <n v="0"/>
    <n v="0"/>
    <n v="77998"/>
    <n v="38314"/>
    <n v="67875"/>
    <n v="44425"/>
    <n v="95363"/>
    <n v="12726"/>
    <n v="13440"/>
    <n v="25985"/>
    <n v="14260"/>
    <n v="390386"/>
    <n v="1.99"/>
    <n v="776868.14"/>
  </r>
  <r>
    <x v="19"/>
    <x v="219"/>
    <x v="0"/>
    <x v="0"/>
    <x v="1"/>
    <x v="0"/>
    <n v="0"/>
    <n v="0"/>
    <n v="968"/>
    <n v="47374"/>
    <n v="58646"/>
    <n v="24363"/>
    <n v="61797"/>
    <n v="25259"/>
    <n v="63561"/>
    <n v="37222"/>
    <n v="47750"/>
    <n v="73059"/>
    <n v="439999"/>
    <n v="3.99"/>
    <n v="1755596.01"/>
  </r>
  <r>
    <x v="19"/>
    <x v="220"/>
    <x v="2"/>
    <x v="1"/>
    <x v="1"/>
    <x v="0"/>
    <n v="47540"/>
    <n v="34761"/>
    <n v="45961"/>
    <n v="22459"/>
    <n v="83895"/>
    <n v="62613"/>
    <n v="50307"/>
    <n v="31892"/>
    <n v="83350"/>
    <n v="9773"/>
    <n v="11444"/>
    <n v="21407"/>
    <n v="505402"/>
    <n v="15.99"/>
    <n v="8081377.9800000004"/>
  </r>
  <r>
    <x v="19"/>
    <x v="221"/>
    <x v="3"/>
    <x v="1"/>
    <x v="2"/>
    <x v="0"/>
    <n v="0"/>
    <n v="0"/>
    <n v="0"/>
    <n v="0"/>
    <n v="0"/>
    <n v="0"/>
    <n v="34011"/>
    <n v="92423"/>
    <n v="23247"/>
    <n v="33653"/>
    <n v="34570"/>
    <n v="31102"/>
    <n v="249006"/>
    <n v="11.99"/>
    <n v="2985581.94"/>
  </r>
  <r>
    <x v="19"/>
    <x v="222"/>
    <x v="2"/>
    <x v="1"/>
    <x v="0"/>
    <x v="0"/>
    <n v="86256"/>
    <n v="12896"/>
    <n v="21074"/>
    <n v="20790"/>
    <n v="74648"/>
    <n v="87397"/>
    <n v="79733"/>
    <n v="99894"/>
    <n v="27827"/>
    <n v="15598"/>
    <n v="25522"/>
    <n v="7050"/>
    <n v="558685"/>
    <n v="12.99"/>
    <n v="7257318.1500000004"/>
  </r>
  <r>
    <x v="19"/>
    <x v="222"/>
    <x v="2"/>
    <x v="1"/>
    <x v="1"/>
    <x v="0"/>
    <n v="45586"/>
    <n v="50685"/>
    <n v="21462"/>
    <n v="1636"/>
    <n v="10852"/>
    <n v="31803"/>
    <n v="17589"/>
    <n v="69911"/>
    <n v="99323"/>
    <n v="76158"/>
    <n v="47676"/>
    <n v="18373"/>
    <n v="491054"/>
    <n v="15.99"/>
    <n v="7851953.46"/>
  </r>
  <r>
    <x v="19"/>
    <x v="222"/>
    <x v="2"/>
    <x v="0"/>
    <x v="2"/>
    <x v="0"/>
    <n v="36202"/>
    <n v="90535"/>
    <n v="42433"/>
    <n v="85229"/>
    <n v="85920"/>
    <n v="60924"/>
    <n v="18086"/>
    <n v="89452"/>
    <n v="2599"/>
    <n v="35458"/>
    <n v="63761"/>
    <n v="55525"/>
    <n v="666124"/>
    <n v="1.49"/>
    <n v="992524.76"/>
  </r>
  <r>
    <x v="19"/>
    <x v="222"/>
    <x v="2"/>
    <x v="0"/>
    <x v="1"/>
    <x v="0"/>
    <n v="74831"/>
    <n v="85541"/>
    <n v="14589"/>
    <n v="76066"/>
    <n v="45699"/>
    <n v="42070"/>
    <n v="30381"/>
    <n v="42576"/>
    <n v="77354"/>
    <n v="64545"/>
    <n v="51124"/>
    <n v="75549"/>
    <n v="680325"/>
    <n v="3.99"/>
    <n v="2714496.75"/>
  </r>
  <r>
    <x v="19"/>
    <x v="223"/>
    <x v="2"/>
    <x v="0"/>
    <x v="1"/>
    <x v="0"/>
    <n v="6936"/>
    <n v="81405"/>
    <n v="49918"/>
    <n v="57109"/>
    <n v="39732"/>
    <n v="73082"/>
    <n v="30638"/>
    <n v="52044"/>
    <n v="75092"/>
    <n v="47899"/>
    <n v="35389"/>
    <n v="90864"/>
    <n v="640108"/>
    <n v="3.99"/>
    <n v="2554030.92"/>
  </r>
  <r>
    <x v="19"/>
    <x v="224"/>
    <x v="1"/>
    <x v="1"/>
    <x v="0"/>
    <x v="0"/>
    <n v="0"/>
    <n v="0"/>
    <n v="0"/>
    <n v="0"/>
    <n v="0"/>
    <n v="75034"/>
    <n v="39689"/>
    <n v="13395"/>
    <n v="36513"/>
    <n v="66515"/>
    <n v="38585"/>
    <n v="22325"/>
    <n v="292056"/>
    <n v="12.99"/>
    <n v="3793807.44"/>
  </r>
  <r>
    <x v="19"/>
    <x v="224"/>
    <x v="1"/>
    <x v="0"/>
    <x v="1"/>
    <x v="0"/>
    <n v="0"/>
    <n v="0"/>
    <n v="0"/>
    <n v="0"/>
    <n v="0"/>
    <n v="0"/>
    <n v="83569"/>
    <n v="37132"/>
    <n v="39085"/>
    <n v="10991"/>
    <n v="102229"/>
    <n v="52834"/>
    <n v="325840"/>
    <n v="3.99"/>
    <n v="1300101.6000000001"/>
  </r>
  <r>
    <x v="19"/>
    <x v="225"/>
    <x v="1"/>
    <x v="1"/>
    <x v="0"/>
    <x v="0"/>
    <n v="0"/>
    <n v="0"/>
    <n v="0"/>
    <n v="0"/>
    <n v="0"/>
    <n v="0"/>
    <n v="0"/>
    <n v="5972"/>
    <n v="58792"/>
    <n v="56606"/>
    <n v="43819"/>
    <n v="32777"/>
    <n v="197966"/>
    <n v="12.99"/>
    <n v="2571578.34"/>
  </r>
  <r>
    <x v="19"/>
    <x v="226"/>
    <x v="1"/>
    <x v="0"/>
    <x v="1"/>
    <x v="0"/>
    <n v="0"/>
    <n v="0"/>
    <n v="0"/>
    <n v="0"/>
    <n v="0"/>
    <n v="0"/>
    <n v="0"/>
    <n v="0"/>
    <n v="33226"/>
    <n v="3677"/>
    <n v="100915"/>
    <n v="83414"/>
    <n v="221232"/>
    <n v="3.99"/>
    <n v="882715.68"/>
  </r>
  <r>
    <x v="19"/>
    <x v="227"/>
    <x v="1"/>
    <x v="0"/>
    <x v="3"/>
    <x v="0"/>
    <n v="0"/>
    <n v="0"/>
    <n v="0"/>
    <n v="0"/>
    <n v="0"/>
    <n v="0"/>
    <n v="0"/>
    <n v="0"/>
    <n v="0"/>
    <n v="6441"/>
    <n v="45404"/>
    <n v="70616"/>
    <n v="122461"/>
    <n v="0.99"/>
    <n v="121236.39"/>
  </r>
  <r>
    <x v="19"/>
    <x v="228"/>
    <x v="2"/>
    <x v="1"/>
    <x v="0"/>
    <x v="0"/>
    <n v="76937"/>
    <n v="80426"/>
    <n v="94693"/>
    <n v="46115"/>
    <n v="15248"/>
    <n v="61275"/>
    <n v="21538"/>
    <n v="61746"/>
    <n v="38347"/>
    <n v="36326"/>
    <n v="6217"/>
    <n v="8622"/>
    <n v="547490"/>
    <n v="12.99"/>
    <n v="7111895.1000000006"/>
  </r>
  <r>
    <x v="20"/>
    <x v="229"/>
    <x v="3"/>
    <x v="1"/>
    <x v="2"/>
    <x v="0"/>
    <n v="0"/>
    <n v="48345"/>
    <n v="70388"/>
    <n v="87739"/>
    <n v="119633"/>
    <n v="151345"/>
    <n v="248962"/>
    <n v="326582"/>
    <n v="496843"/>
    <n v="772739"/>
    <n v="1026452"/>
    <n v="608595"/>
    <n v="3957623"/>
    <n v="11.99"/>
    <n v="47451899.770000003"/>
  </r>
  <r>
    <x v="20"/>
    <x v="230"/>
    <x v="2"/>
    <x v="1"/>
    <x v="1"/>
    <x v="0"/>
    <n v="0"/>
    <n v="0"/>
    <n v="0"/>
    <n v="0"/>
    <n v="0"/>
    <n v="0"/>
    <n v="0"/>
    <n v="54699"/>
    <n v="18022"/>
    <n v="7683"/>
    <n v="17074"/>
    <n v="19137"/>
    <n v="116615"/>
    <n v="15.99"/>
    <n v="1864673.85"/>
  </r>
  <r>
    <x v="20"/>
    <x v="231"/>
    <x v="0"/>
    <x v="1"/>
    <x v="1"/>
    <x v="0"/>
    <n v="0"/>
    <n v="0"/>
    <n v="0"/>
    <n v="0"/>
    <n v="0"/>
    <n v="0"/>
    <n v="0"/>
    <n v="0"/>
    <n v="54612"/>
    <n v="63703"/>
    <n v="4813"/>
    <n v="13996"/>
    <n v="137124"/>
    <n v="15.99"/>
    <n v="2192612.7600000002"/>
  </r>
  <r>
    <x v="20"/>
    <x v="232"/>
    <x v="3"/>
    <x v="0"/>
    <x v="2"/>
    <x v="0"/>
    <n v="0"/>
    <n v="19034"/>
    <n v="56576"/>
    <n v="86263"/>
    <n v="132474"/>
    <n v="160122"/>
    <n v="203458"/>
    <n v="308716"/>
    <n v="359264"/>
    <n v="1056599"/>
    <n v="1471425"/>
    <n v="1892215"/>
    <n v="5746146"/>
    <n v="1.49"/>
    <n v="8561757.5399999991"/>
  </r>
  <r>
    <x v="20"/>
    <x v="233"/>
    <x v="3"/>
    <x v="1"/>
    <x v="1"/>
    <x v="0"/>
    <n v="0"/>
    <n v="46393"/>
    <n v="61275"/>
    <n v="94756"/>
    <n v="128041"/>
    <n v="176947"/>
    <n v="235774"/>
    <n v="296793"/>
    <n v="440997"/>
    <n v="539627"/>
    <n v="704029"/>
    <n v="637771"/>
    <n v="3362403"/>
    <n v="15.99"/>
    <n v="53764823.969999999"/>
  </r>
  <r>
    <x v="20"/>
    <x v="234"/>
    <x v="0"/>
    <x v="1"/>
    <x v="1"/>
    <x v="0"/>
    <n v="0"/>
    <n v="0"/>
    <n v="0"/>
    <n v="0"/>
    <n v="0"/>
    <n v="0"/>
    <n v="0"/>
    <n v="0"/>
    <n v="25679"/>
    <n v="18374"/>
    <n v="41959"/>
    <n v="24550"/>
    <n v="110562"/>
    <n v="15.99"/>
    <n v="1767886.3800000001"/>
  </r>
  <r>
    <x v="20"/>
    <x v="234"/>
    <x v="0"/>
    <x v="1"/>
    <x v="3"/>
    <x v="0"/>
    <n v="0"/>
    <n v="0"/>
    <n v="0"/>
    <n v="0"/>
    <n v="0"/>
    <n v="0"/>
    <n v="0"/>
    <n v="0"/>
    <n v="99770"/>
    <n v="11021"/>
    <n v="8801"/>
    <n v="16793"/>
    <n v="136385"/>
    <n v="9.99"/>
    <n v="1362486.1500000001"/>
  </r>
  <r>
    <x v="20"/>
    <x v="234"/>
    <x v="0"/>
    <x v="0"/>
    <x v="2"/>
    <x v="0"/>
    <n v="0"/>
    <n v="0"/>
    <n v="0"/>
    <n v="0"/>
    <n v="0"/>
    <n v="0"/>
    <n v="0"/>
    <n v="0"/>
    <n v="1600"/>
    <n v="74890"/>
    <n v="81530"/>
    <n v="10481"/>
    <n v="168501"/>
    <n v="1.49"/>
    <n v="251066.49"/>
  </r>
  <r>
    <x v="20"/>
    <x v="235"/>
    <x v="3"/>
    <x v="0"/>
    <x v="3"/>
    <x v="0"/>
    <n v="0"/>
    <n v="13602"/>
    <n v="67140"/>
    <n v="92537"/>
    <n v="117436"/>
    <n v="188236"/>
    <n v="241486"/>
    <n v="260425"/>
    <n v="455006"/>
    <n v="877921"/>
    <n v="1394023"/>
    <n v="1627807"/>
    <n v="5335619"/>
    <n v="0.99"/>
    <n v="5282262.8099999996"/>
  </r>
  <r>
    <x v="21"/>
    <x v="236"/>
    <x v="1"/>
    <x v="1"/>
    <x v="2"/>
    <x v="0"/>
    <n v="0"/>
    <n v="0"/>
    <n v="0"/>
    <n v="0"/>
    <n v="0"/>
    <n v="0"/>
    <n v="91892"/>
    <n v="87631"/>
    <n v="50597"/>
    <n v="26952"/>
    <n v="35609"/>
    <n v="17647"/>
    <n v="310328"/>
    <n v="11.99"/>
    <n v="3720832.72"/>
  </r>
  <r>
    <x v="21"/>
    <x v="236"/>
    <x v="1"/>
    <x v="1"/>
    <x v="0"/>
    <x v="0"/>
    <n v="0"/>
    <n v="0"/>
    <n v="0"/>
    <n v="0"/>
    <n v="0"/>
    <n v="0"/>
    <n v="94426"/>
    <n v="82962"/>
    <n v="60071"/>
    <n v="19680"/>
    <n v="21017"/>
    <n v="29503"/>
    <n v="307659"/>
    <n v="12.99"/>
    <n v="3996490.41"/>
  </r>
  <r>
    <x v="21"/>
    <x v="236"/>
    <x v="1"/>
    <x v="1"/>
    <x v="1"/>
    <x v="0"/>
    <n v="0"/>
    <n v="0"/>
    <n v="0"/>
    <n v="0"/>
    <n v="0"/>
    <n v="0"/>
    <n v="78898"/>
    <n v="58887"/>
    <n v="60178"/>
    <n v="16351"/>
    <n v="17231"/>
    <n v="5189"/>
    <n v="236734"/>
    <n v="15.99"/>
    <n v="3785376.66"/>
  </r>
  <r>
    <x v="21"/>
    <x v="236"/>
    <x v="1"/>
    <x v="1"/>
    <x v="3"/>
    <x v="0"/>
    <n v="0"/>
    <n v="0"/>
    <n v="0"/>
    <n v="0"/>
    <n v="0"/>
    <n v="0"/>
    <n v="68900"/>
    <n v="77967"/>
    <n v="11036"/>
    <n v="71019"/>
    <n v="61014"/>
    <n v="26987"/>
    <n v="316923"/>
    <n v="9.99"/>
    <n v="3166060.77"/>
  </r>
  <r>
    <x v="21"/>
    <x v="236"/>
    <x v="1"/>
    <x v="0"/>
    <x v="2"/>
    <x v="0"/>
    <n v="0"/>
    <n v="0"/>
    <n v="0"/>
    <n v="0"/>
    <n v="0"/>
    <n v="0"/>
    <n v="31993"/>
    <n v="6817"/>
    <n v="62842"/>
    <n v="107905"/>
    <n v="88608"/>
    <n v="66213"/>
    <n v="364378"/>
    <n v="1.49"/>
    <n v="542923.22"/>
  </r>
  <r>
    <x v="21"/>
    <x v="236"/>
    <x v="1"/>
    <x v="0"/>
    <x v="3"/>
    <x v="0"/>
    <n v="0"/>
    <n v="0"/>
    <n v="0"/>
    <n v="0"/>
    <n v="0"/>
    <n v="0"/>
    <n v="4250"/>
    <n v="26423"/>
    <n v="97958"/>
    <n v="9684"/>
    <n v="11175"/>
    <n v="74430"/>
    <n v="223920"/>
    <n v="0.99"/>
    <n v="221680.8"/>
  </r>
  <r>
    <x v="21"/>
    <x v="237"/>
    <x v="3"/>
    <x v="1"/>
    <x v="2"/>
    <x v="0"/>
    <n v="0"/>
    <n v="0"/>
    <n v="0"/>
    <n v="0"/>
    <n v="0"/>
    <n v="0"/>
    <n v="93286"/>
    <n v="6568"/>
    <n v="92568"/>
    <n v="60623"/>
    <n v="49499"/>
    <n v="2151"/>
    <n v="304695"/>
    <n v="11.99"/>
    <n v="3653293.0500000003"/>
  </r>
  <r>
    <x v="21"/>
    <x v="238"/>
    <x v="3"/>
    <x v="0"/>
    <x v="1"/>
    <x v="0"/>
    <n v="0"/>
    <n v="0"/>
    <n v="0"/>
    <n v="0"/>
    <n v="0"/>
    <n v="0"/>
    <n v="44365"/>
    <n v="21996"/>
    <n v="5287"/>
    <n v="93716"/>
    <n v="5314"/>
    <n v="33718"/>
    <n v="204396"/>
    <n v="3.99"/>
    <n v="815540.04"/>
  </r>
  <r>
    <x v="22"/>
    <x v="239"/>
    <x v="2"/>
    <x v="1"/>
    <x v="3"/>
    <x v="0"/>
    <n v="0"/>
    <n v="0"/>
    <n v="0"/>
    <n v="0"/>
    <n v="0"/>
    <n v="0"/>
    <n v="0"/>
    <n v="0"/>
    <n v="0"/>
    <n v="88710"/>
    <n v="61481"/>
    <n v="14259"/>
    <n v="164450"/>
    <n v="9.99"/>
    <n v="1642855.5"/>
  </r>
  <r>
    <x v="22"/>
    <x v="240"/>
    <x v="3"/>
    <x v="0"/>
    <x v="0"/>
    <x v="0"/>
    <n v="0"/>
    <n v="0"/>
    <n v="0"/>
    <n v="0"/>
    <n v="0"/>
    <n v="0"/>
    <n v="0"/>
    <n v="0"/>
    <n v="0"/>
    <n v="73192"/>
    <n v="28249"/>
    <n v="12443"/>
    <n v="113884"/>
    <n v="1.99"/>
    <n v="226629.16"/>
  </r>
  <r>
    <x v="22"/>
    <x v="241"/>
    <x v="1"/>
    <x v="1"/>
    <x v="2"/>
    <x v="0"/>
    <n v="0"/>
    <n v="0"/>
    <n v="0"/>
    <n v="0"/>
    <n v="0"/>
    <n v="0"/>
    <n v="0"/>
    <n v="0"/>
    <n v="0"/>
    <n v="80540"/>
    <n v="29961"/>
    <n v="29228"/>
    <n v="139729"/>
    <n v="11.99"/>
    <n v="1675350.71"/>
  </r>
  <r>
    <x v="22"/>
    <x v="242"/>
    <x v="3"/>
    <x v="1"/>
    <x v="3"/>
    <x v="0"/>
    <n v="0"/>
    <n v="0"/>
    <n v="0"/>
    <n v="0"/>
    <n v="0"/>
    <n v="0"/>
    <n v="0"/>
    <n v="0"/>
    <n v="0"/>
    <n v="7684"/>
    <n v="55796"/>
    <n v="30959"/>
    <n v="94439"/>
    <n v="9.99"/>
    <n v="943445.61"/>
  </r>
  <r>
    <x v="22"/>
    <x v="242"/>
    <x v="3"/>
    <x v="1"/>
    <x v="0"/>
    <x v="0"/>
    <n v="0"/>
    <n v="0"/>
    <n v="0"/>
    <n v="0"/>
    <n v="0"/>
    <n v="0"/>
    <n v="0"/>
    <n v="0"/>
    <n v="0"/>
    <n v="23531"/>
    <n v="23457"/>
    <n v="16465"/>
    <n v="63453"/>
    <n v="12.99"/>
    <n v="824254.47"/>
  </r>
  <r>
    <x v="22"/>
    <x v="242"/>
    <x v="3"/>
    <x v="1"/>
    <x v="1"/>
    <x v="0"/>
    <n v="0"/>
    <n v="0"/>
    <n v="0"/>
    <n v="0"/>
    <n v="0"/>
    <n v="0"/>
    <n v="0"/>
    <n v="0"/>
    <n v="0"/>
    <n v="76164"/>
    <n v="27539"/>
    <n v="31113"/>
    <n v="134816"/>
    <n v="15.99"/>
    <n v="2155707.84"/>
  </r>
  <r>
    <x v="22"/>
    <x v="242"/>
    <x v="3"/>
    <x v="0"/>
    <x v="3"/>
    <x v="0"/>
    <n v="0"/>
    <n v="0"/>
    <n v="0"/>
    <n v="0"/>
    <n v="0"/>
    <n v="0"/>
    <n v="0"/>
    <n v="0"/>
    <n v="0"/>
    <n v="58706"/>
    <n v="45693"/>
    <n v="67894"/>
    <n v="172293"/>
    <n v="0.99"/>
    <n v="170570.07"/>
  </r>
  <r>
    <x v="22"/>
    <x v="242"/>
    <x v="3"/>
    <x v="0"/>
    <x v="0"/>
    <x v="0"/>
    <n v="0"/>
    <n v="0"/>
    <n v="0"/>
    <n v="0"/>
    <n v="0"/>
    <n v="0"/>
    <n v="0"/>
    <n v="0"/>
    <n v="0"/>
    <n v="24340"/>
    <n v="6216"/>
    <n v="31890"/>
    <n v="62446"/>
    <n v="1.99"/>
    <n v="124267.54"/>
  </r>
  <r>
    <x v="22"/>
    <x v="243"/>
    <x v="1"/>
    <x v="1"/>
    <x v="1"/>
    <x v="0"/>
    <n v="0"/>
    <n v="0"/>
    <n v="0"/>
    <n v="0"/>
    <n v="0"/>
    <n v="0"/>
    <n v="0"/>
    <n v="0"/>
    <n v="0"/>
    <n v="86338"/>
    <n v="20202"/>
    <n v="12675"/>
    <n v="119215"/>
    <n v="15.99"/>
    <n v="1906247.85"/>
  </r>
  <r>
    <x v="22"/>
    <x v="244"/>
    <x v="1"/>
    <x v="1"/>
    <x v="0"/>
    <x v="0"/>
    <n v="0"/>
    <n v="0"/>
    <n v="0"/>
    <n v="0"/>
    <n v="0"/>
    <n v="0"/>
    <n v="0"/>
    <n v="0"/>
    <n v="0"/>
    <n v="25465"/>
    <n v="40737"/>
    <n v="23671"/>
    <n v="89873"/>
    <n v="12.99"/>
    <n v="1167450.27"/>
  </r>
  <r>
    <x v="22"/>
    <x v="245"/>
    <x v="1"/>
    <x v="0"/>
    <x v="1"/>
    <x v="0"/>
    <n v="0"/>
    <n v="0"/>
    <n v="0"/>
    <n v="0"/>
    <n v="0"/>
    <n v="0"/>
    <n v="0"/>
    <n v="0"/>
    <n v="0"/>
    <n v="41651"/>
    <n v="1232"/>
    <n v="82445"/>
    <n v="125328"/>
    <n v="3.99"/>
    <n v="500058.72000000003"/>
  </r>
  <r>
    <x v="22"/>
    <x v="246"/>
    <x v="0"/>
    <x v="0"/>
    <x v="1"/>
    <x v="0"/>
    <n v="0"/>
    <n v="0"/>
    <n v="0"/>
    <n v="0"/>
    <n v="0"/>
    <n v="0"/>
    <n v="0"/>
    <n v="0"/>
    <n v="0"/>
    <n v="59199"/>
    <n v="45837"/>
    <n v="13936"/>
    <n v="118972"/>
    <n v="3.99"/>
    <n v="474698.28"/>
  </r>
  <r>
    <x v="22"/>
    <x v="247"/>
    <x v="2"/>
    <x v="1"/>
    <x v="3"/>
    <x v="0"/>
    <n v="0"/>
    <n v="0"/>
    <n v="0"/>
    <n v="0"/>
    <n v="0"/>
    <n v="0"/>
    <n v="0"/>
    <n v="0"/>
    <n v="0"/>
    <n v="63786"/>
    <n v="44363"/>
    <n v="9787"/>
    <n v="117936"/>
    <n v="9.99"/>
    <n v="1178180.6400000001"/>
  </r>
  <r>
    <x v="22"/>
    <x v="248"/>
    <x v="2"/>
    <x v="1"/>
    <x v="3"/>
    <x v="0"/>
    <n v="0"/>
    <n v="0"/>
    <n v="0"/>
    <n v="0"/>
    <n v="0"/>
    <n v="0"/>
    <n v="0"/>
    <n v="0"/>
    <n v="0"/>
    <n v="87086"/>
    <n v="13647"/>
    <n v="1482"/>
    <n v="102215"/>
    <n v="9.99"/>
    <n v="1021127.85"/>
  </r>
  <r>
    <x v="22"/>
    <x v="249"/>
    <x v="2"/>
    <x v="1"/>
    <x v="0"/>
    <x v="0"/>
    <n v="0"/>
    <n v="0"/>
    <n v="0"/>
    <n v="0"/>
    <n v="0"/>
    <n v="0"/>
    <n v="0"/>
    <n v="0"/>
    <n v="0"/>
    <n v="41014"/>
    <n v="24128"/>
    <n v="5181"/>
    <n v="70323"/>
    <n v="12.99"/>
    <n v="913495.77"/>
  </r>
  <r>
    <x v="22"/>
    <x v="250"/>
    <x v="2"/>
    <x v="0"/>
    <x v="2"/>
    <x v="0"/>
    <n v="0"/>
    <n v="0"/>
    <n v="0"/>
    <n v="0"/>
    <n v="0"/>
    <n v="0"/>
    <n v="0"/>
    <n v="0"/>
    <n v="0"/>
    <n v="75984"/>
    <n v="22055"/>
    <n v="77312"/>
    <n v="175351"/>
    <n v="1.49"/>
    <n v="261272.99"/>
  </r>
  <r>
    <x v="22"/>
    <x v="251"/>
    <x v="2"/>
    <x v="0"/>
    <x v="3"/>
    <x v="0"/>
    <n v="0"/>
    <n v="0"/>
    <n v="0"/>
    <n v="0"/>
    <n v="0"/>
    <n v="0"/>
    <n v="0"/>
    <n v="0"/>
    <n v="0"/>
    <n v="106398"/>
    <n v="112855"/>
    <n v="41092"/>
    <n v="260345"/>
    <n v="0.99"/>
    <n v="257741.55"/>
  </r>
  <r>
    <x v="22"/>
    <x v="252"/>
    <x v="1"/>
    <x v="0"/>
    <x v="3"/>
    <x v="0"/>
    <n v="0"/>
    <n v="0"/>
    <n v="0"/>
    <n v="0"/>
    <n v="0"/>
    <n v="0"/>
    <n v="0"/>
    <n v="0"/>
    <n v="0"/>
    <n v="83108"/>
    <n v="70935"/>
    <n v="21992"/>
    <n v="176035"/>
    <n v="0.99"/>
    <n v="174274.65"/>
  </r>
  <r>
    <x v="22"/>
    <x v="253"/>
    <x v="3"/>
    <x v="1"/>
    <x v="1"/>
    <x v="0"/>
    <n v="0"/>
    <n v="0"/>
    <n v="0"/>
    <n v="0"/>
    <n v="0"/>
    <n v="0"/>
    <n v="0"/>
    <n v="0"/>
    <n v="0"/>
    <n v="21325"/>
    <n v="18108"/>
    <n v="8659"/>
    <n v="48092"/>
    <n v="15.99"/>
    <n v="768991.08"/>
  </r>
  <r>
    <x v="22"/>
    <x v="254"/>
    <x v="1"/>
    <x v="0"/>
    <x v="1"/>
    <x v="0"/>
    <n v="0"/>
    <n v="0"/>
    <n v="0"/>
    <n v="0"/>
    <n v="0"/>
    <n v="0"/>
    <n v="0"/>
    <n v="0"/>
    <n v="0"/>
    <n v="48513"/>
    <n v="82197"/>
    <n v="3608"/>
    <n v="134318"/>
    <n v="3.99"/>
    <n v="535928.82000000007"/>
  </r>
  <r>
    <x v="23"/>
    <x v="255"/>
    <x v="2"/>
    <x v="0"/>
    <x v="1"/>
    <x v="0"/>
    <n v="0"/>
    <n v="0"/>
    <n v="0"/>
    <n v="0"/>
    <n v="0"/>
    <n v="46540"/>
    <n v="73286"/>
    <n v="33748"/>
    <n v="2219"/>
    <n v="78572"/>
    <n v="61439"/>
    <n v="64709"/>
    <n v="360513"/>
    <n v="3.99"/>
    <n v="1438446.87"/>
  </r>
  <r>
    <x v="23"/>
    <x v="256"/>
    <x v="0"/>
    <x v="0"/>
    <x v="3"/>
    <x v="0"/>
    <n v="0"/>
    <n v="0"/>
    <n v="0"/>
    <n v="23540"/>
    <n v="22959"/>
    <n v="52784"/>
    <n v="31679"/>
    <n v="24145"/>
    <n v="89525"/>
    <n v="14373"/>
    <n v="51318"/>
    <n v="97602"/>
    <n v="407925"/>
    <n v="0.99"/>
    <n v="403845.75"/>
  </r>
  <r>
    <x v="23"/>
    <x v="257"/>
    <x v="3"/>
    <x v="0"/>
    <x v="2"/>
    <x v="0"/>
    <n v="0"/>
    <n v="0"/>
    <n v="0"/>
    <n v="0"/>
    <n v="0"/>
    <n v="0"/>
    <n v="0"/>
    <n v="0"/>
    <n v="58590"/>
    <n v="105368"/>
    <n v="114700"/>
    <n v="71481"/>
    <n v="350139"/>
    <n v="1.49"/>
    <n v="521707.11"/>
  </r>
  <r>
    <x v="23"/>
    <x v="258"/>
    <x v="3"/>
    <x v="1"/>
    <x v="3"/>
    <x v="0"/>
    <n v="0"/>
    <n v="0"/>
    <n v="0"/>
    <n v="0"/>
    <n v="0"/>
    <n v="0"/>
    <n v="0"/>
    <n v="0"/>
    <n v="0"/>
    <n v="60225"/>
    <n v="11330"/>
    <n v="21855"/>
    <n v="93410"/>
    <n v="9.99"/>
    <n v="933165.9"/>
  </r>
  <r>
    <x v="23"/>
    <x v="259"/>
    <x v="1"/>
    <x v="0"/>
    <x v="2"/>
    <x v="11"/>
    <n v="16785"/>
    <n v="17845"/>
    <n v="19865"/>
    <n v="20134"/>
    <n v="22709"/>
    <n v="24670"/>
    <n v="25797"/>
    <n v="26190"/>
    <n v="28833"/>
    <n v="29803"/>
    <n v="30147"/>
    <n v="31246"/>
    <n v="309656"/>
    <n v="1.49"/>
    <n v="461387.44"/>
  </r>
  <r>
    <x v="23"/>
    <x v="260"/>
    <x v="0"/>
    <x v="0"/>
    <x v="3"/>
    <x v="0"/>
    <n v="0"/>
    <n v="0"/>
    <n v="0"/>
    <n v="0"/>
    <n v="49600"/>
    <n v="93660"/>
    <n v="93158"/>
    <n v="29979"/>
    <n v="39268"/>
    <n v="97719"/>
    <n v="26789"/>
    <n v="33093"/>
    <n v="463266"/>
    <n v="0.99"/>
    <n v="458633.33999999997"/>
  </r>
  <r>
    <x v="23"/>
    <x v="261"/>
    <x v="1"/>
    <x v="0"/>
    <x v="2"/>
    <x v="12"/>
    <n v="47732"/>
    <n v="38941"/>
    <n v="8431"/>
    <n v="23137"/>
    <n v="51158"/>
    <n v="88513"/>
    <n v="33002"/>
    <n v="39235"/>
    <n v="12453"/>
    <n v="37770"/>
    <n v="69546"/>
    <n v="91587"/>
    <n v="544269"/>
    <n v="1.49"/>
    <n v="810960.80999999994"/>
  </r>
  <r>
    <x v="23"/>
    <x v="262"/>
    <x v="2"/>
    <x v="0"/>
    <x v="2"/>
    <x v="0"/>
    <n v="0"/>
    <n v="0"/>
    <n v="0"/>
    <n v="0"/>
    <n v="0"/>
    <n v="9299"/>
    <n v="51246"/>
    <n v="56746"/>
    <n v="27494"/>
    <n v="18261"/>
    <n v="75443"/>
    <n v="49660"/>
    <n v="288149"/>
    <n v="1.49"/>
    <n v="429342.01"/>
  </r>
  <r>
    <x v="23"/>
    <x v="263"/>
    <x v="1"/>
    <x v="0"/>
    <x v="3"/>
    <x v="13"/>
    <n v="79436"/>
    <n v="57726"/>
    <n v="17394"/>
    <n v="47222"/>
    <n v="6494"/>
    <n v="76910"/>
    <n v="46946"/>
    <n v="1453"/>
    <n v="3007"/>
    <n v="32971"/>
    <n v="89708"/>
    <n v="33980"/>
    <n v="547143"/>
    <n v="0.99"/>
    <n v="541671.56999999995"/>
  </r>
  <r>
    <x v="23"/>
    <x v="264"/>
    <x v="3"/>
    <x v="1"/>
    <x v="2"/>
    <x v="0"/>
    <n v="0"/>
    <n v="0"/>
    <n v="0"/>
    <n v="0"/>
    <n v="0"/>
    <n v="0"/>
    <n v="0"/>
    <n v="0"/>
    <n v="0"/>
    <n v="0"/>
    <n v="66061"/>
    <n v="33983"/>
    <n v="100044"/>
    <n v="11.99"/>
    <n v="1199527.56"/>
  </r>
  <r>
    <x v="23"/>
    <x v="265"/>
    <x v="2"/>
    <x v="0"/>
    <x v="2"/>
    <x v="0"/>
    <n v="0"/>
    <n v="0"/>
    <n v="0"/>
    <n v="0"/>
    <n v="0"/>
    <n v="0"/>
    <n v="0"/>
    <n v="90769"/>
    <n v="23643"/>
    <n v="63427"/>
    <n v="53298"/>
    <n v="37927"/>
    <n v="269064"/>
    <n v="1.49"/>
    <n v="400905.36"/>
  </r>
  <r>
    <x v="23"/>
    <x v="266"/>
    <x v="2"/>
    <x v="1"/>
    <x v="0"/>
    <x v="0"/>
    <n v="0"/>
    <n v="0"/>
    <n v="0"/>
    <n v="0"/>
    <n v="0"/>
    <n v="0"/>
    <n v="0"/>
    <n v="90323"/>
    <n v="78214"/>
    <n v="50308"/>
    <n v="32899"/>
    <n v="2582"/>
    <n v="254326"/>
    <n v="12.99"/>
    <n v="3303694.74"/>
  </r>
  <r>
    <x v="23"/>
    <x v="267"/>
    <x v="0"/>
    <x v="0"/>
    <x v="1"/>
    <x v="0"/>
    <n v="0"/>
    <n v="0"/>
    <n v="0"/>
    <n v="0"/>
    <n v="0"/>
    <n v="94575"/>
    <n v="91872"/>
    <n v="79207"/>
    <n v="62742"/>
    <n v="17954"/>
    <n v="84534"/>
    <n v="89648"/>
    <n v="520532"/>
    <n v="3.99"/>
    <n v="2076922.6800000002"/>
  </r>
  <r>
    <x v="23"/>
    <x v="268"/>
    <x v="2"/>
    <x v="1"/>
    <x v="3"/>
    <x v="0"/>
    <n v="0"/>
    <n v="0"/>
    <n v="0"/>
    <n v="0"/>
    <n v="0"/>
    <n v="0"/>
    <n v="0"/>
    <n v="38390"/>
    <n v="98280"/>
    <n v="24815"/>
    <n v="18485"/>
    <n v="9076"/>
    <n v="189046"/>
    <n v="9.99"/>
    <n v="1888569.54"/>
  </r>
  <r>
    <x v="23"/>
    <x v="269"/>
    <x v="0"/>
    <x v="1"/>
    <x v="3"/>
    <x v="0"/>
    <n v="0"/>
    <n v="0"/>
    <n v="0"/>
    <n v="0"/>
    <n v="0"/>
    <n v="0"/>
    <n v="97842"/>
    <n v="39772"/>
    <n v="38706"/>
    <n v="28836"/>
    <n v="46348"/>
    <n v="293"/>
    <n v="251797"/>
    <n v="9.99"/>
    <n v="2515452.0300000003"/>
  </r>
  <r>
    <x v="23"/>
    <x v="270"/>
    <x v="1"/>
    <x v="1"/>
    <x v="2"/>
    <x v="14"/>
    <n v="48323"/>
    <n v="65067"/>
    <n v="93240"/>
    <n v="48014"/>
    <n v="99370"/>
    <n v="38319"/>
    <n v="33790"/>
    <n v="82639"/>
    <n v="27703"/>
    <n v="60757"/>
    <n v="43255"/>
    <n v="9407"/>
    <n v="736504"/>
    <n v="11.99"/>
    <n v="8830682.9600000009"/>
  </r>
  <r>
    <x v="23"/>
    <x v="271"/>
    <x v="3"/>
    <x v="0"/>
    <x v="1"/>
    <x v="15"/>
    <n v="66526"/>
    <n v="29736"/>
    <n v="15395"/>
    <n v="64053"/>
    <n v="67625"/>
    <n v="66757"/>
    <n v="80534"/>
    <n v="23142"/>
    <n v="21739"/>
    <n v="46397"/>
    <n v="88645"/>
    <n v="56559"/>
    <n v="725372"/>
    <n v="3.99"/>
    <n v="2894234.2800000003"/>
  </r>
  <r>
    <x v="23"/>
    <x v="272"/>
    <x v="2"/>
    <x v="0"/>
    <x v="2"/>
    <x v="0"/>
    <n v="0"/>
    <n v="0"/>
    <n v="0"/>
    <n v="0"/>
    <n v="0"/>
    <n v="0"/>
    <n v="0"/>
    <n v="0"/>
    <n v="0"/>
    <n v="38176"/>
    <n v="108576"/>
    <n v="23309"/>
    <n v="170061"/>
    <n v="1.49"/>
    <n v="253390.88999999998"/>
  </r>
  <r>
    <x v="23"/>
    <x v="273"/>
    <x v="1"/>
    <x v="1"/>
    <x v="2"/>
    <x v="16"/>
    <n v="16589"/>
    <n v="93559"/>
    <n v="76165"/>
    <n v="99104"/>
    <n v="13272"/>
    <n v="52100"/>
    <n v="12109"/>
    <n v="52710"/>
    <n v="45867"/>
    <n v="12326"/>
    <n v="19527"/>
    <n v="6086"/>
    <n v="504504"/>
    <n v="11.99"/>
    <n v="6049002.96"/>
  </r>
  <r>
    <x v="23"/>
    <x v="273"/>
    <x v="1"/>
    <x v="1"/>
    <x v="0"/>
    <x v="17"/>
    <n v="49262"/>
    <n v="50450"/>
    <n v="56191"/>
    <n v="75836"/>
    <n v="65068"/>
    <n v="90147"/>
    <n v="81134"/>
    <n v="74537"/>
    <n v="1235"/>
    <n v="17037"/>
    <n v="35302"/>
    <n v="30613"/>
    <n v="706806"/>
    <n v="12.99"/>
    <n v="9181409.9399999995"/>
  </r>
  <r>
    <x v="23"/>
    <x v="274"/>
    <x v="2"/>
    <x v="0"/>
    <x v="1"/>
    <x v="0"/>
    <n v="0"/>
    <n v="0"/>
    <n v="0"/>
    <n v="0"/>
    <n v="0"/>
    <n v="0"/>
    <n v="0"/>
    <n v="0"/>
    <n v="0"/>
    <n v="24192"/>
    <n v="103758"/>
    <n v="57680"/>
    <n v="185630"/>
    <n v="3.99"/>
    <n v="740663.70000000007"/>
  </r>
  <r>
    <x v="23"/>
    <x v="275"/>
    <x v="0"/>
    <x v="1"/>
    <x v="1"/>
    <x v="0"/>
    <n v="0"/>
    <n v="0"/>
    <n v="0"/>
    <n v="0"/>
    <n v="0"/>
    <n v="0"/>
    <n v="0"/>
    <n v="51217"/>
    <n v="29534"/>
    <n v="59630"/>
    <n v="24892"/>
    <n v="10780"/>
    <n v="176053"/>
    <n v="15.99"/>
    <n v="2815087.47"/>
  </r>
  <r>
    <x v="23"/>
    <x v="276"/>
    <x v="2"/>
    <x v="1"/>
    <x v="0"/>
    <x v="0"/>
    <n v="0"/>
    <n v="0"/>
    <n v="0"/>
    <n v="0"/>
    <n v="0"/>
    <n v="0"/>
    <n v="0"/>
    <n v="0"/>
    <n v="0"/>
    <n v="34283"/>
    <n v="2101"/>
    <n v="25857"/>
    <n v="62241"/>
    <n v="12.99"/>
    <n v="808510.59"/>
  </r>
  <r>
    <x v="23"/>
    <x v="276"/>
    <x v="2"/>
    <x v="1"/>
    <x v="1"/>
    <x v="0"/>
    <n v="0"/>
    <n v="0"/>
    <n v="0"/>
    <n v="0"/>
    <n v="0"/>
    <n v="0"/>
    <n v="0"/>
    <n v="0"/>
    <n v="0"/>
    <n v="50987"/>
    <n v="35187"/>
    <n v="28465"/>
    <n v="114639"/>
    <n v="15.99"/>
    <n v="1833077.61"/>
  </r>
  <r>
    <x v="23"/>
    <x v="276"/>
    <x v="2"/>
    <x v="1"/>
    <x v="3"/>
    <x v="0"/>
    <n v="0"/>
    <n v="0"/>
    <n v="0"/>
    <n v="0"/>
    <n v="0"/>
    <n v="0"/>
    <n v="0"/>
    <n v="0"/>
    <n v="0"/>
    <n v="12173"/>
    <n v="35050"/>
    <n v="21871"/>
    <n v="69094"/>
    <n v="9.99"/>
    <n v="690249.06"/>
  </r>
  <r>
    <x v="23"/>
    <x v="276"/>
    <x v="2"/>
    <x v="0"/>
    <x v="2"/>
    <x v="0"/>
    <n v="0"/>
    <n v="0"/>
    <n v="0"/>
    <n v="0"/>
    <n v="0"/>
    <n v="0"/>
    <n v="0"/>
    <n v="0"/>
    <n v="0"/>
    <n v="70489"/>
    <n v="17340"/>
    <n v="56757"/>
    <n v="144586"/>
    <n v="1.49"/>
    <n v="215433.13999999998"/>
  </r>
  <r>
    <x v="23"/>
    <x v="276"/>
    <x v="2"/>
    <x v="0"/>
    <x v="0"/>
    <x v="0"/>
    <n v="0"/>
    <n v="0"/>
    <n v="0"/>
    <n v="0"/>
    <n v="0"/>
    <n v="0"/>
    <n v="0"/>
    <n v="0"/>
    <n v="0"/>
    <n v="26262"/>
    <n v="65321"/>
    <n v="12238"/>
    <n v="103821"/>
    <n v="1.99"/>
    <n v="206603.79"/>
  </r>
  <r>
    <x v="23"/>
    <x v="277"/>
    <x v="3"/>
    <x v="0"/>
    <x v="0"/>
    <x v="0"/>
    <n v="76702"/>
    <n v="69712"/>
    <n v="62623"/>
    <n v="39615"/>
    <n v="25887"/>
    <n v="2247"/>
    <n v="43340"/>
    <n v="97788"/>
    <n v="29979"/>
    <n v="38377"/>
    <n v="101959"/>
    <n v="69048"/>
    <n v="657277"/>
    <n v="1.99"/>
    <n v="1307981.23"/>
  </r>
  <r>
    <x v="23"/>
    <x v="278"/>
    <x v="1"/>
    <x v="1"/>
    <x v="3"/>
    <x v="0"/>
    <n v="9994"/>
    <n v="20385"/>
    <n v="76715"/>
    <n v="65551"/>
    <n v="57836"/>
    <n v="63934"/>
    <n v="84948"/>
    <n v="19164"/>
    <n v="64382"/>
    <n v="26304"/>
    <n v="29814"/>
    <n v="13192"/>
    <n v="532219"/>
    <n v="9.99"/>
    <n v="5316867.8100000005"/>
  </r>
  <r>
    <x v="23"/>
    <x v="278"/>
    <x v="1"/>
    <x v="0"/>
    <x v="0"/>
    <x v="0"/>
    <n v="29695"/>
    <n v="22492"/>
    <n v="16166"/>
    <n v="46644"/>
    <n v="43629"/>
    <n v="19299"/>
    <n v="94652"/>
    <n v="30304"/>
    <n v="15559"/>
    <n v="101478"/>
    <n v="36104"/>
    <n v="92747"/>
    <n v="548769"/>
    <n v="1.99"/>
    <n v="1092050.31"/>
  </r>
  <r>
    <x v="23"/>
    <x v="279"/>
    <x v="3"/>
    <x v="1"/>
    <x v="1"/>
    <x v="0"/>
    <n v="9297"/>
    <n v="51386"/>
    <n v="4867"/>
    <n v="57793"/>
    <n v="13520"/>
    <n v="14793"/>
    <n v="37548"/>
    <n v="55058"/>
    <n v="67835"/>
    <n v="84088"/>
    <n v="12958"/>
    <n v="22980"/>
    <n v="432123"/>
    <n v="15.99"/>
    <n v="6909646.7700000005"/>
  </r>
  <r>
    <x v="23"/>
    <x v="280"/>
    <x v="3"/>
    <x v="0"/>
    <x v="1"/>
    <x v="0"/>
    <n v="60071"/>
    <n v="30470"/>
    <n v="45287"/>
    <n v="52005"/>
    <n v="53472"/>
    <n v="32288"/>
    <n v="96739"/>
    <n v="18019"/>
    <n v="38600"/>
    <n v="28718"/>
    <n v="24742"/>
    <n v="45654"/>
    <n v="526065"/>
    <n v="3.99"/>
    <n v="2098999.35"/>
  </r>
  <r>
    <x v="24"/>
    <x v="281"/>
    <x v="3"/>
    <x v="1"/>
    <x v="2"/>
    <x v="0"/>
    <n v="0"/>
    <n v="0"/>
    <n v="0"/>
    <n v="8595"/>
    <n v="40098"/>
    <n v="68867"/>
    <n v="59595"/>
    <n v="8693"/>
    <n v="99402"/>
    <n v="51050"/>
    <n v="4297"/>
    <n v="10457"/>
    <n v="351054"/>
    <n v="11.99"/>
    <n v="4209137.46"/>
  </r>
  <r>
    <x v="24"/>
    <x v="282"/>
    <x v="2"/>
    <x v="0"/>
    <x v="1"/>
    <x v="0"/>
    <n v="0"/>
    <n v="0"/>
    <n v="0"/>
    <n v="78266"/>
    <n v="62682"/>
    <n v="70636"/>
    <n v="20443"/>
    <n v="98104"/>
    <n v="80266"/>
    <n v="84548"/>
    <n v="89576"/>
    <n v="54349"/>
    <n v="638870"/>
    <n v="3.99"/>
    <n v="2549091.3000000003"/>
  </r>
  <r>
    <x v="24"/>
    <x v="283"/>
    <x v="2"/>
    <x v="0"/>
    <x v="3"/>
    <x v="0"/>
    <n v="0"/>
    <n v="0"/>
    <n v="0"/>
    <n v="42371"/>
    <n v="63608"/>
    <n v="13222"/>
    <n v="91219"/>
    <n v="61028"/>
    <n v="36826"/>
    <n v="24216"/>
    <n v="29772"/>
    <n v="97344"/>
    <n v="459606"/>
    <n v="0.99"/>
    <n v="455009.94"/>
  </r>
  <r>
    <x v="24"/>
    <x v="284"/>
    <x v="1"/>
    <x v="1"/>
    <x v="1"/>
    <x v="0"/>
    <n v="0"/>
    <n v="0"/>
    <n v="0"/>
    <n v="11924"/>
    <n v="1672"/>
    <n v="1196"/>
    <n v="47462"/>
    <n v="46368"/>
    <n v="74891"/>
    <n v="62580"/>
    <n v="53402"/>
    <n v="17269"/>
    <n v="316764"/>
    <n v="15.99"/>
    <n v="5065056.3600000003"/>
  </r>
  <r>
    <x v="25"/>
    <x v="285"/>
    <x v="0"/>
    <x v="0"/>
    <x v="0"/>
    <x v="0"/>
    <n v="0"/>
    <n v="0"/>
    <n v="0"/>
    <n v="0"/>
    <n v="0"/>
    <n v="0"/>
    <n v="0"/>
    <n v="56419"/>
    <n v="84884"/>
    <n v="76390"/>
    <n v="85064"/>
    <n v="76431"/>
    <n v="379188"/>
    <n v="1.99"/>
    <n v="754584.12"/>
  </r>
  <r>
    <x v="25"/>
    <x v="286"/>
    <x v="0"/>
    <x v="1"/>
    <x v="2"/>
    <x v="0"/>
    <n v="0"/>
    <n v="0"/>
    <n v="0"/>
    <n v="0"/>
    <n v="0"/>
    <n v="0"/>
    <n v="0"/>
    <n v="91153"/>
    <n v="66578"/>
    <n v="38408"/>
    <n v="37136"/>
    <n v="9168"/>
    <n v="242443"/>
    <n v="11.99"/>
    <n v="2906891.57"/>
  </r>
  <r>
    <x v="25"/>
    <x v="287"/>
    <x v="0"/>
    <x v="1"/>
    <x v="2"/>
    <x v="0"/>
    <n v="0"/>
    <n v="0"/>
    <n v="0"/>
    <n v="0"/>
    <n v="0"/>
    <n v="0"/>
    <n v="0"/>
    <n v="57334"/>
    <n v="2456"/>
    <n v="76578"/>
    <n v="2951"/>
    <n v="8176"/>
    <n v="147495"/>
    <n v="11.99"/>
    <n v="1768465.05"/>
  </r>
  <r>
    <x v="25"/>
    <x v="287"/>
    <x v="0"/>
    <x v="1"/>
    <x v="0"/>
    <x v="0"/>
    <n v="0"/>
    <n v="0"/>
    <n v="0"/>
    <n v="0"/>
    <n v="0"/>
    <n v="0"/>
    <n v="0"/>
    <n v="39181"/>
    <n v="15862"/>
    <n v="3380"/>
    <n v="8294"/>
    <n v="18906"/>
    <n v="85623"/>
    <n v="12.99"/>
    <n v="1112242.77"/>
  </r>
  <r>
    <x v="25"/>
    <x v="287"/>
    <x v="0"/>
    <x v="1"/>
    <x v="1"/>
    <x v="0"/>
    <n v="0"/>
    <n v="0"/>
    <n v="0"/>
    <n v="0"/>
    <n v="0"/>
    <n v="0"/>
    <n v="0"/>
    <n v="6050"/>
    <n v="98574"/>
    <n v="53643"/>
    <n v="67617"/>
    <n v="23954"/>
    <n v="249838"/>
    <n v="15.99"/>
    <n v="3994909.62"/>
  </r>
  <r>
    <x v="25"/>
    <x v="287"/>
    <x v="0"/>
    <x v="1"/>
    <x v="3"/>
    <x v="0"/>
    <n v="0"/>
    <n v="0"/>
    <n v="0"/>
    <n v="0"/>
    <n v="0"/>
    <n v="0"/>
    <n v="0"/>
    <n v="62446"/>
    <n v="65367"/>
    <n v="4327"/>
    <n v="11925"/>
    <n v="16814"/>
    <n v="160879"/>
    <n v="9.99"/>
    <n v="1607181.21"/>
  </r>
  <r>
    <x v="25"/>
    <x v="287"/>
    <x v="0"/>
    <x v="0"/>
    <x v="3"/>
    <x v="0"/>
    <n v="0"/>
    <n v="0"/>
    <n v="0"/>
    <n v="0"/>
    <n v="0"/>
    <n v="0"/>
    <n v="0"/>
    <n v="17353"/>
    <n v="57161"/>
    <n v="13738"/>
    <n v="48977"/>
    <n v="80901"/>
    <n v="218130"/>
    <n v="0.99"/>
    <n v="215948.7"/>
  </r>
  <r>
    <x v="25"/>
    <x v="288"/>
    <x v="3"/>
    <x v="0"/>
    <x v="2"/>
    <x v="0"/>
    <n v="0"/>
    <n v="0"/>
    <n v="0"/>
    <n v="0"/>
    <n v="0"/>
    <n v="0"/>
    <n v="0"/>
    <n v="65216"/>
    <n v="10326"/>
    <n v="73335"/>
    <n v="37856"/>
    <n v="79655"/>
    <n v="266388"/>
    <n v="1.49"/>
    <n v="396918.12"/>
  </r>
  <r>
    <x v="25"/>
    <x v="289"/>
    <x v="3"/>
    <x v="0"/>
    <x v="2"/>
    <x v="0"/>
    <n v="0"/>
    <n v="0"/>
    <n v="0"/>
    <n v="0"/>
    <n v="0"/>
    <n v="0"/>
    <n v="0"/>
    <n v="23536"/>
    <n v="23076"/>
    <n v="77669"/>
    <n v="87771"/>
    <n v="50646"/>
    <n v="262698"/>
    <n v="1.49"/>
    <n v="391420.02"/>
  </r>
  <r>
    <x v="25"/>
    <x v="290"/>
    <x v="3"/>
    <x v="0"/>
    <x v="2"/>
    <x v="0"/>
    <n v="0"/>
    <n v="0"/>
    <n v="0"/>
    <n v="0"/>
    <n v="0"/>
    <n v="0"/>
    <n v="0"/>
    <n v="72614"/>
    <n v="99887"/>
    <n v="33758"/>
    <n v="80846"/>
    <n v="7880"/>
    <n v="294985"/>
    <n v="1.49"/>
    <n v="439527.65"/>
  </r>
  <r>
    <x v="25"/>
    <x v="291"/>
    <x v="1"/>
    <x v="1"/>
    <x v="1"/>
    <x v="0"/>
    <n v="0"/>
    <n v="0"/>
    <n v="0"/>
    <n v="0"/>
    <n v="0"/>
    <n v="0"/>
    <n v="0"/>
    <n v="67033"/>
    <n v="93632"/>
    <n v="38939"/>
    <n v="37181"/>
    <n v="14172"/>
    <n v="250957"/>
    <n v="15.99"/>
    <n v="4012802.43"/>
  </r>
  <r>
    <x v="25"/>
    <x v="292"/>
    <x v="2"/>
    <x v="1"/>
    <x v="0"/>
    <x v="0"/>
    <n v="0"/>
    <n v="0"/>
    <n v="0"/>
    <n v="0"/>
    <n v="0"/>
    <n v="0"/>
    <n v="0"/>
    <n v="78651"/>
    <n v="22555"/>
    <n v="65183"/>
    <n v="28585"/>
    <n v="6588"/>
    <n v="201562"/>
    <n v="12.99"/>
    <n v="2618290.38"/>
  </r>
  <r>
    <x v="25"/>
    <x v="293"/>
    <x v="1"/>
    <x v="1"/>
    <x v="0"/>
    <x v="0"/>
    <n v="0"/>
    <n v="0"/>
    <n v="0"/>
    <n v="0"/>
    <n v="0"/>
    <n v="0"/>
    <n v="0"/>
    <n v="69024"/>
    <n v="66280"/>
    <n v="38870"/>
    <n v="26557"/>
    <n v="10448"/>
    <n v="211179"/>
    <n v="12.99"/>
    <n v="2743215.21"/>
  </r>
  <r>
    <x v="26"/>
    <x v="294"/>
    <x v="0"/>
    <x v="0"/>
    <x v="3"/>
    <x v="0"/>
    <n v="0"/>
    <n v="0"/>
    <n v="25707"/>
    <n v="5344"/>
    <n v="19734"/>
    <n v="27328"/>
    <n v="62681"/>
    <n v="83124"/>
    <n v="75685"/>
    <n v="177"/>
    <n v="13617"/>
    <n v="29898"/>
    <n v="343295"/>
    <n v="0.99"/>
    <n v="339862.05"/>
  </r>
  <r>
    <x v="26"/>
    <x v="295"/>
    <x v="0"/>
    <x v="1"/>
    <x v="0"/>
    <x v="0"/>
    <n v="0"/>
    <n v="0"/>
    <n v="66064"/>
    <n v="27106"/>
    <n v="90039"/>
    <n v="41900"/>
    <n v="18673"/>
    <n v="97761"/>
    <n v="28506"/>
    <n v="74239"/>
    <n v="57396"/>
    <n v="1157"/>
    <n v="502841"/>
    <n v="12.99"/>
    <n v="6531904.5899999999"/>
  </r>
  <r>
    <x v="26"/>
    <x v="296"/>
    <x v="0"/>
    <x v="1"/>
    <x v="0"/>
    <x v="0"/>
    <n v="0"/>
    <n v="0"/>
    <n v="29055"/>
    <n v="26501"/>
    <n v="9556"/>
    <n v="4576"/>
    <n v="83567"/>
    <n v="69486"/>
    <n v="58551"/>
    <n v="67659"/>
    <n v="31856"/>
    <n v="33963"/>
    <n v="414770"/>
    <n v="12.99"/>
    <n v="5387862.2999999998"/>
  </r>
  <r>
    <x v="26"/>
    <x v="297"/>
    <x v="0"/>
    <x v="1"/>
    <x v="2"/>
    <x v="0"/>
    <n v="0"/>
    <n v="0"/>
    <n v="0"/>
    <n v="64098"/>
    <n v="41088"/>
    <n v="49603"/>
    <n v="18172"/>
    <n v="58610"/>
    <n v="7406"/>
    <n v="55263"/>
    <n v="63960"/>
    <n v="14733"/>
    <n v="372933"/>
    <n v="11.99"/>
    <n v="4471466.67"/>
  </r>
  <r>
    <x v="26"/>
    <x v="298"/>
    <x v="0"/>
    <x v="1"/>
    <x v="2"/>
    <x v="0"/>
    <n v="0"/>
    <n v="0"/>
    <n v="0"/>
    <n v="34920"/>
    <n v="38427"/>
    <n v="79307"/>
    <n v="69158"/>
    <n v="81472"/>
    <n v="23241"/>
    <n v="59793"/>
    <n v="35459"/>
    <n v="26539"/>
    <n v="448316"/>
    <n v="11.99"/>
    <n v="5375308.8399999999"/>
  </r>
  <r>
    <x v="26"/>
    <x v="299"/>
    <x v="0"/>
    <x v="0"/>
    <x v="1"/>
    <x v="0"/>
    <n v="0"/>
    <n v="0"/>
    <n v="0"/>
    <n v="44960"/>
    <n v="35594"/>
    <n v="45759"/>
    <n v="1089"/>
    <n v="90896"/>
    <n v="48110"/>
    <n v="88547"/>
    <n v="112528"/>
    <n v="85745"/>
    <n v="553228"/>
    <n v="3.99"/>
    <n v="2207379.7200000002"/>
  </r>
  <r>
    <x v="26"/>
    <x v="300"/>
    <x v="0"/>
    <x v="1"/>
    <x v="3"/>
    <x v="0"/>
    <n v="0"/>
    <n v="0"/>
    <n v="0"/>
    <n v="40667"/>
    <n v="91175"/>
    <n v="84026"/>
    <n v="93595"/>
    <n v="65966"/>
    <n v="30573"/>
    <n v="60831"/>
    <n v="20130"/>
    <n v="2284"/>
    <n v="489247"/>
    <n v="9.99"/>
    <n v="4887577.53"/>
  </r>
  <r>
    <x v="26"/>
    <x v="301"/>
    <x v="0"/>
    <x v="0"/>
    <x v="2"/>
    <x v="0"/>
    <n v="0"/>
    <n v="0"/>
    <n v="0"/>
    <n v="0"/>
    <n v="97687"/>
    <n v="42059"/>
    <n v="40939"/>
    <n v="47804"/>
    <n v="4022"/>
    <n v="3628"/>
    <n v="18642"/>
    <n v="40662"/>
    <n v="295443"/>
    <n v="1.49"/>
    <n v="440210.07"/>
  </r>
  <r>
    <x v="26"/>
    <x v="302"/>
    <x v="0"/>
    <x v="1"/>
    <x v="2"/>
    <x v="0"/>
    <n v="0"/>
    <n v="0"/>
    <n v="0"/>
    <n v="0"/>
    <n v="53675"/>
    <n v="40011"/>
    <n v="28415"/>
    <n v="43336"/>
    <n v="39700"/>
    <n v="70646"/>
    <n v="2911"/>
    <n v="15233"/>
    <n v="293927"/>
    <n v="11.99"/>
    <n v="3524184.73"/>
  </r>
  <r>
    <x v="26"/>
    <x v="303"/>
    <x v="0"/>
    <x v="0"/>
    <x v="0"/>
    <x v="0"/>
    <n v="0"/>
    <n v="0"/>
    <n v="0"/>
    <n v="0"/>
    <n v="0"/>
    <n v="18603"/>
    <n v="64505"/>
    <n v="58145"/>
    <n v="68398"/>
    <n v="1303"/>
    <n v="41370"/>
    <n v="16884"/>
    <n v="269208"/>
    <n v="1.99"/>
    <n v="535723.92000000004"/>
  </r>
  <r>
    <x v="26"/>
    <x v="304"/>
    <x v="0"/>
    <x v="1"/>
    <x v="2"/>
    <x v="0"/>
    <n v="0"/>
    <n v="0"/>
    <n v="0"/>
    <n v="0"/>
    <n v="0"/>
    <n v="12800"/>
    <n v="88087"/>
    <n v="63865"/>
    <n v="12613"/>
    <n v="76832"/>
    <n v="36260"/>
    <n v="20813"/>
    <n v="311270"/>
    <n v="11.99"/>
    <n v="3732127.3000000003"/>
  </r>
  <r>
    <x v="26"/>
    <x v="304"/>
    <x v="0"/>
    <x v="1"/>
    <x v="0"/>
    <x v="0"/>
    <n v="0"/>
    <n v="0"/>
    <n v="0"/>
    <n v="0"/>
    <n v="0"/>
    <n v="15378"/>
    <n v="93870"/>
    <n v="31160"/>
    <n v="10327"/>
    <n v="19724"/>
    <n v="46541"/>
    <n v="24085"/>
    <n v="241085"/>
    <n v="12.99"/>
    <n v="3131694.15"/>
  </r>
  <r>
    <x v="26"/>
    <x v="305"/>
    <x v="0"/>
    <x v="1"/>
    <x v="2"/>
    <x v="0"/>
    <n v="0"/>
    <n v="0"/>
    <n v="0"/>
    <n v="0"/>
    <n v="0"/>
    <n v="0"/>
    <n v="92296"/>
    <n v="6497"/>
    <n v="59917"/>
    <n v="66373"/>
    <n v="67164"/>
    <n v="14842"/>
    <n v="307089"/>
    <n v="11.99"/>
    <n v="3681997.11"/>
  </r>
  <r>
    <x v="26"/>
    <x v="306"/>
    <x v="0"/>
    <x v="1"/>
    <x v="0"/>
    <x v="0"/>
    <n v="0"/>
    <n v="0"/>
    <n v="0"/>
    <n v="0"/>
    <n v="0"/>
    <n v="0"/>
    <n v="18838"/>
    <n v="26919"/>
    <n v="10768"/>
    <n v="55608"/>
    <n v="67345"/>
    <n v="31452"/>
    <n v="210930"/>
    <n v="12.99"/>
    <n v="2739980.7"/>
  </r>
  <r>
    <x v="26"/>
    <x v="306"/>
    <x v="0"/>
    <x v="0"/>
    <x v="2"/>
    <x v="0"/>
    <n v="0"/>
    <n v="0"/>
    <n v="0"/>
    <n v="0"/>
    <n v="0"/>
    <n v="0"/>
    <n v="23999"/>
    <n v="12007"/>
    <n v="43405"/>
    <n v="3925"/>
    <n v="53343"/>
    <n v="40672"/>
    <n v="177351"/>
    <n v="1.49"/>
    <n v="264252.99"/>
  </r>
  <r>
    <x v="26"/>
    <x v="307"/>
    <x v="0"/>
    <x v="0"/>
    <x v="3"/>
    <x v="0"/>
    <n v="0"/>
    <n v="0"/>
    <n v="0"/>
    <n v="0"/>
    <n v="0"/>
    <n v="0"/>
    <n v="0"/>
    <n v="59164"/>
    <n v="92339"/>
    <n v="38158"/>
    <n v="65752"/>
    <n v="97153"/>
    <n v="352566"/>
    <n v="0.99"/>
    <n v="349040.34"/>
  </r>
  <r>
    <x v="26"/>
    <x v="308"/>
    <x v="0"/>
    <x v="1"/>
    <x v="2"/>
    <x v="0"/>
    <n v="0"/>
    <n v="0"/>
    <n v="0"/>
    <n v="0"/>
    <n v="0"/>
    <n v="0"/>
    <n v="0"/>
    <n v="0"/>
    <n v="32263"/>
    <n v="28130"/>
    <n v="26054"/>
    <n v="7696"/>
    <n v="94143"/>
    <n v="11.99"/>
    <n v="1128774.57"/>
  </r>
  <r>
    <x v="26"/>
    <x v="308"/>
    <x v="0"/>
    <x v="1"/>
    <x v="3"/>
    <x v="0"/>
    <n v="0"/>
    <n v="0"/>
    <n v="0"/>
    <n v="0"/>
    <n v="0"/>
    <n v="0"/>
    <n v="0"/>
    <n v="37773"/>
    <n v="51364"/>
    <n v="4739"/>
    <n v="39620"/>
    <n v="9716"/>
    <n v="143212"/>
    <n v="9.99"/>
    <n v="1430687.8800000001"/>
  </r>
  <r>
    <x v="26"/>
    <x v="309"/>
    <x v="0"/>
    <x v="1"/>
    <x v="0"/>
    <x v="0"/>
    <n v="0"/>
    <n v="0"/>
    <n v="0"/>
    <n v="0"/>
    <n v="0"/>
    <n v="0"/>
    <n v="0"/>
    <n v="0"/>
    <n v="7169"/>
    <n v="15564"/>
    <n v="67018"/>
    <n v="23819"/>
    <n v="113570"/>
    <n v="12.99"/>
    <n v="1475274.3"/>
  </r>
  <r>
    <x v="26"/>
    <x v="310"/>
    <x v="0"/>
    <x v="1"/>
    <x v="1"/>
    <x v="0"/>
    <n v="0"/>
    <n v="0"/>
    <n v="0"/>
    <n v="0"/>
    <n v="0"/>
    <n v="0"/>
    <n v="0"/>
    <n v="0"/>
    <n v="0"/>
    <n v="60282"/>
    <n v="61151"/>
    <n v="28111"/>
    <n v="149544"/>
    <n v="15.99"/>
    <n v="2391208.56"/>
  </r>
  <r>
    <x v="26"/>
    <x v="310"/>
    <x v="0"/>
    <x v="0"/>
    <x v="2"/>
    <x v="0"/>
    <n v="0"/>
    <n v="0"/>
    <n v="0"/>
    <n v="0"/>
    <n v="0"/>
    <n v="0"/>
    <n v="0"/>
    <n v="0"/>
    <n v="59551"/>
    <n v="36146"/>
    <n v="57049"/>
    <n v="97906"/>
    <n v="250652"/>
    <n v="1.49"/>
    <n v="373471.48"/>
  </r>
  <r>
    <x v="26"/>
    <x v="311"/>
    <x v="0"/>
    <x v="0"/>
    <x v="1"/>
    <x v="0"/>
    <n v="0"/>
    <n v="0"/>
    <n v="0"/>
    <n v="0"/>
    <n v="0"/>
    <n v="0"/>
    <n v="0"/>
    <n v="0"/>
    <n v="0"/>
    <n v="103075"/>
    <n v="40460"/>
    <n v="15564"/>
    <n v="159099"/>
    <n v="3.99"/>
    <n v="634805.01"/>
  </r>
  <r>
    <x v="26"/>
    <x v="312"/>
    <x v="0"/>
    <x v="1"/>
    <x v="3"/>
    <x v="0"/>
    <n v="0"/>
    <n v="0"/>
    <n v="0"/>
    <n v="0"/>
    <n v="0"/>
    <n v="0"/>
    <n v="0"/>
    <n v="0"/>
    <n v="0"/>
    <n v="8354"/>
    <n v="58790"/>
    <n v="19199"/>
    <n v="86343"/>
    <n v="9.99"/>
    <n v="862566.57000000007"/>
  </r>
  <r>
    <x v="26"/>
    <x v="312"/>
    <x v="0"/>
    <x v="0"/>
    <x v="0"/>
    <x v="0"/>
    <n v="0"/>
    <n v="0"/>
    <n v="0"/>
    <n v="0"/>
    <n v="0"/>
    <n v="0"/>
    <n v="0"/>
    <n v="0"/>
    <n v="0"/>
    <n v="73506"/>
    <n v="36510"/>
    <n v="97379"/>
    <n v="207395"/>
    <n v="1.99"/>
    <n v="412716.05"/>
  </r>
  <r>
    <x v="26"/>
    <x v="313"/>
    <x v="0"/>
    <x v="1"/>
    <x v="3"/>
    <x v="0"/>
    <n v="0"/>
    <n v="0"/>
    <n v="0"/>
    <n v="0"/>
    <n v="0"/>
    <n v="0"/>
    <n v="0"/>
    <n v="0"/>
    <n v="0"/>
    <n v="58644"/>
    <n v="52988"/>
    <n v="9939"/>
    <n v="121571"/>
    <n v="9.99"/>
    <n v="1214494.29"/>
  </r>
  <r>
    <x v="26"/>
    <x v="314"/>
    <x v="0"/>
    <x v="1"/>
    <x v="1"/>
    <x v="0"/>
    <n v="66315"/>
    <n v="34662"/>
    <n v="35173"/>
    <n v="72882"/>
    <n v="26244"/>
    <n v="73315"/>
    <n v="41665"/>
    <n v="93230"/>
    <n v="89699"/>
    <n v="59904"/>
    <n v="56426"/>
    <n v="15742"/>
    <n v="665257"/>
    <n v="15.99"/>
    <n v="10637459.43"/>
  </r>
  <r>
    <x v="26"/>
    <x v="314"/>
    <x v="0"/>
    <x v="0"/>
    <x v="0"/>
    <x v="0"/>
    <n v="33561"/>
    <n v="95542"/>
    <n v="8850"/>
    <n v="37290"/>
    <n v="94143"/>
    <n v="26408"/>
    <n v="3216"/>
    <n v="73131"/>
    <n v="68338"/>
    <n v="32618"/>
    <n v="102866"/>
    <n v="73591"/>
    <n v="649554"/>
    <n v="1.99"/>
    <n v="1292612.46"/>
  </r>
  <r>
    <x v="26"/>
    <x v="314"/>
    <x v="0"/>
    <x v="0"/>
    <x v="1"/>
    <x v="0"/>
    <n v="85331"/>
    <n v="2856"/>
    <n v="42382"/>
    <n v="23548"/>
    <n v="98756"/>
    <n v="8145"/>
    <n v="49781"/>
    <n v="52158"/>
    <n v="24314"/>
    <n v="34036"/>
    <n v="104821"/>
    <n v="63350"/>
    <n v="589478"/>
    <n v="3.99"/>
    <n v="2352017.2200000002"/>
  </r>
  <r>
    <x v="26"/>
    <x v="315"/>
    <x v="0"/>
    <x v="1"/>
    <x v="2"/>
    <x v="0"/>
    <n v="45244"/>
    <n v="92425"/>
    <n v="35993"/>
    <n v="16893"/>
    <n v="14248"/>
    <n v="28696"/>
    <n v="87140"/>
    <n v="905"/>
    <n v="48136"/>
    <n v="39789"/>
    <n v="5704"/>
    <n v="16961"/>
    <n v="432134"/>
    <n v="11.99"/>
    <n v="5181286.66"/>
  </r>
  <r>
    <x v="27"/>
    <x v="316"/>
    <x v="2"/>
    <x v="0"/>
    <x v="3"/>
    <x v="0"/>
    <n v="0"/>
    <n v="52763"/>
    <n v="25158"/>
    <n v="72281"/>
    <n v="35933"/>
    <n v="28682"/>
    <n v="37902"/>
    <n v="23895"/>
    <n v="9742"/>
    <n v="75848"/>
    <n v="114809"/>
    <n v="4172"/>
    <n v="481185"/>
    <n v="0.99"/>
    <n v="476373.15"/>
  </r>
  <r>
    <x v="27"/>
    <x v="316"/>
    <x v="0"/>
    <x v="0"/>
    <x v="3"/>
    <x v="0"/>
    <n v="0"/>
    <n v="504"/>
    <n v="87252"/>
    <n v="793"/>
    <n v="36800"/>
    <n v="84801"/>
    <n v="68120"/>
    <n v="79304"/>
    <n v="9714"/>
    <n v="95781"/>
    <n v="113522"/>
    <n v="77076"/>
    <n v="653667"/>
    <n v="0.99"/>
    <n v="647130.32999999996"/>
  </r>
  <r>
    <x v="27"/>
    <x v="317"/>
    <x v="0"/>
    <x v="1"/>
    <x v="1"/>
    <x v="0"/>
    <n v="0"/>
    <n v="95120"/>
    <n v="80954"/>
    <n v="42690"/>
    <n v="70039"/>
    <n v="83666"/>
    <n v="20414"/>
    <n v="96365"/>
    <n v="11104"/>
    <n v="48039"/>
    <n v="16607"/>
    <n v="29244"/>
    <n v="594242"/>
    <n v="15.99"/>
    <n v="9501929.5800000001"/>
  </r>
  <r>
    <x v="27"/>
    <x v="318"/>
    <x v="0"/>
    <x v="1"/>
    <x v="2"/>
    <x v="0"/>
    <n v="0"/>
    <n v="87157"/>
    <n v="84453"/>
    <n v="95737"/>
    <n v="97725"/>
    <n v="6458"/>
    <n v="71751"/>
    <n v="85248"/>
    <n v="91299"/>
    <n v="53017"/>
    <n v="29616"/>
    <n v="7895"/>
    <n v="710356"/>
    <n v="11.99"/>
    <n v="8517168.4399999995"/>
  </r>
  <r>
    <x v="27"/>
    <x v="318"/>
    <x v="0"/>
    <x v="1"/>
    <x v="0"/>
    <x v="0"/>
    <n v="0"/>
    <n v="88088"/>
    <n v="93210"/>
    <n v="69829"/>
    <n v="38142"/>
    <n v="18627"/>
    <n v="3283"/>
    <n v="41879"/>
    <n v="49964"/>
    <n v="25959"/>
    <n v="18382"/>
    <n v="19085"/>
    <n v="466448"/>
    <n v="12.99"/>
    <n v="6059159.5200000005"/>
  </r>
  <r>
    <x v="27"/>
    <x v="318"/>
    <x v="0"/>
    <x v="1"/>
    <x v="3"/>
    <x v="0"/>
    <n v="0"/>
    <n v="56098"/>
    <n v="95205"/>
    <n v="39099"/>
    <n v="89435"/>
    <n v="19023"/>
    <n v="15757"/>
    <n v="19396"/>
    <n v="79475"/>
    <n v="6957"/>
    <n v="42783"/>
    <n v="28296"/>
    <n v="491524"/>
    <n v="9.99"/>
    <n v="4910324.76"/>
  </r>
  <r>
    <x v="27"/>
    <x v="318"/>
    <x v="0"/>
    <x v="0"/>
    <x v="0"/>
    <x v="0"/>
    <n v="0"/>
    <n v="14571"/>
    <n v="77229"/>
    <n v="20542"/>
    <n v="45784"/>
    <n v="30600"/>
    <n v="80961"/>
    <n v="43434"/>
    <n v="50921"/>
    <n v="81721"/>
    <n v="37863"/>
    <n v="66101"/>
    <n v="549727"/>
    <n v="1.99"/>
    <n v="1093956.73"/>
  </r>
  <r>
    <x v="27"/>
    <x v="319"/>
    <x v="2"/>
    <x v="1"/>
    <x v="2"/>
    <x v="0"/>
    <n v="0"/>
    <n v="38948"/>
    <n v="43280"/>
    <n v="42559"/>
    <n v="50796"/>
    <n v="82162"/>
    <n v="14205"/>
    <n v="74192"/>
    <n v="52156"/>
    <n v="25892"/>
    <n v="6377"/>
    <n v="4848"/>
    <n v="435415"/>
    <n v="11.99"/>
    <n v="5220625.8499999996"/>
  </r>
  <r>
    <x v="27"/>
    <x v="320"/>
    <x v="3"/>
    <x v="1"/>
    <x v="3"/>
    <x v="0"/>
    <n v="0"/>
    <n v="34269"/>
    <n v="42708"/>
    <n v="73936"/>
    <n v="75986"/>
    <n v="80376"/>
    <n v="82991"/>
    <n v="85997"/>
    <n v="86154"/>
    <n v="78610"/>
    <n v="62269"/>
    <n v="44818"/>
    <n v="748114"/>
    <n v="9.99"/>
    <n v="7473658.8600000003"/>
  </r>
  <r>
    <x v="27"/>
    <x v="321"/>
    <x v="0"/>
    <x v="0"/>
    <x v="3"/>
    <x v="0"/>
    <n v="0"/>
    <n v="79891"/>
    <n v="94867"/>
    <n v="24577"/>
    <n v="52641"/>
    <n v="37828"/>
    <n v="52886"/>
    <n v="76744"/>
    <n v="18277"/>
    <n v="100934"/>
    <n v="75992"/>
    <n v="28345"/>
    <n v="642982"/>
    <n v="0.99"/>
    <n v="636552.18000000005"/>
  </r>
  <r>
    <x v="27"/>
    <x v="322"/>
    <x v="1"/>
    <x v="0"/>
    <x v="1"/>
    <x v="0"/>
    <n v="0"/>
    <n v="76387"/>
    <n v="26339"/>
    <n v="91243"/>
    <n v="17250"/>
    <n v="47768"/>
    <n v="10761"/>
    <n v="49649"/>
    <n v="89925"/>
    <n v="97100"/>
    <n v="54189"/>
    <n v="20898"/>
    <n v="581509"/>
    <n v="3.99"/>
    <n v="2320220.91"/>
  </r>
  <r>
    <x v="27"/>
    <x v="323"/>
    <x v="0"/>
    <x v="1"/>
    <x v="2"/>
    <x v="0"/>
    <n v="0"/>
    <n v="74718"/>
    <n v="80582"/>
    <n v="96434"/>
    <n v="2747"/>
    <n v="27683"/>
    <n v="21179"/>
    <n v="36665"/>
    <n v="6987"/>
    <n v="72234"/>
    <n v="54170"/>
    <n v="17521"/>
    <n v="490920"/>
    <n v="11.99"/>
    <n v="5886130.7999999998"/>
  </r>
  <r>
    <x v="27"/>
    <x v="324"/>
    <x v="1"/>
    <x v="1"/>
    <x v="1"/>
    <x v="0"/>
    <n v="0"/>
    <n v="46655"/>
    <n v="90145"/>
    <n v="51319"/>
    <n v="90250"/>
    <n v="89896"/>
    <n v="38620"/>
    <n v="25556"/>
    <n v="50409"/>
    <n v="69218"/>
    <n v="36964"/>
    <n v="16277"/>
    <n v="605309"/>
    <n v="15.99"/>
    <n v="9678890.9100000001"/>
  </r>
  <r>
    <x v="28"/>
    <x v="325"/>
    <x v="0"/>
    <x v="0"/>
    <x v="2"/>
    <x v="0"/>
    <n v="0"/>
    <n v="0"/>
    <n v="0"/>
    <n v="0"/>
    <n v="0"/>
    <n v="0"/>
    <n v="0"/>
    <n v="0"/>
    <n v="0"/>
    <n v="0"/>
    <n v="0"/>
    <n v="2381531"/>
    <n v="2381531"/>
    <n v="1.49"/>
    <n v="3548481.19"/>
  </r>
  <r>
    <x v="28"/>
    <x v="326"/>
    <x v="2"/>
    <x v="1"/>
    <x v="2"/>
    <x v="0"/>
    <n v="0"/>
    <n v="0"/>
    <n v="0"/>
    <n v="0"/>
    <n v="0"/>
    <n v="0"/>
    <n v="0"/>
    <n v="0"/>
    <n v="0"/>
    <n v="0"/>
    <n v="0"/>
    <n v="585271"/>
    <n v="585271"/>
    <n v="11.99"/>
    <n v="7017399.29"/>
  </r>
  <r>
    <x v="28"/>
    <x v="327"/>
    <x v="1"/>
    <x v="1"/>
    <x v="1"/>
    <x v="0"/>
    <n v="0"/>
    <n v="0"/>
    <n v="0"/>
    <n v="0"/>
    <n v="0"/>
    <n v="0"/>
    <n v="0"/>
    <n v="0"/>
    <n v="0"/>
    <n v="0"/>
    <n v="0"/>
    <n v="445259"/>
    <n v="445259"/>
    <n v="15.99"/>
    <n v="7119691.4100000001"/>
  </r>
  <r>
    <x v="28"/>
    <x v="328"/>
    <x v="2"/>
    <x v="1"/>
    <x v="1"/>
    <x v="0"/>
    <n v="0"/>
    <n v="0"/>
    <n v="0"/>
    <n v="0"/>
    <n v="0"/>
    <n v="0"/>
    <n v="0"/>
    <n v="0"/>
    <n v="0"/>
    <n v="0"/>
    <n v="0"/>
    <n v="358817"/>
    <n v="358817"/>
    <n v="15.99"/>
    <n v="5737483.8300000001"/>
  </r>
  <r>
    <x v="28"/>
    <x v="329"/>
    <x v="1"/>
    <x v="0"/>
    <x v="0"/>
    <x v="0"/>
    <n v="0"/>
    <n v="0"/>
    <n v="0"/>
    <n v="0"/>
    <n v="0"/>
    <n v="0"/>
    <n v="0"/>
    <n v="0"/>
    <n v="0"/>
    <n v="0"/>
    <n v="0"/>
    <n v="933101"/>
    <n v="933101"/>
    <n v="1.99"/>
    <n v="1856870.99"/>
  </r>
  <r>
    <x v="28"/>
    <x v="330"/>
    <x v="3"/>
    <x v="1"/>
    <x v="0"/>
    <x v="0"/>
    <n v="0"/>
    <n v="0"/>
    <n v="0"/>
    <n v="0"/>
    <n v="0"/>
    <n v="0"/>
    <n v="0"/>
    <n v="0"/>
    <n v="0"/>
    <n v="0"/>
    <n v="0"/>
    <n v="392483"/>
    <n v="392483"/>
    <n v="12.99"/>
    <n v="5098354.17"/>
  </r>
  <r>
    <x v="28"/>
    <x v="331"/>
    <x v="3"/>
    <x v="0"/>
    <x v="2"/>
    <x v="0"/>
    <n v="0"/>
    <n v="0"/>
    <n v="0"/>
    <n v="0"/>
    <n v="0"/>
    <n v="0"/>
    <n v="0"/>
    <n v="0"/>
    <n v="0"/>
    <n v="0"/>
    <n v="0"/>
    <n v="2020461"/>
    <n v="2020461"/>
    <n v="1.49"/>
    <n v="3010486.89"/>
  </r>
  <r>
    <x v="28"/>
    <x v="332"/>
    <x v="2"/>
    <x v="0"/>
    <x v="1"/>
    <x v="0"/>
    <n v="0"/>
    <n v="0"/>
    <n v="0"/>
    <n v="0"/>
    <n v="0"/>
    <n v="0"/>
    <n v="0"/>
    <n v="0"/>
    <n v="0"/>
    <n v="0"/>
    <n v="0"/>
    <n v="1220314"/>
    <n v="1220314"/>
    <n v="3.99"/>
    <n v="4869052.8600000003"/>
  </r>
  <r>
    <x v="28"/>
    <x v="333"/>
    <x v="1"/>
    <x v="1"/>
    <x v="1"/>
    <x v="0"/>
    <n v="0"/>
    <n v="0"/>
    <n v="0"/>
    <n v="0"/>
    <n v="0"/>
    <n v="0"/>
    <n v="0"/>
    <n v="0"/>
    <n v="0"/>
    <n v="0"/>
    <n v="0"/>
    <n v="263137"/>
    <n v="263137"/>
    <n v="15.99"/>
    <n v="4207560.63"/>
  </r>
  <r>
    <x v="28"/>
    <x v="334"/>
    <x v="0"/>
    <x v="1"/>
    <x v="2"/>
    <x v="0"/>
    <n v="0"/>
    <n v="0"/>
    <n v="0"/>
    <n v="0"/>
    <n v="0"/>
    <n v="0"/>
    <n v="0"/>
    <n v="0"/>
    <n v="0"/>
    <n v="0"/>
    <n v="0"/>
    <n v="514120"/>
    <n v="514120"/>
    <n v="11.99"/>
    <n v="6164298.7999999998"/>
  </r>
  <r>
    <x v="28"/>
    <x v="335"/>
    <x v="0"/>
    <x v="1"/>
    <x v="3"/>
    <x v="0"/>
    <n v="0"/>
    <n v="0"/>
    <n v="0"/>
    <n v="0"/>
    <n v="0"/>
    <n v="0"/>
    <n v="0"/>
    <n v="0"/>
    <n v="0"/>
    <n v="0"/>
    <n v="0"/>
    <n v="686755"/>
    <n v="686755"/>
    <n v="9.99"/>
    <n v="6860682.4500000002"/>
  </r>
  <r>
    <x v="28"/>
    <x v="336"/>
    <x v="1"/>
    <x v="1"/>
    <x v="3"/>
    <x v="0"/>
    <n v="0"/>
    <n v="0"/>
    <n v="0"/>
    <n v="0"/>
    <n v="0"/>
    <n v="0"/>
    <n v="0"/>
    <n v="0"/>
    <n v="0"/>
    <n v="0"/>
    <n v="0"/>
    <n v="493993"/>
    <n v="493993"/>
    <n v="9.99"/>
    <n v="4934990.07"/>
  </r>
  <r>
    <x v="28"/>
    <x v="337"/>
    <x v="3"/>
    <x v="1"/>
    <x v="2"/>
    <x v="0"/>
    <n v="0"/>
    <n v="0"/>
    <n v="0"/>
    <n v="0"/>
    <n v="0"/>
    <n v="0"/>
    <n v="0"/>
    <n v="0"/>
    <n v="0"/>
    <n v="0"/>
    <n v="0"/>
    <n v="663019"/>
    <n v="663019"/>
    <n v="11.99"/>
    <n v="7949597.8100000005"/>
  </r>
  <r>
    <x v="28"/>
    <x v="338"/>
    <x v="3"/>
    <x v="1"/>
    <x v="3"/>
    <x v="0"/>
    <n v="0"/>
    <n v="0"/>
    <n v="0"/>
    <n v="0"/>
    <n v="0"/>
    <n v="0"/>
    <n v="0"/>
    <n v="0"/>
    <n v="0"/>
    <n v="0"/>
    <n v="0"/>
    <n v="294381"/>
    <n v="294381"/>
    <n v="9.99"/>
    <n v="2940866.19"/>
  </r>
  <r>
    <x v="28"/>
    <x v="339"/>
    <x v="2"/>
    <x v="1"/>
    <x v="0"/>
    <x v="0"/>
    <n v="0"/>
    <n v="0"/>
    <n v="0"/>
    <n v="0"/>
    <n v="0"/>
    <n v="0"/>
    <n v="0"/>
    <n v="0"/>
    <n v="0"/>
    <n v="0"/>
    <n v="0"/>
    <n v="918151"/>
    <n v="918151"/>
    <n v="12.99"/>
    <n v="11926781.49"/>
  </r>
  <r>
    <x v="28"/>
    <x v="339"/>
    <x v="3"/>
    <x v="1"/>
    <x v="0"/>
    <x v="0"/>
    <n v="0"/>
    <n v="0"/>
    <n v="0"/>
    <n v="0"/>
    <n v="0"/>
    <n v="0"/>
    <n v="0"/>
    <n v="0"/>
    <n v="0"/>
    <n v="0"/>
    <n v="0"/>
    <n v="689140"/>
    <n v="689140"/>
    <n v="12.99"/>
    <n v="8951928.5999999996"/>
  </r>
  <r>
    <x v="28"/>
    <x v="340"/>
    <x v="0"/>
    <x v="0"/>
    <x v="0"/>
    <x v="0"/>
    <n v="0"/>
    <n v="0"/>
    <n v="0"/>
    <n v="0"/>
    <n v="0"/>
    <n v="0"/>
    <n v="0"/>
    <n v="0"/>
    <n v="0"/>
    <n v="0"/>
    <n v="0"/>
    <n v="1111437"/>
    <n v="1111437"/>
    <n v="1.99"/>
    <n v="2211759.63"/>
  </r>
  <r>
    <x v="28"/>
    <x v="341"/>
    <x v="1"/>
    <x v="0"/>
    <x v="1"/>
    <x v="0"/>
    <n v="0"/>
    <n v="0"/>
    <n v="0"/>
    <n v="0"/>
    <n v="0"/>
    <n v="0"/>
    <n v="0"/>
    <n v="0"/>
    <n v="0"/>
    <n v="0"/>
    <n v="0"/>
    <n v="1897792"/>
    <n v="1897792"/>
    <n v="3.99"/>
    <n v="7572190.08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vtblAuthorsAndFormats"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P10:AR17" firstHeaderRow="1" firstDataRow="2" firstDataCol="1"/>
  <pivotFields count="21">
    <pivotField axis="axisRow" showAll="0" sortType="ascending">
      <items count="30">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axis="axisRow" showAll="0" sortType="descending">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152"/>
        <item t="default"/>
      </items>
      <autoSortScope>
        <pivotArea dataOnly="0" outline="0" fieldPosition="0">
          <references count="1">
            <reference field="4294967294" count="1" selected="0">
              <x v="0"/>
            </reference>
          </references>
        </pivotArea>
      </autoSortScope>
    </pivotField>
    <pivotField showAll="0">
      <items count="5">
        <item x="1"/>
        <item x="2"/>
        <item x="0"/>
        <item x="3"/>
        <item t="default"/>
      </items>
    </pivotField>
    <pivotField axis="axisCol" showAll="0">
      <items count="3">
        <item x="0"/>
        <item x="1"/>
        <item t="default"/>
      </items>
    </pivotField>
    <pivotField axis="axisRow" showAll="0">
      <items count="5">
        <item h="1" x="2"/>
        <item h="1" x="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8" showAll="0"/>
    <pivotField dataField="1" numFmtId="44" showAll="0"/>
  </pivotFields>
  <rowFields count="3">
    <field x="0"/>
    <field x="1"/>
    <field x="4"/>
  </rowFields>
  <rowItems count="6">
    <i>
      <x v="2"/>
    </i>
    <i r="1">
      <x v="33"/>
    </i>
    <i r="2">
      <x v="2"/>
    </i>
    <i r="1">
      <x v="37"/>
    </i>
    <i r="2">
      <x v="2"/>
    </i>
    <i t="grand">
      <x/>
    </i>
  </rowItems>
  <colFields count="1">
    <field x="3"/>
  </colFields>
  <colItems count="2">
    <i>
      <x/>
    </i>
    <i t="grand">
      <x/>
    </i>
  </colItems>
  <dataFields count="1">
    <dataField name="Sum of Total Earnings " fld="20" baseField="4" baseItem="3"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vtblGenresAndMarkets"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P2:AT7" firstHeaderRow="1" firstDataRow="3" firstDataCol="1"/>
  <pivotFields count="21">
    <pivotField showAll="0">
      <items count="30">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axis="axisCol" showAll="0" sortType="ascending">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axis="axisCol" showAll="0">
      <items count="5">
        <item h="1" x="2"/>
        <item h="1" x="3"/>
        <item x="0"/>
        <item h="1" x="1"/>
        <item t="default"/>
      </items>
    </pivotField>
    <pivotField showAll="0">
      <items count="19">
        <item x="0"/>
        <item x="3"/>
        <item x="6"/>
        <item x="5"/>
        <item x="2"/>
        <item x="4"/>
        <item x="1"/>
        <item x="12"/>
        <item x="16"/>
        <item x="7"/>
        <item x="8"/>
        <item x="11"/>
        <item x="13"/>
        <item x="9"/>
        <item x="17"/>
        <item x="14"/>
        <item x="10"/>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8" showAll="0"/>
    <pivotField numFmtId="44" showAll="0"/>
  </pivotFields>
  <rowFields count="1">
    <field x="2"/>
  </rowFields>
  <rowItems count="3">
    <i>
      <x/>
    </i>
    <i>
      <x v="3"/>
    </i>
    <i t="grand">
      <x/>
    </i>
  </rowItems>
  <colFields count="2">
    <field x="4"/>
    <field x="1"/>
  </colFields>
  <colItems count="4">
    <i>
      <x v="2"/>
      <x v="33"/>
    </i>
    <i r="1">
      <x v="37"/>
    </i>
    <i t="default">
      <x v="2"/>
    </i>
    <i t="grand">
      <x/>
    </i>
  </colItems>
  <dataFields count="1">
    <dataField name="Sum of Total Units " fld="18" baseField="0" baseItem="3598900"/>
  </dataFields>
  <chartFormats count="4">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3" name="pvtblGenresAndMarkets"/>
    <pivotTable tabId="3" name="pvtblAuthorsAndFormats"/>
  </pivotTables>
  <data>
    <tabular pivotCacheId="1">
      <items count="4">
        <i x="1" s="1"/>
        <i x="3" s="1"/>
        <i x="2"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ket" sourceName="Market">
  <pivotTables>
    <pivotTable tabId="3" name="pvtblGenresAndMarkets"/>
    <pivotTable tabId="3" name="pvtblAuthorsAndFormats"/>
  </pivotTables>
  <data>
    <tabular pivotCacheId="1">
      <items count="4">
        <i x="2"/>
        <i x="3"/>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ormat" sourceName="Format">
  <pivotTables>
    <pivotTable tabId="3" name="pvtblGenresAndMarkets"/>
    <pivotTable tabId="3" name="pvtblAuthorsAndFormats"/>
  </pivotTables>
  <data>
    <tabular pivotCacheId="1">
      <items count="2">
        <i x="0" s="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uthor" sourceName="Author">
  <pivotTables>
    <pivotTable tabId="3" name="pvtblGenresAndMarkets"/>
    <pivotTable tabId="3" name="pvtblAuthorsAndFormats"/>
  </pivotTables>
  <data>
    <tabular pivotCacheId="1">
      <items count="29">
        <i x="0"/>
        <i x="1"/>
        <i x="2" s="1"/>
        <i x="3"/>
        <i x="4"/>
        <i x="5"/>
        <i x="7"/>
        <i x="8"/>
        <i x="9"/>
        <i x="11"/>
        <i x="12"/>
        <i x="13"/>
        <i x="14"/>
        <i x="15"/>
        <i x="16"/>
        <i x="18"/>
        <i x="19"/>
        <i x="21"/>
        <i x="22"/>
        <i x="23"/>
        <i x="25"/>
        <i x="26"/>
        <i x="27"/>
        <i x="28"/>
        <i x="6" nd="1"/>
        <i x="10" nd="1"/>
        <i x="17" nd="1"/>
        <i x="20" nd="1"/>
        <i x="2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itle" sourceName="Title">
  <pivotTables>
    <pivotTable tabId="3" name="pvtblAuthorsAndFormats"/>
  </pivotTables>
  <data>
    <tabular pivotCacheId="1">
      <items count="342">
        <i x="33" s="1"/>
        <i x="37" s="1"/>
        <i x="0" s="1" nd="1"/>
        <i x="1" s="1" nd="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 x="34" s="1" nd="1"/>
        <i x="35" s="1" nd="1"/>
        <i x="36" s="1" nd="1"/>
        <i x="38" s="1" nd="1"/>
        <i x="39" s="1" nd="1"/>
        <i x="40" s="1" nd="1"/>
        <i x="41" s="1" nd="1"/>
        <i x="42" s="1" nd="1"/>
        <i x="43" s="1" nd="1"/>
        <i x="44" s="1" nd="1"/>
        <i x="45" s="1" nd="1"/>
        <i x="46" s="1" nd="1"/>
        <i x="47" s="1" nd="1"/>
        <i x="48" s="1" nd="1"/>
        <i x="49" s="1" nd="1"/>
        <i x="50" s="1" nd="1"/>
        <i x="51" s="1" nd="1"/>
        <i x="52" s="1" nd="1"/>
        <i x="53" s="1" nd="1"/>
        <i x="54" s="1" nd="1"/>
        <i x="55" s="1" nd="1"/>
        <i x="56" s="1" nd="1"/>
        <i x="57" s="1" nd="1"/>
        <i x="58" s="1" nd="1"/>
        <i x="59" s="1" nd="1"/>
        <i x="60" s="1" nd="1"/>
        <i x="61" s="1" nd="1"/>
        <i x="62" s="1" nd="1"/>
        <i x="63" s="1" nd="1"/>
        <i x="64" s="1" nd="1"/>
        <i x="65" s="1" nd="1"/>
        <i x="66" s="1" nd="1"/>
        <i x="67" s="1" nd="1"/>
        <i x="68" s="1" nd="1"/>
        <i x="69" s="1" nd="1"/>
        <i x="70" s="1" nd="1"/>
        <i x="71" s="1" nd="1"/>
        <i x="72" s="1" nd="1"/>
        <i x="73" s="1" nd="1"/>
        <i x="74" s="1" nd="1"/>
        <i x="75" s="1" nd="1"/>
        <i x="76" s="1" nd="1"/>
        <i x="77" s="1" nd="1"/>
        <i x="78" s="1" nd="1"/>
        <i x="79" s="1" nd="1"/>
        <i x="80" s="1" nd="1"/>
        <i x="81" s="1" nd="1"/>
        <i x="82" s="1" nd="1"/>
        <i x="83" s="1" nd="1"/>
        <i x="84" s="1" nd="1"/>
        <i x="85" s="1" nd="1"/>
        <i x="86" s="1" nd="1"/>
        <i x="87" s="1" nd="1"/>
        <i x="88" s="1" nd="1"/>
        <i x="89" s="1" nd="1"/>
        <i x="90" s="1" nd="1"/>
        <i x="91" s="1" nd="1"/>
        <i x="92" s="1" nd="1"/>
        <i x="93" s="1" nd="1"/>
        <i x="94" s="1" nd="1"/>
        <i x="95" s="1" nd="1"/>
        <i x="96" s="1" nd="1"/>
        <i x="97" s="1" nd="1"/>
        <i x="98" s="1" nd="1"/>
        <i x="99" s="1" nd="1"/>
        <i x="100" s="1" nd="1"/>
        <i x="101" s="1" nd="1"/>
        <i x="102" s="1" nd="1"/>
        <i x="103" s="1" nd="1"/>
        <i x="104" s="1" nd="1"/>
        <i x="105" s="1" nd="1"/>
        <i x="106" s="1" nd="1"/>
        <i x="107" s="1" nd="1"/>
        <i x="108" s="1" nd="1"/>
        <i x="109" s="1" nd="1"/>
        <i x="110" s="1" nd="1"/>
        <i x="111" s="1" nd="1"/>
        <i x="112" s="1" nd="1"/>
        <i x="113" s="1" nd="1"/>
        <i x="114" s="1" nd="1"/>
        <i x="115" s="1" nd="1"/>
        <i x="116" s="1" nd="1"/>
        <i x="117" s="1" nd="1"/>
        <i x="118" s="1" nd="1"/>
        <i x="119" s="1" nd="1"/>
        <i x="120" s="1" nd="1"/>
        <i x="121" s="1" nd="1"/>
        <i x="122" s="1" nd="1"/>
        <i x="123" s="1" nd="1"/>
        <i x="124" s="1" nd="1"/>
        <i x="125" s="1" nd="1"/>
        <i x="126" s="1" nd="1"/>
        <i x="127" s="1" nd="1"/>
        <i x="128" s="1" nd="1"/>
        <i x="129" s="1" nd="1"/>
        <i x="130" s="1" nd="1"/>
        <i x="131" s="1" nd="1"/>
        <i x="132" s="1" nd="1"/>
        <i x="133" s="1" nd="1"/>
        <i x="134" s="1" nd="1"/>
        <i x="135" s="1" nd="1"/>
        <i x="136" s="1" nd="1"/>
        <i x="137" s="1" nd="1"/>
        <i x="138" s="1" nd="1"/>
        <i x="139" s="1" nd="1"/>
        <i x="140" s="1" nd="1"/>
        <i x="141" s="1" nd="1"/>
        <i x="142" s="1" nd="1"/>
        <i x="143" s="1" nd="1"/>
        <i x="144" s="1" nd="1"/>
        <i x="145" s="1" nd="1"/>
        <i x="146" s="1" nd="1"/>
        <i x="147" s="1" nd="1"/>
        <i x="148" s="1" nd="1"/>
        <i x="149" s="1" nd="1"/>
        <i x="150" s="1" nd="1"/>
        <i x="151" s="1" nd="1"/>
        <i x="152" s="1" nd="1"/>
        <i x="153" s="1" nd="1"/>
        <i x="154" s="1" nd="1"/>
        <i x="155" s="1" nd="1"/>
        <i x="156" s="1" nd="1"/>
        <i x="157" s="1" nd="1"/>
        <i x="158" s="1" nd="1"/>
        <i x="159" s="1" nd="1"/>
        <i x="160" s="1" nd="1"/>
        <i x="161" s="1" nd="1"/>
        <i x="162" s="1" nd="1"/>
        <i x="163" s="1" nd="1"/>
        <i x="164" s="1" nd="1"/>
        <i x="165" s="1" nd="1"/>
        <i x="166" s="1" nd="1"/>
        <i x="167" s="1" nd="1"/>
        <i x="168" s="1" nd="1"/>
        <i x="169" s="1" nd="1"/>
        <i x="170" s="1" nd="1"/>
        <i x="171" s="1" nd="1"/>
        <i x="172" s="1" nd="1"/>
        <i x="173" s="1" nd="1"/>
        <i x="174" s="1" nd="1"/>
        <i x="175" s="1" nd="1"/>
        <i x="176" s="1" nd="1"/>
        <i x="177" s="1" nd="1"/>
        <i x="178" s="1" nd="1"/>
        <i x="179" s="1" nd="1"/>
        <i x="180" s="1" nd="1"/>
        <i x="181" s="1" nd="1"/>
        <i x="182" s="1" nd="1"/>
        <i x="183" s="1" nd="1"/>
        <i x="184" s="1" nd="1"/>
        <i x="185" s="1" nd="1"/>
        <i x="186" s="1" nd="1"/>
        <i x="187" s="1" nd="1"/>
        <i x="188" s="1" nd="1"/>
        <i x="189" s="1" nd="1"/>
        <i x="190" s="1" nd="1"/>
        <i x="191" s="1" nd="1"/>
        <i x="192" s="1" nd="1"/>
        <i x="193" s="1" nd="1"/>
        <i x="194" s="1" nd="1"/>
        <i x="195" s="1" nd="1"/>
        <i x="196" s="1" nd="1"/>
        <i x="197" s="1" nd="1"/>
        <i x="198" s="1" nd="1"/>
        <i x="199" s="1" nd="1"/>
        <i x="200" s="1" nd="1"/>
        <i x="201" s="1" nd="1"/>
        <i x="202" s="1" nd="1"/>
        <i x="203" s="1" nd="1"/>
        <i x="204" s="1" nd="1"/>
        <i x="205" s="1" nd="1"/>
        <i x="206" s="1" nd="1"/>
        <i x="207" s="1" nd="1"/>
        <i x="208" s="1" nd="1"/>
        <i x="209" s="1" nd="1"/>
        <i x="210" s="1" nd="1"/>
        <i x="211" s="1" nd="1"/>
        <i x="212" s="1" nd="1"/>
        <i x="213" s="1" nd="1"/>
        <i x="214" s="1" nd="1"/>
        <i x="215" s="1" nd="1"/>
        <i x="216" s="1" nd="1"/>
        <i x="217" s="1" nd="1"/>
        <i x="218" s="1" nd="1"/>
        <i x="219" s="1" nd="1"/>
        <i x="220" s="1" nd="1"/>
        <i x="221" s="1" nd="1"/>
        <i x="222" s="1" nd="1"/>
        <i x="223" s="1" nd="1"/>
        <i x="224" s="1" nd="1"/>
        <i x="225" s="1" nd="1"/>
        <i x="226" s="1" nd="1"/>
        <i x="227" s="1" nd="1"/>
        <i x="228" s="1" nd="1"/>
        <i x="229" s="1" nd="1"/>
        <i x="230" s="1" nd="1"/>
        <i x="231" s="1" nd="1"/>
        <i x="232" s="1" nd="1"/>
        <i x="233" s="1" nd="1"/>
        <i x="234" s="1" nd="1"/>
        <i x="235" s="1" nd="1"/>
        <i x="236" s="1" nd="1"/>
        <i x="237" s="1" nd="1"/>
        <i x="238" s="1" nd="1"/>
        <i x="239" s="1" nd="1"/>
        <i x="240" s="1" nd="1"/>
        <i x="241" s="1" nd="1"/>
        <i x="242" s="1" nd="1"/>
        <i x="243" s="1" nd="1"/>
        <i x="244" s="1" nd="1"/>
        <i x="245" s="1" nd="1"/>
        <i x="246" s="1" nd="1"/>
        <i x="247" s="1" nd="1"/>
        <i x="248" s="1" nd="1"/>
        <i x="249" s="1" nd="1"/>
        <i x="250" s="1" nd="1"/>
        <i x="251" s="1" nd="1"/>
        <i x="252" s="1" nd="1"/>
        <i x="253" s="1" nd="1"/>
        <i x="254" s="1" nd="1"/>
        <i x="255" s="1" nd="1"/>
        <i x="256" s="1" nd="1"/>
        <i x="257" s="1" nd="1"/>
        <i x="258" s="1" nd="1"/>
        <i x="259" s="1" nd="1"/>
        <i x="260" s="1" nd="1"/>
        <i x="261" s="1" nd="1"/>
        <i x="262" s="1" nd="1"/>
        <i x="263" s="1" nd="1"/>
        <i x="264" s="1" nd="1"/>
        <i x="265" s="1" nd="1"/>
        <i x="266" s="1" nd="1"/>
        <i x="267" s="1" nd="1"/>
        <i x="268" s="1" nd="1"/>
        <i x="269" s="1" nd="1"/>
        <i x="270" s="1" nd="1"/>
        <i x="271" s="1" nd="1"/>
        <i x="272" s="1" nd="1"/>
        <i x="273" s="1" nd="1"/>
        <i x="274" s="1" nd="1"/>
        <i x="275" s="1" nd="1"/>
        <i x="276" s="1" nd="1"/>
        <i x="277" s="1" nd="1"/>
        <i x="278" s="1" nd="1"/>
        <i x="279" s="1" nd="1"/>
        <i x="280" s="1" nd="1"/>
        <i x="281" s="1" nd="1"/>
        <i x="282" s="1" nd="1"/>
        <i x="283" s="1" nd="1"/>
        <i x="284" s="1" nd="1"/>
        <i x="285" s="1" nd="1"/>
        <i x="286" s="1" nd="1"/>
        <i x="287" s="1" nd="1"/>
        <i x="288" s="1" nd="1"/>
        <i x="289" s="1" nd="1"/>
        <i x="290" s="1" nd="1"/>
        <i x="291" s="1" nd="1"/>
        <i x="292" s="1" nd="1"/>
        <i x="293" s="1" nd="1"/>
        <i x="294" s="1" nd="1"/>
        <i x="295" s="1" nd="1"/>
        <i x="296" s="1" nd="1"/>
        <i x="297" s="1" nd="1"/>
        <i x="298" s="1" nd="1"/>
        <i x="299" s="1" nd="1"/>
        <i x="300" s="1" nd="1"/>
        <i x="301" s="1" nd="1"/>
        <i x="302" s="1" nd="1"/>
        <i x="303" s="1" nd="1"/>
        <i x="304" s="1" nd="1"/>
        <i x="305" s="1" nd="1"/>
        <i x="306" s="1" nd="1"/>
        <i x="307" s="1" nd="1"/>
        <i x="308" s="1" nd="1"/>
        <i x="309" s="1" nd="1"/>
        <i x="310" s="1" nd="1"/>
        <i x="311" s="1" nd="1"/>
        <i x="312" s="1" nd="1"/>
        <i x="313" s="1" nd="1"/>
        <i x="314" s="1" nd="1"/>
        <i x="315" s="1" nd="1"/>
        <i x="316" s="1" nd="1"/>
        <i x="317" s="1" nd="1"/>
        <i x="318" s="1" nd="1"/>
        <i x="319" s="1" nd="1"/>
        <i x="320" s="1" nd="1"/>
        <i x="321" s="1" nd="1"/>
        <i x="322" s="1" nd="1"/>
        <i x="323" s="1" nd="1"/>
        <i x="324" s="1" nd="1"/>
        <i x="325" s="1" nd="1"/>
        <i x="326" s="1" nd="1"/>
        <i x="327" s="1" nd="1"/>
        <i x="328" s="1" nd="1"/>
        <i x="329" s="1" nd="1"/>
        <i x="330" s="1" nd="1"/>
        <i x="331" s="1" nd="1"/>
        <i x="332" s="1" nd="1"/>
        <i x="333" s="1" nd="1"/>
        <i x="334" s="1" nd="1"/>
        <i x="335" s="1" nd="1"/>
        <i x="336" s="1" nd="1"/>
        <i x="337" s="1" nd="1"/>
        <i x="338" s="1" nd="1"/>
        <i x="339" s="1" nd="1"/>
        <i x="340" s="1" nd="1"/>
        <i x="34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re" cache="Slicer_Genre" caption="Genre" rowHeight="241300"/>
  <slicer name="Market" cache="Slicer_Market" caption="Market" rowHeight="241300"/>
  <slicer name="Format" cache="Slicer_Format" caption="Format" rowHeight="241300"/>
  <slicer name="Author" cache="Slicer_Author" caption="Author" rowHeight="241300"/>
  <slicer name="Title" cache="Slicer_Title" caption="Title" rowHeight="241300"/>
</slicers>
</file>

<file path=xl/tables/table1.xml><?xml version="1.0" encoding="utf-8"?>
<table xmlns="http://schemas.openxmlformats.org/spreadsheetml/2006/main" id="5" name="tblAuthorData" displayName="tblAuthorData" ref="A1:J30" totalsRowShown="0" headerRowDxfId="56" dataDxfId="55">
  <autoFilter ref="A1:J30"/>
  <sortState ref="A2:J30">
    <sortCondition ref="A1:A30"/>
  </sortState>
  <tableColumns count="10">
    <tableColumn id="1" name="AuthorID" dataDxfId="54"/>
    <tableColumn id="2" name="Initial_x000a_Contract Date" dataDxfId="53"/>
    <tableColumn id="3" name="Years_x000a_Under Contract" dataDxfId="52"/>
    <tableColumn id="4" name="Number of_x000a_Books in Print" dataDxfId="51">
      <calculatedColumnFormula>SUM(IF(FREQUENCY(MATCH(INDIRECT(CONCATENATE("Sales!","B",MATCH('Summary Data'!$A2,Author,0)+1,":","B",MATCH('Summary Data'!$A2,Author,1)+1,)),Title,0),MATCH(Title,Title,0))&gt;0,1))</calculatedColumnFormula>
    </tableColumn>
    <tableColumn id="5" name="Number of_x000a_Books Sold" dataDxfId="50" dataCellStyle="Comma">
      <calculatedColumnFormula>SUMIF(Author,'Summary Data'!$A2,Total_Units_to_Date)</calculatedColumnFormula>
    </tableColumn>
    <tableColumn id="6" name="Income_x000a_Earned" dataDxfId="49" dataCellStyle="Currency">
      <calculatedColumnFormula>SUMIF(Author,'Summary Data'!$A2,Total_Earnings_to_Date)</calculatedColumnFormula>
    </tableColumn>
    <tableColumn id="7" name="Early_x000a_Producer?" dataDxfId="48">
      <calculatedColumnFormula>IF(AND(Years_Under_Contract&lt;2,Number_of_Books_in_Print&gt;4)=TRUE,"Yes","No")</calculatedColumnFormula>
    </tableColumn>
    <tableColumn id="8" name="5+ Years_x000a_or High_x000a_Producer?" dataDxfId="47">
      <calculatedColumnFormula>IF(OR(Years_Under_Contract&gt;5,Number_of_Books_in_Print&gt;=10)=TRUE,"Yes","No")</calculatedColumnFormula>
    </tableColumn>
    <tableColumn id="9" name="5+ Years_x000a_and 350K+ Units_x000a_Sold or $1M+ Earned?" dataDxfId="46">
      <calculatedColumnFormula>IF(AND(Years_Under_Contract&gt;5,OR(Number_of_Books_in_Print&gt;350000,Income_Earned&gt;=1000000))=TRUE,"Yes","No")</calculatedColumnFormula>
    </tableColumn>
    <tableColumn id="10" name="Royalty_x000a_Rate" dataDxfId="45" dataCellStyle="Percent">
      <calculatedColumnFormula>IF(AND(Years_Under_Contract&gt;5,OR(Number_of_Books_in_Print&gt;10,Income_Earned&gt;1000000)),0.2,IF(Number_of_Books_in_Print&gt;10,0.15,0.09))</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4" name="tblSalesData" displayName="tblSalesData" ref="A1:U436" totalsRowCount="1" headerRowDxfId="39" dataDxfId="38" totalsRowDxfId="37">
  <autoFilter ref="A1:U435"/>
  <tableColumns count="21">
    <tableColumn id="1" name="Author" totalsRowLabel="Total" dataDxfId="36"/>
    <tableColumn id="2" name="Title" dataDxfId="35"/>
    <tableColumn id="3" name="Genre" dataDxfId="34"/>
    <tableColumn id="4" name="Format" dataDxfId="33"/>
    <tableColumn id="5" name="Market" dataDxfId="32"/>
    <tableColumn id="8" name="FY 2000" totalsRowFunction="sum" dataDxfId="31" totalsRowDxfId="30"/>
    <tableColumn id="9" name="FY 2001" totalsRowFunction="sum" dataDxfId="29" totalsRowDxfId="28"/>
    <tableColumn id="10" name="FY 2002" totalsRowFunction="sum" dataDxfId="27" totalsRowDxfId="26"/>
    <tableColumn id="11" name="FY 2003" totalsRowFunction="sum" dataDxfId="25" totalsRowDxfId="24"/>
    <tableColumn id="12" name="FY 2004" totalsRowFunction="sum" dataDxfId="23" totalsRowDxfId="22"/>
    <tableColumn id="13" name="FY 2005" totalsRowFunction="sum" dataDxfId="21" totalsRowDxfId="20"/>
    <tableColumn id="14" name="FY 2006" totalsRowFunction="sum" dataDxfId="19" totalsRowDxfId="18"/>
    <tableColumn id="15" name="FY 2007" totalsRowFunction="sum" dataDxfId="17" totalsRowDxfId="16"/>
    <tableColumn id="16" name="FY 2008" totalsRowFunction="sum" dataDxfId="15" totalsRowDxfId="14"/>
    <tableColumn id="17" name="FY 2009" totalsRowFunction="sum" dataDxfId="13" totalsRowDxfId="12"/>
    <tableColumn id="18" name="FY 2010" totalsRowFunction="sum" dataDxfId="11" totalsRowDxfId="10"/>
    <tableColumn id="19" name="FY 2011" totalsRowFunction="sum" dataDxfId="9" totalsRowDxfId="8"/>
    <tableColumn id="20" name="FY 2012" totalsRowFunction="sum" dataDxfId="7" totalsRowDxfId="6"/>
    <tableColumn id="6" name="Total Units _x000a_to Date" totalsRowFunction="sum" dataDxfId="5" totalsRowDxfId="4">
      <calculatedColumnFormula>SUM(tblSalesData[[#This Row],[FY 2000]:[FY 2012]])</calculatedColumnFormula>
    </tableColumn>
    <tableColumn id="7" name="Sell Price" dataDxfId="3" totalsRowDxfId="2"/>
    <tableColumn id="21" name="Total Earnings _x000a_to Date" totalsRowFunction="sum" dataDxfId="1" totalsRowDxfId="0" dataCellStyle="Currency">
      <calculatedColumnFormula>tblSalesData[[#This Row],[Total Units 
to Date]]*tblSalesData[[#This Row],[Sell Price]]</calculatedColumnFormula>
    </tableColumn>
  </tableColumns>
  <tableStyleInfo name="TableStyleMedium4"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olstice">
  <a:themeElements>
    <a:clrScheme name="Custom 6">
      <a:dk1>
        <a:sysClr val="windowText" lastClr="000000"/>
      </a:dk1>
      <a:lt1>
        <a:sysClr val="window" lastClr="FFFFFF"/>
      </a:lt1>
      <a:dk2>
        <a:srgbClr val="4F271C"/>
      </a:dk2>
      <a:lt2>
        <a:srgbClr val="E7DEC9"/>
      </a:lt2>
      <a:accent1>
        <a:srgbClr val="3891A7"/>
      </a:accent1>
      <a:accent2>
        <a:srgbClr val="FAAF06"/>
      </a:accent2>
      <a:accent3>
        <a:srgbClr val="C32D2E"/>
      </a:accent3>
      <a:accent4>
        <a:srgbClr val="1CA429"/>
      </a:accent4>
      <a:accent5>
        <a:srgbClr val="964305"/>
      </a:accent5>
      <a:accent6>
        <a:srgbClr val="475A8D"/>
      </a:accent6>
      <a:hlink>
        <a:srgbClr val="8DC765"/>
      </a:hlink>
      <a:folHlink>
        <a:srgbClr val="AA8A14"/>
      </a:folHlink>
    </a:clrScheme>
    <a:fontScheme name="F&amp;A Font">
      <a:majorFont>
        <a:latin typeface="Verdana"/>
        <a:ea typeface=""/>
        <a:cs typeface=""/>
      </a:majorFont>
      <a:minorFont>
        <a:latin typeface="Verdana"/>
        <a:ea typeface=""/>
        <a:cs typeface=""/>
      </a:minorFont>
    </a:fontScheme>
    <a:fmtScheme name="Solstice">
      <a:fillStyleLst>
        <a:solidFill>
          <a:schemeClr val="phClr"/>
        </a:solidFill>
        <a:gradFill rotWithShape="1">
          <a:gsLst>
            <a:gs pos="0">
              <a:schemeClr val="phClr">
                <a:tint val="35000"/>
                <a:satMod val="253000"/>
              </a:schemeClr>
            </a:gs>
            <a:gs pos="50000">
              <a:schemeClr val="phClr">
                <a:tint val="42000"/>
                <a:satMod val="255000"/>
              </a:schemeClr>
            </a:gs>
            <a:gs pos="97000">
              <a:schemeClr val="phClr">
                <a:tint val="53000"/>
                <a:satMod val="260000"/>
              </a:schemeClr>
            </a:gs>
            <a:gs pos="100000">
              <a:schemeClr val="phClr">
                <a:tint val="56000"/>
                <a:satMod val="275000"/>
              </a:schemeClr>
            </a:gs>
          </a:gsLst>
          <a:path path="circle">
            <a:fillToRect l="50000" t="50000" r="50000" b="50000"/>
          </a:path>
        </a:gradFill>
        <a:gradFill rotWithShape="1">
          <a:gsLst>
            <a:gs pos="0">
              <a:schemeClr val="phClr">
                <a:tint val="92000"/>
                <a:satMod val="170000"/>
              </a:schemeClr>
            </a:gs>
            <a:gs pos="15000">
              <a:schemeClr val="phClr">
                <a:tint val="92000"/>
                <a:shade val="99000"/>
                <a:satMod val="170000"/>
              </a:schemeClr>
            </a:gs>
            <a:gs pos="62000">
              <a:schemeClr val="phClr">
                <a:tint val="96000"/>
                <a:shade val="80000"/>
                <a:satMod val="170000"/>
              </a:schemeClr>
            </a:gs>
            <a:gs pos="97000">
              <a:schemeClr val="phClr">
                <a:tint val="98000"/>
                <a:shade val="63000"/>
                <a:satMod val="170000"/>
              </a:schemeClr>
            </a:gs>
            <a:gs pos="100000">
              <a:schemeClr val="phClr">
                <a:shade val="62000"/>
                <a:satMod val="170000"/>
              </a:schemeClr>
            </a:gs>
          </a:gsLst>
          <a:path path="circle">
            <a:fillToRect l="50000" t="50000" r="50000" b="50000"/>
          </a:path>
        </a:gradFill>
      </a:fillStyleLst>
      <a:lnStyleLst>
        <a:ln w="9525" cap="flat" cmpd="sng" algn="ctr">
          <a:solidFill>
            <a:schemeClr val="phClr"/>
          </a:solidFill>
          <a:prstDash val="solid"/>
        </a:ln>
        <a:ln w="254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5400000" rotWithShape="0">
              <a:srgbClr val="000000">
                <a:alpha val="43137"/>
              </a:srgbClr>
            </a:outerShdw>
          </a:effectLst>
        </a:effectStyle>
        <a:effectStyle>
          <a:effectLst>
            <a:outerShdw blurRad="63500" dist="25400" dir="5400000" rotWithShape="0">
              <a:srgbClr val="000000">
                <a:alpha val="43137"/>
              </a:srgbClr>
            </a:outerShdw>
          </a:effectLst>
          <a:scene3d>
            <a:camera prst="orthographicFront" fov="0">
              <a:rot lat="0" lon="0" rev="0"/>
            </a:camera>
            <a:lightRig rig="brightRoom" dir="tl">
              <a:rot lat="0" lon="0" rev="8700000"/>
            </a:lightRig>
          </a:scene3d>
          <a:sp3d contourW="12700">
            <a:bevelT w="0" h="0"/>
            <a:contourClr>
              <a:schemeClr val="phClr">
                <a:shade val="80000"/>
              </a:schemeClr>
            </a:contourClr>
          </a:sp3d>
        </a:effectStyle>
        <a:effectStyle>
          <a:effectLst>
            <a:outerShdw blurRad="63500" dist="25400" dir="5400000" rotWithShape="0">
              <a:srgbClr val="000000">
                <a:alpha val="43137"/>
              </a:srgbClr>
            </a:outerShdw>
          </a:effectLst>
          <a:scene3d>
            <a:camera prst="orthographicFront" fov="0">
              <a:rot lat="0" lon="0" rev="0"/>
            </a:camera>
            <a:lightRig rig="brightRoom" dir="tl">
              <a:rot lat="0" lon="0" rev="5400000"/>
            </a:lightRig>
          </a:scene3d>
          <a:sp3d contourW="12700">
            <a:bevelT w="25400" h="50800" prst="angle"/>
            <a:contourClr>
              <a:schemeClr val="phClr"/>
            </a:contourClr>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K10" sqref="K10"/>
    </sheetView>
  </sheetViews>
  <sheetFormatPr defaultRowHeight="14.2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H15"/>
  <sheetViews>
    <sheetView showGridLines="0" workbookViewId="0"/>
  </sheetViews>
  <sheetFormatPr defaultRowHeight="14.25" x14ac:dyDescent="0.2"/>
  <cols>
    <col min="1" max="1" width="1.09765625" customWidth="1"/>
    <col min="2" max="2" width="7.296875" customWidth="1"/>
    <col min="3" max="3" width="6.796875" customWidth="1"/>
    <col min="4" max="4" width="0.8984375" customWidth="1"/>
    <col min="6" max="6" width="8.69921875" customWidth="1"/>
    <col min="7" max="7" width="0.8984375" customWidth="1"/>
    <col min="9" max="9" width="11.09765625" customWidth="1"/>
    <col min="10" max="10" width="0.8984375" customWidth="1"/>
    <col min="34" max="34" width="11" customWidth="1"/>
  </cols>
  <sheetData>
    <row r="1" spans="2:34" ht="6.75" customHeight="1" thickBot="1" x14ac:dyDescent="0.25"/>
    <row r="2" spans="2:34" x14ac:dyDescent="0.2">
      <c r="B2" s="35" t="s">
        <v>10</v>
      </c>
      <c r="C2" s="36">
        <v>1005</v>
      </c>
      <c r="AA2" s="44" t="s">
        <v>396</v>
      </c>
      <c r="AB2" s="45"/>
      <c r="AD2" s="48" t="s">
        <v>397</v>
      </c>
      <c r="AE2" s="49"/>
    </row>
    <row r="3" spans="2:34" ht="69.75" customHeight="1" thickBot="1" x14ac:dyDescent="0.25">
      <c r="B3" s="42"/>
      <c r="C3" s="43"/>
      <c r="K3" s="40"/>
      <c r="L3" s="40"/>
      <c r="M3" s="40"/>
      <c r="N3" s="40"/>
      <c r="O3" s="40"/>
      <c r="P3" s="40"/>
      <c r="Q3" s="40"/>
      <c r="R3" s="40"/>
      <c r="S3" s="40"/>
      <c r="T3" s="40"/>
      <c r="AA3" s="46">
        <f ca="1">SUM(IF(FREQUENCY(MATCH(INDIRECT(CONCATENATE("Sales!","B",MATCH(C2,Author,0)+1,":","B",MATCH(C2,Author,1)+1,)),Title,0),MATCH(Title,Title,0))&gt;0,1))</f>
        <v>25</v>
      </c>
      <c r="AB3" s="47"/>
      <c r="AD3" s="50">
        <f>VLOOKUP(C2,tblAuthorData[],3)</f>
        <v>1.3963039014373717</v>
      </c>
      <c r="AE3" s="51"/>
    </row>
    <row r="4" spans="2:34" ht="4.5" customHeight="1" thickBot="1" x14ac:dyDescent="0.25">
      <c r="K4" s="40"/>
      <c r="L4" s="40"/>
      <c r="M4" s="40"/>
      <c r="N4" s="40"/>
      <c r="O4" s="40"/>
      <c r="P4" s="40"/>
      <c r="Q4" s="40"/>
      <c r="R4" s="40"/>
      <c r="S4" s="40"/>
      <c r="T4" s="40"/>
    </row>
    <row r="5" spans="2:34" x14ac:dyDescent="0.2">
      <c r="K5" s="71"/>
      <c r="L5" s="71"/>
      <c r="M5" s="71"/>
      <c r="N5" s="71"/>
      <c r="O5" s="71"/>
      <c r="P5" s="40"/>
      <c r="Q5" s="40"/>
      <c r="R5" s="40"/>
      <c r="S5" s="40"/>
      <c r="T5" s="40"/>
      <c r="AA5" s="60" t="s">
        <v>398</v>
      </c>
      <c r="AB5" s="61"/>
      <c r="AC5" s="66" t="s">
        <v>399</v>
      </c>
      <c r="AD5" s="66"/>
      <c r="AE5" s="67"/>
      <c r="AG5" s="73" t="s">
        <v>401</v>
      </c>
      <c r="AH5" s="74"/>
    </row>
    <row r="6" spans="2:34" ht="5.25" customHeight="1" x14ac:dyDescent="0.2">
      <c r="K6" s="40"/>
      <c r="L6" s="40"/>
      <c r="M6" s="40"/>
      <c r="N6" s="40"/>
      <c r="O6" s="40"/>
      <c r="P6" s="40"/>
      <c r="Q6" s="40"/>
      <c r="R6" s="40"/>
      <c r="S6" s="40"/>
      <c r="T6" s="40"/>
      <c r="AA6" s="62"/>
      <c r="AB6" s="63"/>
      <c r="AC6" s="54">
        <f>RANK(VLOOKUP(C2,tblAuthorData[],5),Number_of_Books_Sold)</f>
        <v>29</v>
      </c>
      <c r="AD6" s="55"/>
      <c r="AE6" s="56"/>
      <c r="AG6" s="75">
        <f ca="1">VLOOKUP(C2,tblAuthorData[],10)</f>
        <v>0.15</v>
      </c>
      <c r="AH6" s="76"/>
    </row>
    <row r="7" spans="2:34" x14ac:dyDescent="0.2">
      <c r="K7" s="72"/>
      <c r="L7" s="71"/>
      <c r="M7" s="71"/>
      <c r="N7" s="71"/>
      <c r="O7" s="71"/>
      <c r="P7" s="40"/>
      <c r="Q7" s="40"/>
      <c r="R7" s="40"/>
      <c r="S7" s="40"/>
      <c r="T7" s="40"/>
      <c r="AA7" s="62"/>
      <c r="AB7" s="63"/>
      <c r="AC7" s="54"/>
      <c r="AD7" s="55"/>
      <c r="AE7" s="56"/>
      <c r="AG7" s="75"/>
      <c r="AH7" s="76"/>
    </row>
    <row r="8" spans="2:34" ht="6" customHeight="1" x14ac:dyDescent="0.2">
      <c r="K8" s="40"/>
      <c r="L8" s="40"/>
      <c r="M8" s="40"/>
      <c r="N8" s="40"/>
      <c r="O8" s="40"/>
      <c r="P8" s="40"/>
      <c r="Q8" s="40"/>
      <c r="R8" s="40"/>
      <c r="S8" s="40"/>
      <c r="T8" s="40"/>
      <c r="AA8" s="62"/>
      <c r="AB8" s="63"/>
      <c r="AC8" s="54"/>
      <c r="AD8" s="55"/>
      <c r="AE8" s="56"/>
      <c r="AG8" s="75"/>
      <c r="AH8" s="76"/>
    </row>
    <row r="9" spans="2:34" ht="15" thickBot="1" x14ac:dyDescent="0.25">
      <c r="K9" s="72"/>
      <c r="L9" s="71"/>
      <c r="M9" s="71"/>
      <c r="N9" s="71"/>
      <c r="O9" s="71"/>
      <c r="P9" s="40"/>
      <c r="Q9" s="40"/>
      <c r="R9" s="40"/>
      <c r="S9" s="40"/>
      <c r="T9" s="40"/>
      <c r="AA9" s="62"/>
      <c r="AB9" s="63"/>
      <c r="AC9" s="68"/>
      <c r="AD9" s="69"/>
      <c r="AE9" s="70"/>
      <c r="AG9" s="77"/>
      <c r="AH9" s="78"/>
    </row>
    <row r="10" spans="2:34" ht="5.25" customHeight="1" x14ac:dyDescent="0.2">
      <c r="K10" s="40"/>
      <c r="L10" s="40"/>
      <c r="M10" s="40"/>
      <c r="N10" s="40"/>
      <c r="O10" s="40"/>
      <c r="P10" s="40"/>
      <c r="Q10" s="40"/>
      <c r="R10" s="40"/>
      <c r="S10" s="40"/>
      <c r="T10" s="40"/>
      <c r="AA10" s="62"/>
      <c r="AB10" s="63"/>
      <c r="AC10" s="39"/>
      <c r="AD10" s="37"/>
      <c r="AE10" s="38"/>
    </row>
    <row r="11" spans="2:34" x14ac:dyDescent="0.2">
      <c r="K11" s="40"/>
      <c r="L11" s="40"/>
      <c r="M11" s="40"/>
      <c r="N11" s="40"/>
      <c r="O11" s="40"/>
      <c r="P11" s="40"/>
      <c r="Q11" s="40"/>
      <c r="R11" s="40"/>
      <c r="S11" s="40"/>
      <c r="T11" s="40"/>
      <c r="AA11" s="62"/>
      <c r="AB11" s="63"/>
      <c r="AC11" s="52" t="s">
        <v>400</v>
      </c>
      <c r="AD11" s="52"/>
      <c r="AE11" s="53"/>
    </row>
    <row r="12" spans="2:34" ht="6.75" customHeight="1" x14ac:dyDescent="0.2">
      <c r="K12" s="40"/>
      <c r="L12" s="40"/>
      <c r="M12" s="40"/>
      <c r="N12" s="40"/>
      <c r="O12" s="40"/>
      <c r="P12" s="40"/>
      <c r="Q12" s="40"/>
      <c r="R12" s="40"/>
      <c r="S12" s="40"/>
      <c r="T12" s="40"/>
      <c r="AA12" s="62"/>
      <c r="AB12" s="63"/>
      <c r="AC12" s="54">
        <f>RANK(VLOOKUP(C2,tblAuthorData[],6),Income_Earned)</f>
        <v>28</v>
      </c>
      <c r="AD12" s="55"/>
      <c r="AE12" s="56"/>
    </row>
    <row r="13" spans="2:34" x14ac:dyDescent="0.2">
      <c r="K13" s="40"/>
      <c r="L13" s="40"/>
      <c r="M13" s="40"/>
      <c r="N13" s="40"/>
      <c r="O13" s="40"/>
      <c r="P13" s="40"/>
      <c r="Q13" s="40"/>
      <c r="R13" s="40"/>
      <c r="S13" s="40"/>
      <c r="T13" s="40"/>
      <c r="AA13" s="62"/>
      <c r="AB13" s="63"/>
      <c r="AC13" s="54"/>
      <c r="AD13" s="55"/>
      <c r="AE13" s="56"/>
    </row>
    <row r="14" spans="2:34" x14ac:dyDescent="0.2">
      <c r="K14" s="40"/>
      <c r="L14" s="40"/>
      <c r="M14" s="40"/>
      <c r="N14" s="40"/>
      <c r="O14" s="40"/>
      <c r="P14" s="40"/>
      <c r="Q14" s="40"/>
      <c r="R14" s="40"/>
      <c r="S14" s="41"/>
      <c r="T14" s="40"/>
      <c r="AA14" s="62"/>
      <c r="AB14" s="63"/>
      <c r="AC14" s="54"/>
      <c r="AD14" s="55"/>
      <c r="AE14" s="56"/>
    </row>
    <row r="15" spans="2:34" ht="7.5" customHeight="1" thickBot="1" x14ac:dyDescent="0.25">
      <c r="K15" s="40"/>
      <c r="L15" s="40"/>
      <c r="M15" s="40"/>
      <c r="N15" s="40"/>
      <c r="O15" s="40"/>
      <c r="P15" s="40"/>
      <c r="Q15" s="40"/>
      <c r="R15" s="40"/>
      <c r="S15" s="40"/>
      <c r="T15" s="40"/>
      <c r="AA15" s="64"/>
      <c r="AB15" s="65"/>
      <c r="AC15" s="57"/>
      <c r="AD15" s="58"/>
      <c r="AE15" s="59"/>
    </row>
  </sheetData>
  <mergeCells count="15">
    <mergeCell ref="K5:O5"/>
    <mergeCell ref="K7:O7"/>
    <mergeCell ref="K9:O9"/>
    <mergeCell ref="AG5:AH5"/>
    <mergeCell ref="AG6:AH9"/>
    <mergeCell ref="AC11:AE11"/>
    <mergeCell ref="AC12:AE15"/>
    <mergeCell ref="AA5:AB15"/>
    <mergeCell ref="AC5:AE5"/>
    <mergeCell ref="AC6:AE9"/>
    <mergeCell ref="B3:C3"/>
    <mergeCell ref="AA2:AB2"/>
    <mergeCell ref="AA3:AB3"/>
    <mergeCell ref="AD2:AE2"/>
    <mergeCell ref="AD3:AE3"/>
  </mergeCells>
  <dataValidations count="1">
    <dataValidation type="list" allowBlank="1" showInputMessage="1" showErrorMessage="1" sqref="C2">
      <formula1>AuthorID</formula1>
    </dataValidation>
  </dataValidations>
  <pageMargins left="0.7" right="0.7" top="0.75" bottom="0.75" header="0.3" footer="0.3"/>
  <pageSetup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Normal="100" workbookViewId="0">
      <selection activeCell="G2" sqref="G2"/>
    </sheetView>
  </sheetViews>
  <sheetFormatPr defaultRowHeight="15" x14ac:dyDescent="0.2"/>
  <cols>
    <col min="1" max="1" width="13.796875" customWidth="1"/>
    <col min="2" max="2" width="16.69921875" customWidth="1"/>
    <col min="3" max="3" width="19.296875" customWidth="1"/>
    <col min="4" max="4" width="18" customWidth="1"/>
    <col min="5" max="5" width="16" customWidth="1"/>
    <col min="6" max="6" width="14.69921875" customWidth="1"/>
    <col min="7" max="7" width="14" customWidth="1"/>
    <col min="8" max="8" width="14.59765625" customWidth="1"/>
    <col min="9" max="9" width="14.09765625" customWidth="1"/>
    <col min="10" max="10" width="10.5" customWidth="1"/>
  </cols>
  <sheetData>
    <row r="1" spans="1:12" ht="81" customHeight="1" x14ac:dyDescent="0.2">
      <c r="A1" s="4" t="s">
        <v>0</v>
      </c>
      <c r="B1" s="7" t="s">
        <v>3</v>
      </c>
      <c r="C1" s="7" t="s">
        <v>1</v>
      </c>
      <c r="D1" s="7" t="s">
        <v>2</v>
      </c>
      <c r="E1" s="7" t="s">
        <v>4</v>
      </c>
      <c r="F1" s="7" t="s">
        <v>5</v>
      </c>
      <c r="G1" s="7" t="s">
        <v>7</v>
      </c>
      <c r="H1" s="7" t="s">
        <v>8</v>
      </c>
      <c r="I1" s="7" t="s">
        <v>9</v>
      </c>
      <c r="J1" s="7" t="s">
        <v>6</v>
      </c>
    </row>
    <row r="2" spans="1:12" ht="15.75" customHeight="1" x14ac:dyDescent="0.2">
      <c r="A2" s="4">
        <v>1005</v>
      </c>
      <c r="B2" s="16">
        <v>40564</v>
      </c>
      <c r="C2" s="17">
        <v>1.3963039014373717</v>
      </c>
      <c r="D2" s="4">
        <f ca="1">SUM(IF(FREQUENCY(MATCH(INDIRECT(CONCATENATE("Sales!","B",MATCH('Summary Data'!$A2,Author,0)+1,":","B",MATCH('Summary Data'!$A2,Author,1)+1,)),Title,0),MATCH(Title,Title,0))&gt;0,1))</f>
        <v>25</v>
      </c>
      <c r="E2" s="13">
        <f>SUMIF(Author,'Summary Data'!$A2,Total_Units_to_Date)</f>
        <v>176533</v>
      </c>
      <c r="F2" s="14">
        <f>SUMIF(Author,'Summary Data'!$A2,Total_Earnings_to_Date)</f>
        <v>1698867.1700000004</v>
      </c>
      <c r="G2" s="4" t="str">
        <f t="shared" ref="G2:G30" ca="1" si="0">IF(AND(Years_Under_Contract&lt;2,Number_of_Books_in_Print&gt;4)=TRUE,"Yes","No")</f>
        <v>Yes</v>
      </c>
      <c r="H2" s="4" t="str">
        <f t="shared" ref="H2:H30" ca="1" si="1">IF(OR(Years_Under_Contract&gt;5,Number_of_Books_in_Print&gt;=10)=TRUE,"Yes","No")</f>
        <v>Yes</v>
      </c>
      <c r="I2" s="4" t="str">
        <f t="shared" ref="I2:I30" ca="1" si="2">IF(AND(Years_Under_Contract&gt;5,OR(Number_of_Books_in_Print&gt;350000,Income_Earned&gt;=1000000))=TRUE,"Yes","No")</f>
        <v>No</v>
      </c>
      <c r="J2" s="15">
        <f t="shared" ref="J2:J30" ca="1" si="3">IF(AND(Years_Under_Contract&gt;5,OR(Number_of_Books_in_Print&gt;10,Income_Earned&gt;1000000)),0.2,IF(Number_of_Books_in_Print&gt;10,0.15,0.09))</f>
        <v>0.15</v>
      </c>
    </row>
    <row r="3" spans="1:12" ht="15" customHeight="1" x14ac:dyDescent="0.2">
      <c r="A3" s="4">
        <v>1006</v>
      </c>
      <c r="B3" s="16">
        <v>36814</v>
      </c>
      <c r="C3" s="17">
        <v>11.663244353182751</v>
      </c>
      <c r="D3" s="4">
        <f ca="1">SUM(IF(FREQUENCY(MATCH(INDIRECT(CONCATENATE("Sales!","B",MATCH('Summary Data'!$A3,Author,0)+1,":","B",MATCH('Summary Data'!$A3,Author,1)+1,)),Title,0),MATCH(Title,Title,0))&gt;0,1))</f>
        <v>3</v>
      </c>
      <c r="E3" s="13">
        <f>SUMIF(Author,'Summary Data'!$A3,Total_Units_to_Date)</f>
        <v>214443</v>
      </c>
      <c r="F3" s="14">
        <f>SUMIF(Author,'Summary Data'!$A3,Total_Earnings_to_Date)</f>
        <v>2228010.5700000003</v>
      </c>
      <c r="G3" s="4" t="str">
        <f t="shared" ca="1" si="0"/>
        <v>No</v>
      </c>
      <c r="H3" s="4" t="str">
        <f t="shared" ca="1" si="1"/>
        <v>Yes</v>
      </c>
      <c r="I3" s="4" t="str">
        <f t="shared" ca="1" si="2"/>
        <v>Yes</v>
      </c>
      <c r="J3" s="15">
        <f t="shared" ca="1" si="3"/>
        <v>0.2</v>
      </c>
    </row>
    <row r="4" spans="1:12" ht="15" customHeight="1" x14ac:dyDescent="0.2">
      <c r="A4" s="4">
        <v>1008</v>
      </c>
      <c r="B4" s="16">
        <v>40280</v>
      </c>
      <c r="C4" s="17">
        <v>2.1738535249828885</v>
      </c>
      <c r="D4" s="4">
        <f ca="1">SUM(IF(FREQUENCY(MATCH(INDIRECT(CONCATENATE("Sales!","B",MATCH('Summary Data'!$A4,Author,0)+1,":","B",MATCH('Summary Data'!$A4,Author,1)+1,)),Title,0),MATCH(Title,Title,0))&gt;0,1))</f>
        <v>10</v>
      </c>
      <c r="E4" s="13">
        <f>SUMIF(Author,'Summary Data'!$A4,Total_Units_to_Date)</f>
        <v>2912651</v>
      </c>
      <c r="F4" s="14">
        <f>SUMIF(Author,'Summary Data'!$A4,Total_Earnings_to_Date)</f>
        <v>10652930.490000002</v>
      </c>
      <c r="G4" s="4" t="str">
        <f t="shared" ca="1" si="0"/>
        <v>No</v>
      </c>
      <c r="H4" s="4" t="str">
        <f t="shared" ca="1" si="1"/>
        <v>Yes</v>
      </c>
      <c r="I4" s="4" t="str">
        <f t="shared" ca="1" si="2"/>
        <v>No</v>
      </c>
      <c r="J4" s="15">
        <f t="shared" ca="1" si="3"/>
        <v>0.09</v>
      </c>
    </row>
    <row r="5" spans="1:12" ht="15" customHeight="1" x14ac:dyDescent="0.2">
      <c r="A5" s="4">
        <v>1011</v>
      </c>
      <c r="B5" s="16">
        <v>37158</v>
      </c>
      <c r="C5" s="17">
        <v>10.721423682409309</v>
      </c>
      <c r="D5" s="4">
        <f ca="1">SUM(IF(FREQUENCY(MATCH(INDIRECT(CONCATENATE("Sales!","B",MATCH('Summary Data'!$A5,Author,0)+1,":","B",MATCH('Summary Data'!$A5,Author,1)+1,)),Title,0),MATCH(Title,Title,0))&gt;0,1))</f>
        <v>10</v>
      </c>
      <c r="E5" s="13">
        <f>SUMIF(Author,'Summary Data'!$A5,Total_Units_to_Date)</f>
        <v>179176</v>
      </c>
      <c r="F5" s="14">
        <f>SUMIF(Author,'Summary Data'!$A5,Total_Earnings_to_Date)</f>
        <v>1434234.24</v>
      </c>
      <c r="G5" s="4" t="str">
        <f t="shared" ca="1" si="0"/>
        <v>No</v>
      </c>
      <c r="H5" s="4" t="str">
        <f t="shared" ca="1" si="1"/>
        <v>Yes</v>
      </c>
      <c r="I5" s="4" t="str">
        <f t="shared" ca="1" si="2"/>
        <v>Yes</v>
      </c>
      <c r="J5" s="15">
        <f t="shared" ca="1" si="3"/>
        <v>0.2</v>
      </c>
    </row>
    <row r="6" spans="1:12" ht="15" customHeight="1" x14ac:dyDescent="0.2">
      <c r="A6" s="4">
        <v>1012</v>
      </c>
      <c r="B6" s="16">
        <v>39950</v>
      </c>
      <c r="C6" s="17">
        <v>3.077344284736482</v>
      </c>
      <c r="D6" s="4">
        <f ca="1">SUM(IF(FREQUENCY(MATCH(INDIRECT(CONCATENATE("Sales!","B",MATCH('Summary Data'!$A6,Author,0)+1,":","B",MATCH('Summary Data'!$A6,Author,1)+1,)),Title,0),MATCH(Title,Title,0))&gt;0,1))</f>
        <v>8</v>
      </c>
      <c r="E6" s="13">
        <f>SUMIF(Author,'Summary Data'!$A6,Total_Units_to_Date)</f>
        <v>15677527</v>
      </c>
      <c r="F6" s="14">
        <f>SUMIF(Author,'Summary Data'!$A6,Total_Earnings_to_Date)</f>
        <v>110232293.73</v>
      </c>
      <c r="G6" s="4" t="str">
        <f t="shared" ca="1" si="0"/>
        <v>No</v>
      </c>
      <c r="H6" s="4" t="str">
        <f t="shared" ca="1" si="1"/>
        <v>No</v>
      </c>
      <c r="I6" s="4" t="str">
        <f t="shared" ca="1" si="2"/>
        <v>No</v>
      </c>
      <c r="J6" s="15">
        <f t="shared" ca="1" si="3"/>
        <v>0.09</v>
      </c>
    </row>
    <row r="7" spans="1:12" ht="15" customHeight="1" x14ac:dyDescent="0.2">
      <c r="A7" s="4">
        <v>1013</v>
      </c>
      <c r="B7" s="16">
        <v>37824</v>
      </c>
      <c r="C7" s="17">
        <v>8.8980150581793289</v>
      </c>
      <c r="D7" s="4">
        <f ca="1">SUM(IF(FREQUENCY(MATCH(INDIRECT(CONCATENATE("Sales!","B",MATCH('Summary Data'!$A7,Author,0)+1,":","B",MATCH('Summary Data'!$A7,Author,1)+1,)),Title,0),MATCH(Title,Title,0))&gt;0,1))</f>
        <v>19</v>
      </c>
      <c r="E7" s="13">
        <f>SUMIF(Author,'Summary Data'!$A7,Total_Units_to_Date)</f>
        <v>2130380</v>
      </c>
      <c r="F7" s="14">
        <f>SUMIF(Author,'Summary Data'!$A7,Total_Earnings_to_Date)</f>
        <v>12304187.200000001</v>
      </c>
      <c r="G7" s="4" t="str">
        <f t="shared" ca="1" si="0"/>
        <v>No</v>
      </c>
      <c r="H7" s="4" t="str">
        <f t="shared" ca="1" si="1"/>
        <v>Yes</v>
      </c>
      <c r="I7" s="4" t="str">
        <f t="shared" ca="1" si="2"/>
        <v>Yes</v>
      </c>
      <c r="J7" s="15">
        <f t="shared" ca="1" si="3"/>
        <v>0.2</v>
      </c>
    </row>
    <row r="8" spans="1:12" ht="15" customHeight="1" x14ac:dyDescent="0.2">
      <c r="A8" s="4">
        <v>1014</v>
      </c>
      <c r="B8" s="16">
        <v>38783</v>
      </c>
      <c r="C8" s="17">
        <v>6.2724161533196439</v>
      </c>
      <c r="D8" s="4">
        <f ca="1">SUM(IF(FREQUENCY(MATCH(INDIRECT(CONCATENATE("Sales!","B",MATCH('Summary Data'!$A8,Author,0)+1,":","B",MATCH('Summary Data'!$A8,Author,1)+1,)),Title,0),MATCH(Title,Title,0))&gt;0,1))</f>
        <v>3</v>
      </c>
      <c r="E8" s="13">
        <f>SUMIF(Author,'Summary Data'!$A8,Total_Units_to_Date)</f>
        <v>9433584</v>
      </c>
      <c r="F8" s="14">
        <f>SUMIF(Author,'Summary Data'!$A8,Total_Earnings_to_Date)</f>
        <v>51875269.159999996</v>
      </c>
      <c r="G8" s="4" t="str">
        <f t="shared" ca="1" si="0"/>
        <v>No</v>
      </c>
      <c r="H8" s="4" t="str">
        <f t="shared" ca="1" si="1"/>
        <v>Yes</v>
      </c>
      <c r="I8" s="4" t="str">
        <f t="shared" ca="1" si="2"/>
        <v>Yes</v>
      </c>
      <c r="J8" s="15">
        <f t="shared" ca="1" si="3"/>
        <v>0.2</v>
      </c>
    </row>
    <row r="9" spans="1:12" ht="15" customHeight="1" x14ac:dyDescent="0.2">
      <c r="A9" s="4">
        <v>1015</v>
      </c>
      <c r="B9" s="16">
        <v>39936</v>
      </c>
      <c r="C9" s="17">
        <v>3.1156741957563314</v>
      </c>
      <c r="D9" s="4">
        <f ca="1">SUM(IF(FREQUENCY(MATCH(INDIRECT(CONCATENATE("Sales!","B",MATCH('Summary Data'!$A9,Author,0)+1,":","B",MATCH('Summary Data'!$A9,Author,1)+1,)),Title,0),MATCH(Title,Title,0))&gt;0,1))</f>
        <v>9</v>
      </c>
      <c r="E9" s="13">
        <f>SUMIF(Author,'Summary Data'!$A9,Total_Units_to_Date)</f>
        <v>2511717</v>
      </c>
      <c r="F9" s="14">
        <f>SUMIF(Author,'Summary Data'!$A9,Total_Earnings_to_Date)</f>
        <v>12180404.329999998</v>
      </c>
      <c r="G9" s="4" t="str">
        <f t="shared" ca="1" si="0"/>
        <v>No</v>
      </c>
      <c r="H9" s="4" t="str">
        <f t="shared" ca="1" si="1"/>
        <v>No</v>
      </c>
      <c r="I9" s="4" t="str">
        <f t="shared" ca="1" si="2"/>
        <v>No</v>
      </c>
      <c r="J9" s="15">
        <f t="shared" ca="1" si="3"/>
        <v>0.09</v>
      </c>
    </row>
    <row r="10" spans="1:12" ht="15" customHeight="1" x14ac:dyDescent="0.2">
      <c r="A10" s="4">
        <v>1016</v>
      </c>
      <c r="B10" s="16">
        <v>36618</v>
      </c>
      <c r="C10" s="17">
        <v>12.199863107460644</v>
      </c>
      <c r="D10" s="4">
        <f ca="1">SUM(IF(FREQUENCY(MATCH(INDIRECT(CONCATENATE("Sales!","B",MATCH('Summary Data'!$A10,Author,0)+1,":","B",MATCH('Summary Data'!$A10,Author,1)+1,)),Title,0),MATCH(Title,Title,0))&gt;0,1))</f>
        <v>16</v>
      </c>
      <c r="E10" s="13">
        <f>SUMIF(Author,'Summary Data'!$A10,Total_Units_to_Date)</f>
        <v>12279858</v>
      </c>
      <c r="F10" s="14">
        <f>SUMIF(Author,'Summary Data'!$A10,Total_Earnings_to_Date)</f>
        <v>64236331.420000009</v>
      </c>
      <c r="G10" s="4" t="str">
        <f t="shared" ca="1" si="0"/>
        <v>No</v>
      </c>
      <c r="H10" s="4" t="str">
        <f t="shared" ca="1" si="1"/>
        <v>Yes</v>
      </c>
      <c r="I10" s="4" t="str">
        <f t="shared" ca="1" si="2"/>
        <v>Yes</v>
      </c>
      <c r="J10" s="15">
        <f t="shared" ca="1" si="3"/>
        <v>0.2</v>
      </c>
    </row>
    <row r="11" spans="1:12" ht="15" customHeight="1" x14ac:dyDescent="0.2">
      <c r="A11" s="4">
        <v>1017</v>
      </c>
      <c r="B11" s="16">
        <v>40624</v>
      </c>
      <c r="C11" s="17">
        <v>1.2320328542094456</v>
      </c>
      <c r="D11" s="4">
        <f ca="1">SUM(IF(FREQUENCY(MATCH(INDIRECT(CONCATENATE("Sales!","B",MATCH('Summary Data'!$A11,Author,0)+1,":","B",MATCH('Summary Data'!$A11,Author,1)+1,)),Title,0),MATCH(Title,Title,0))&gt;0,1))</f>
        <v>6</v>
      </c>
      <c r="E11" s="13">
        <f>SUMIF(Author,'Summary Data'!$A11,Total_Units_to_Date)</f>
        <v>970218</v>
      </c>
      <c r="F11" s="14">
        <f>SUMIF(Author,'Summary Data'!$A11,Total_Earnings_to_Date)</f>
        <v>4758853.32</v>
      </c>
      <c r="G11" s="4" t="str">
        <f t="shared" ca="1" si="0"/>
        <v>Yes</v>
      </c>
      <c r="H11" s="4" t="str">
        <f t="shared" ca="1" si="1"/>
        <v>No</v>
      </c>
      <c r="I11" s="4" t="str">
        <f t="shared" ca="1" si="2"/>
        <v>No</v>
      </c>
      <c r="J11" s="15">
        <f t="shared" ca="1" si="3"/>
        <v>0.09</v>
      </c>
    </row>
    <row r="12" spans="1:12" ht="15" customHeight="1" x14ac:dyDescent="0.2">
      <c r="A12" s="4">
        <v>1029</v>
      </c>
      <c r="B12" s="16">
        <v>37615</v>
      </c>
      <c r="C12" s="17">
        <v>9.4702258726899391</v>
      </c>
      <c r="D12" s="4">
        <f ca="1">SUM(IF(FREQUENCY(MATCH(INDIRECT(CONCATENATE("Sales!","B",MATCH('Summary Data'!$A12,Author,0)+1,":","B",MATCH('Summary Data'!$A12,Author,1)+1,)),Title,0),MATCH(Title,Title,0))&gt;0,1))</f>
        <v>8</v>
      </c>
      <c r="E12" s="13">
        <f>SUMIF(Author,'Summary Data'!$A12,Total_Units_to_Date)</f>
        <v>3967350</v>
      </c>
      <c r="F12" s="14">
        <f>SUMIF(Author,'Summary Data'!$A12,Total_Earnings_to_Date)</f>
        <v>28238155.5</v>
      </c>
      <c r="G12" s="4" t="str">
        <f t="shared" ca="1" si="0"/>
        <v>No</v>
      </c>
      <c r="H12" s="4" t="str">
        <f t="shared" ca="1" si="1"/>
        <v>Yes</v>
      </c>
      <c r="I12" s="4" t="str">
        <f t="shared" ca="1" si="2"/>
        <v>Yes</v>
      </c>
      <c r="J12" s="15">
        <f t="shared" ca="1" si="3"/>
        <v>0.2</v>
      </c>
    </row>
    <row r="13" spans="1:12" ht="15" customHeight="1" x14ac:dyDescent="0.2">
      <c r="A13" s="4">
        <v>1032</v>
      </c>
      <c r="B13" s="16">
        <v>38723</v>
      </c>
      <c r="C13" s="17">
        <v>6.4366872005475706</v>
      </c>
      <c r="D13" s="4">
        <f ca="1">SUM(IF(FREQUENCY(MATCH(INDIRECT(CONCATENATE("Sales!","B",MATCH('Summary Data'!$A13,Author,0)+1,":","B",MATCH('Summary Data'!$A13,Author,1)+1,)),Title,0),MATCH(Title,Title,0))&gt;0,1))</f>
        <v>8</v>
      </c>
      <c r="E13" s="13">
        <f>SUMIF(Author,'Summary Data'!$A13,Total_Units_to_Date)</f>
        <v>2930812</v>
      </c>
      <c r="F13" s="14">
        <f>SUMIF(Author,'Summary Data'!$A13,Total_Earnings_to_Date)</f>
        <v>11452595.879999999</v>
      </c>
      <c r="G13" s="4" t="str">
        <f t="shared" ca="1" si="0"/>
        <v>No</v>
      </c>
      <c r="H13" s="4" t="str">
        <f t="shared" ca="1" si="1"/>
        <v>Yes</v>
      </c>
      <c r="I13" s="4" t="str">
        <f t="shared" ca="1" si="2"/>
        <v>Yes</v>
      </c>
      <c r="J13" s="15">
        <f t="shared" ca="1" si="3"/>
        <v>0.2</v>
      </c>
      <c r="L13">
        <f>RANK(VLOOKUP(A2,tblAuthorData[],5),Number_of_Books_Sold)</f>
        <v>29</v>
      </c>
    </row>
    <row r="14" spans="1:12" ht="15" customHeight="1" x14ac:dyDescent="0.2">
      <c r="A14" s="4">
        <v>1033</v>
      </c>
      <c r="B14" s="16">
        <v>36859</v>
      </c>
      <c r="C14" s="17">
        <v>11.540041067761807</v>
      </c>
      <c r="D14" s="4">
        <f ca="1">SUM(IF(FREQUENCY(MATCH(INDIRECT(CONCATENATE("Sales!","B",MATCH('Summary Data'!$A14,Author,0)+1,":","B",MATCH('Summary Data'!$A14,Author,1)+1,)),Title,0),MATCH(Title,Title,0))&gt;0,1))</f>
        <v>23</v>
      </c>
      <c r="E14" s="13">
        <f>SUMIF(Author,'Summary Data'!$A14,Total_Units_to_Date)</f>
        <v>5705880</v>
      </c>
      <c r="F14" s="14">
        <f>SUMIF(Author,'Summary Data'!$A14,Total_Earnings_to_Date)</f>
        <v>34453579.699999996</v>
      </c>
      <c r="G14" s="4" t="str">
        <f t="shared" ca="1" si="0"/>
        <v>No</v>
      </c>
      <c r="H14" s="4" t="str">
        <f t="shared" ca="1" si="1"/>
        <v>Yes</v>
      </c>
      <c r="I14" s="4" t="str">
        <f t="shared" ca="1" si="2"/>
        <v>Yes</v>
      </c>
      <c r="J14" s="15">
        <f t="shared" ca="1" si="3"/>
        <v>0.2</v>
      </c>
      <c r="L14">
        <f>RANK(VLOOKUP(A3,tblAuthorData[],5),Number_of_Books_Sold)</f>
        <v>27</v>
      </c>
    </row>
    <row r="15" spans="1:12" ht="15" customHeight="1" x14ac:dyDescent="0.2">
      <c r="A15" s="4">
        <v>1034</v>
      </c>
      <c r="B15" s="16">
        <v>37273</v>
      </c>
      <c r="C15" s="17">
        <v>10.406570841889117</v>
      </c>
      <c r="D15" s="4">
        <f ca="1">SUM(IF(FREQUENCY(MATCH(INDIRECT(CONCATENATE("Sales!","B",MATCH('Summary Data'!$A15,Author,0)+1,":","B",MATCH('Summary Data'!$A15,Author,1)+1,)),Title,0),MATCH(Title,Title,0))&gt;0,1))</f>
        <v>10</v>
      </c>
      <c r="E15" s="13">
        <f>SUMIF(Author,'Summary Data'!$A15,Total_Units_to_Date)</f>
        <v>17850256</v>
      </c>
      <c r="F15" s="14">
        <f>SUMIF(Author,'Summary Data'!$A15,Total_Earnings_to_Date)</f>
        <v>249106394.93999997</v>
      </c>
      <c r="G15" s="4" t="str">
        <f t="shared" ca="1" si="0"/>
        <v>No</v>
      </c>
      <c r="H15" s="4" t="str">
        <f t="shared" ca="1" si="1"/>
        <v>Yes</v>
      </c>
      <c r="I15" s="4" t="str">
        <f t="shared" ca="1" si="2"/>
        <v>Yes</v>
      </c>
      <c r="J15" s="15">
        <f t="shared" ca="1" si="3"/>
        <v>0.2</v>
      </c>
      <c r="L15">
        <f>RANK(VLOOKUP(A4,tblAuthorData[],5),Number_of_Books_Sold)</f>
        <v>18</v>
      </c>
    </row>
    <row r="16" spans="1:12" ht="15" customHeight="1" x14ac:dyDescent="0.2">
      <c r="A16" s="4">
        <v>1037</v>
      </c>
      <c r="B16" s="16">
        <v>36708</v>
      </c>
      <c r="C16" s="17">
        <v>11.953456536618754</v>
      </c>
      <c r="D16" s="4">
        <f ca="1">SUM(IF(FREQUENCY(MATCH(INDIRECT(CONCATENATE("Sales!","B",MATCH('Summary Data'!$A16,Author,0)+1,":","B",MATCH('Summary Data'!$A16,Author,1)+1,)),Title,0),MATCH(Title,Title,0))&gt;0,1))</f>
        <v>15</v>
      </c>
      <c r="E16" s="13">
        <f>SUMIF(Author,'Summary Data'!$A16,Total_Units_to_Date)</f>
        <v>10649028</v>
      </c>
      <c r="F16" s="14">
        <f>SUMIF(Author,'Summary Data'!$A16,Total_Earnings_to_Date)</f>
        <v>66846607.719999999</v>
      </c>
      <c r="G16" s="4" t="str">
        <f t="shared" ca="1" si="0"/>
        <v>No</v>
      </c>
      <c r="H16" s="4" t="str">
        <f t="shared" ca="1" si="1"/>
        <v>Yes</v>
      </c>
      <c r="I16" s="4" t="str">
        <f t="shared" ca="1" si="2"/>
        <v>Yes</v>
      </c>
      <c r="J16" s="15">
        <f t="shared" ca="1" si="3"/>
        <v>0.2</v>
      </c>
      <c r="L16">
        <f>RANK(VLOOKUP(A5,tblAuthorData[],5),Number_of_Books_Sold)</f>
        <v>28</v>
      </c>
    </row>
    <row r="17" spans="1:12" ht="15" customHeight="1" x14ac:dyDescent="0.2">
      <c r="A17" s="4">
        <v>1038</v>
      </c>
      <c r="B17" s="16">
        <v>37324</v>
      </c>
      <c r="C17" s="17">
        <v>10.266940451745381</v>
      </c>
      <c r="D17" s="4">
        <f ca="1">SUM(IF(FREQUENCY(MATCH(INDIRECT(CONCATENATE("Sales!","B",MATCH('Summary Data'!$A17,Author,0)+1,":","B",MATCH('Summary Data'!$A17,Author,1)+1,)),Title,0),MATCH(Title,Title,0))&gt;0,1))</f>
        <v>24</v>
      </c>
      <c r="E17" s="13">
        <f>SUMIF(Author,'Summary Data'!$A17,Total_Units_to_Date)</f>
        <v>92359768</v>
      </c>
      <c r="F17" s="14">
        <f>SUMIF(Author,'Summary Data'!$A17,Total_Earnings_to_Date)</f>
        <v>611137335.82000017</v>
      </c>
      <c r="G17" s="4" t="str">
        <f t="shared" ca="1" si="0"/>
        <v>No</v>
      </c>
      <c r="H17" s="4" t="str">
        <f t="shared" ca="1" si="1"/>
        <v>Yes</v>
      </c>
      <c r="I17" s="4" t="str">
        <f t="shared" ca="1" si="2"/>
        <v>Yes</v>
      </c>
      <c r="J17" s="15">
        <f t="shared" ca="1" si="3"/>
        <v>0.2</v>
      </c>
      <c r="L17">
        <f>RANK(VLOOKUP(A6,tblAuthorData[],5),Number_of_Books_Sold)</f>
        <v>6</v>
      </c>
    </row>
    <row r="18" spans="1:12" ht="15" customHeight="1" x14ac:dyDescent="0.2">
      <c r="A18" s="4">
        <v>1039</v>
      </c>
      <c r="B18" s="16">
        <v>38462</v>
      </c>
      <c r="C18" s="17">
        <v>7.1512662559890483</v>
      </c>
      <c r="D18" s="4">
        <f ca="1">SUM(IF(FREQUENCY(MATCH(INDIRECT(CONCATENATE("Sales!","B",MATCH('Summary Data'!$A18,Author,0)+1,":","B",MATCH('Summary Data'!$A18,Author,1)+1,)),Title,0),MATCH(Title,Title,0))&gt;0,1))</f>
        <v>4</v>
      </c>
      <c r="E18" s="13">
        <f>SUMIF(Author,'Summary Data'!$A18,Total_Units_to_Date)</f>
        <v>22116025</v>
      </c>
      <c r="F18" s="14">
        <f>SUMIF(Author,'Summary Data'!$A18,Total_Earnings_to_Date)</f>
        <v>145479983.25000003</v>
      </c>
      <c r="G18" s="4" t="str">
        <f t="shared" ca="1" si="0"/>
        <v>No</v>
      </c>
      <c r="H18" s="4" t="str">
        <f t="shared" ca="1" si="1"/>
        <v>Yes</v>
      </c>
      <c r="I18" s="4" t="str">
        <f t="shared" ca="1" si="2"/>
        <v>Yes</v>
      </c>
      <c r="J18" s="15">
        <f t="shared" ca="1" si="3"/>
        <v>0.2</v>
      </c>
      <c r="L18">
        <f>RANK(VLOOKUP(A7,tblAuthorData[],5),Number_of_Books_Sold)</f>
        <v>23</v>
      </c>
    </row>
    <row r="19" spans="1:12" ht="15" customHeight="1" x14ac:dyDescent="0.2">
      <c r="A19" s="4">
        <v>1040</v>
      </c>
      <c r="B19" s="16">
        <v>38531</v>
      </c>
      <c r="C19" s="17">
        <v>6.9623545516769338</v>
      </c>
      <c r="D19" s="4">
        <f ca="1">SUM(IF(FREQUENCY(MATCH(INDIRECT(CONCATENATE("Sales!","B",MATCH('Summary Data'!$A19,Author,0)+1,":","B",MATCH('Summary Data'!$A19,Author,1)+1,)),Title,0),MATCH(Title,Title,0))&gt;0,1))</f>
        <v>3</v>
      </c>
      <c r="E19" s="13">
        <f>SUMIF(Author,'Summary Data'!$A19,Total_Units_to_Date)</f>
        <v>2681187</v>
      </c>
      <c r="F19" s="14">
        <f>SUMIF(Author,'Summary Data'!$A19,Total_Earnings_to_Date)</f>
        <v>27121004.129999999</v>
      </c>
      <c r="G19" s="4" t="str">
        <f t="shared" ca="1" si="0"/>
        <v>No</v>
      </c>
      <c r="H19" s="4" t="str">
        <f t="shared" ca="1" si="1"/>
        <v>Yes</v>
      </c>
      <c r="I19" s="4" t="str">
        <f t="shared" ca="1" si="2"/>
        <v>Yes</v>
      </c>
      <c r="J19" s="15">
        <f t="shared" ca="1" si="3"/>
        <v>0.2</v>
      </c>
      <c r="L19">
        <f>RANK(VLOOKUP(A8,tblAuthorData[],5),Number_of_Books_Sold)</f>
        <v>10</v>
      </c>
    </row>
    <row r="20" spans="1:12" ht="15" customHeight="1" x14ac:dyDescent="0.2">
      <c r="A20" s="4">
        <v>1042</v>
      </c>
      <c r="B20" s="16">
        <v>39161</v>
      </c>
      <c r="C20" s="17">
        <v>5.2375085557837098</v>
      </c>
      <c r="D20" s="4">
        <f ca="1">SUM(IF(FREQUENCY(MATCH(INDIRECT(CONCATENATE("Sales!","B",MATCH('Summary Data'!$A20,Author,0)+1,":","B",MATCH('Summary Data'!$A20,Author,1)+1,)),Title,0),MATCH(Title,Title,0))&gt;0,1))</f>
        <v>14</v>
      </c>
      <c r="E20" s="13">
        <f>SUMIF(Author,'Summary Data'!$A20,Total_Units_to_Date)</f>
        <v>517420</v>
      </c>
      <c r="F20" s="14">
        <f>SUMIF(Author,'Summary Data'!$A20,Total_Earnings_to_Date)</f>
        <v>2952950.8000000003</v>
      </c>
      <c r="G20" s="4" t="str">
        <f t="shared" ca="1" si="0"/>
        <v>No</v>
      </c>
      <c r="H20" s="4" t="str">
        <f t="shared" ca="1" si="1"/>
        <v>Yes</v>
      </c>
      <c r="I20" s="4" t="str">
        <f t="shared" ca="1" si="2"/>
        <v>Yes</v>
      </c>
      <c r="J20" s="15">
        <f t="shared" ca="1" si="3"/>
        <v>0.2</v>
      </c>
      <c r="L20">
        <f>RANK(VLOOKUP(A9,tblAuthorData[],5),Number_of_Books_Sold)</f>
        <v>20</v>
      </c>
    </row>
    <row r="21" spans="1:12" ht="15" customHeight="1" x14ac:dyDescent="0.2">
      <c r="A21" s="4">
        <v>1048</v>
      </c>
      <c r="B21" s="16">
        <v>37238</v>
      </c>
      <c r="C21" s="17">
        <v>10.50239561943874</v>
      </c>
      <c r="D21" s="4">
        <f ca="1">SUM(IF(FREQUENCY(MATCH(INDIRECT(CONCATENATE("Sales!","B",MATCH('Summary Data'!$A21,Author,0)+1,":","B",MATCH('Summary Data'!$A21,Author,1)+1,)),Title,0),MATCH(Title,Title,0))&gt;0,1))</f>
        <v>11</v>
      </c>
      <c r="E21" s="13">
        <f>SUMIF(Author,'Summary Data'!$A21,Total_Units_to_Date)</f>
        <v>8610569</v>
      </c>
      <c r="F21" s="14">
        <f>SUMIF(Author,'Summary Data'!$A21,Total_Earnings_to_Date)</f>
        <v>72879842.810000002</v>
      </c>
      <c r="G21" s="4" t="str">
        <f t="shared" ca="1" si="0"/>
        <v>No</v>
      </c>
      <c r="H21" s="4" t="str">
        <f t="shared" ca="1" si="1"/>
        <v>Yes</v>
      </c>
      <c r="I21" s="4" t="str">
        <f t="shared" ca="1" si="2"/>
        <v>Yes</v>
      </c>
      <c r="J21" s="15">
        <f t="shared" ca="1" si="3"/>
        <v>0.2</v>
      </c>
      <c r="L21">
        <f>RANK(VLOOKUP(A10,tblAuthorData[],5),Number_of_Books_Sold)</f>
        <v>7</v>
      </c>
    </row>
    <row r="22" spans="1:12" ht="15" customHeight="1" x14ac:dyDescent="0.2">
      <c r="A22" s="4">
        <v>1049</v>
      </c>
      <c r="B22" s="16">
        <v>37350</v>
      </c>
      <c r="C22" s="17">
        <v>10.195756331279945</v>
      </c>
      <c r="D22" s="4">
        <f ca="1">SUM(IF(FREQUENCY(MATCH(INDIRECT(CONCATENATE("Sales!","B",MATCH('Summary Data'!$A22,Author,0)+1,":","B",MATCH('Summary Data'!$A22,Author,1)+1,)),Title,0),MATCH(Title,Title,0))&gt;0,1))</f>
        <v>7</v>
      </c>
      <c r="E22" s="13">
        <f>SUMIF(Author,'Summary Data'!$A22,Total_Units_to_Date)</f>
        <v>19070978</v>
      </c>
      <c r="F22" s="14">
        <f>SUMIF(Author,'Summary Data'!$A22,Total_Earnings_to_Date)</f>
        <v>122499469.72</v>
      </c>
      <c r="G22" s="4" t="str">
        <f t="shared" ca="1" si="0"/>
        <v>No</v>
      </c>
      <c r="H22" s="4" t="str">
        <f t="shared" ca="1" si="1"/>
        <v>Yes</v>
      </c>
      <c r="I22" s="4" t="str">
        <f t="shared" ca="1" si="2"/>
        <v>Yes</v>
      </c>
      <c r="J22" s="15">
        <f t="shared" ca="1" si="3"/>
        <v>0.2</v>
      </c>
      <c r="L22">
        <f>RANK(VLOOKUP(A11,tblAuthorData[],5),Number_of_Books_Sold)</f>
        <v>25</v>
      </c>
    </row>
    <row r="23" spans="1:12" ht="15" customHeight="1" x14ac:dyDescent="0.2">
      <c r="A23" s="4">
        <v>1055</v>
      </c>
      <c r="B23" s="16">
        <v>39204</v>
      </c>
      <c r="C23" s="17">
        <v>5.1197809719370291</v>
      </c>
      <c r="D23" s="4">
        <f ca="1">SUM(IF(FREQUENCY(MATCH(INDIRECT(CONCATENATE("Sales!","B",MATCH('Summary Data'!$A23,Author,0)+1,":","B",MATCH('Summary Data'!$A23,Author,1)+1,)),Title,0),MATCH(Title,Title,0))&gt;0,1))</f>
        <v>3</v>
      </c>
      <c r="E23" s="13">
        <f>SUMIF(Author,'Summary Data'!$A23,Total_Units_to_Date)</f>
        <v>2269033</v>
      </c>
      <c r="F23" s="14">
        <f>SUMIF(Author,'Summary Data'!$A23,Total_Earnings_to_Date)</f>
        <v>19902197.670000002</v>
      </c>
      <c r="G23" s="4" t="str">
        <f t="shared" ca="1" si="0"/>
        <v>No</v>
      </c>
      <c r="H23" s="4" t="str">
        <f t="shared" ca="1" si="1"/>
        <v>Yes</v>
      </c>
      <c r="I23" s="4" t="str">
        <f t="shared" ca="1" si="2"/>
        <v>Yes</v>
      </c>
      <c r="J23" s="15">
        <f t="shared" ca="1" si="3"/>
        <v>0.2</v>
      </c>
      <c r="L23">
        <f>RANK(VLOOKUP(A12,tblAuthorData[],5),Number_of_Books_Sold)</f>
        <v>15</v>
      </c>
    </row>
    <row r="24" spans="1:12" ht="15" customHeight="1" x14ac:dyDescent="0.2">
      <c r="A24" s="4">
        <v>1056</v>
      </c>
      <c r="B24" s="16">
        <v>40318</v>
      </c>
      <c r="C24" s="17">
        <v>2.0698151950718686</v>
      </c>
      <c r="D24" s="4">
        <f ca="1">SUM(IF(FREQUENCY(MATCH(INDIRECT(CONCATENATE("Sales!","B",MATCH('Summary Data'!$A24,Author,0)+1,":","B",MATCH('Summary Data'!$A24,Author,1)+1,)),Title,0),MATCH(Title,Title,0))&gt;0,1))</f>
        <v>16</v>
      </c>
      <c r="E24" s="13">
        <f>SUMIF(Author,'Summary Data'!$A24,Total_Units_to_Date)</f>
        <v>2483513</v>
      </c>
      <c r="F24" s="14">
        <f>SUMIF(Author,'Summary Data'!$A24,Total_Earnings_to_Date)</f>
        <v>16922549.370000001</v>
      </c>
      <c r="G24" s="4" t="str">
        <f t="shared" ca="1" si="0"/>
        <v>No</v>
      </c>
      <c r="H24" s="4" t="str">
        <f t="shared" ca="1" si="1"/>
        <v>Yes</v>
      </c>
      <c r="I24" s="4" t="str">
        <f t="shared" ca="1" si="2"/>
        <v>No</v>
      </c>
      <c r="J24" s="15">
        <f t="shared" ca="1" si="3"/>
        <v>0.15</v>
      </c>
    </row>
    <row r="25" spans="1:12" ht="15" customHeight="1" x14ac:dyDescent="0.2">
      <c r="A25" s="4">
        <v>1057</v>
      </c>
      <c r="B25" s="16">
        <v>36847</v>
      </c>
      <c r="C25" s="17">
        <v>11.572895277207392</v>
      </c>
      <c r="D25" s="4">
        <f ca="1">SUM(IF(FREQUENCY(MATCH(INDIRECT(CONCATENATE("Sales!","B",MATCH('Summary Data'!$A25,Author,0)+1,":","B",MATCH('Summary Data'!$A25,Author,1)+1,)),Title,0),MATCH(Title,Title,0))&gt;0,1))</f>
        <v>26</v>
      </c>
      <c r="E25" s="13">
        <f>SUMIF(Author,'Summary Data'!$A25,Total_Units_to_Date)</f>
        <v>11345043</v>
      </c>
      <c r="F25" s="14">
        <f>SUMIF(Author,'Summary Data'!$A25,Total_Earnings_to_Date)</f>
        <v>68628124.570000008</v>
      </c>
      <c r="G25" s="4" t="str">
        <f t="shared" ca="1" si="0"/>
        <v>No</v>
      </c>
      <c r="H25" s="4" t="str">
        <f t="shared" ca="1" si="1"/>
        <v>Yes</v>
      </c>
      <c r="I25" s="4" t="str">
        <f t="shared" ca="1" si="2"/>
        <v>Yes</v>
      </c>
      <c r="J25" s="15">
        <f t="shared" ca="1" si="3"/>
        <v>0.2</v>
      </c>
    </row>
    <row r="26" spans="1:12" ht="15" customHeight="1" x14ac:dyDescent="0.2">
      <c r="A26" s="4">
        <v>1062</v>
      </c>
      <c r="B26" s="16">
        <v>37999</v>
      </c>
      <c r="C26" s="17">
        <v>8.4188911704312108</v>
      </c>
      <c r="D26" s="4">
        <f ca="1">SUM(IF(FREQUENCY(MATCH(INDIRECT(CONCATENATE("Sales!","B",MATCH('Summary Data'!$A26,Author,0)+1,":","B",MATCH('Summary Data'!$A26,Author,1)+1,)),Title,0),MATCH(Title,Title,0))&gt;0,1))</f>
        <v>4</v>
      </c>
      <c r="E26" s="13">
        <f>SUMIF(Author,'Summary Data'!$A26,Total_Units_to_Date)</f>
        <v>1766294</v>
      </c>
      <c r="F26" s="14">
        <f>SUMIF(Author,'Summary Data'!$A26,Total_Earnings_to_Date)</f>
        <v>12278295.060000001</v>
      </c>
      <c r="G26" s="4" t="str">
        <f t="shared" ca="1" si="0"/>
        <v>No</v>
      </c>
      <c r="H26" s="4" t="str">
        <f t="shared" ca="1" si="1"/>
        <v>Yes</v>
      </c>
      <c r="I26" s="4" t="str">
        <f t="shared" ca="1" si="2"/>
        <v>Yes</v>
      </c>
      <c r="J26" s="15">
        <f t="shared" ca="1" si="3"/>
        <v>0.2</v>
      </c>
    </row>
    <row r="27" spans="1:12" ht="15" customHeight="1" x14ac:dyDescent="0.2">
      <c r="A27" s="4">
        <v>1063</v>
      </c>
      <c r="B27" s="16">
        <v>39524</v>
      </c>
      <c r="C27" s="17">
        <v>4.2436687200547567</v>
      </c>
      <c r="D27" s="4">
        <f ca="1">SUM(IF(FREQUENCY(MATCH(INDIRECT(CONCATENATE("Sales!","B",MATCH('Summary Data'!$A27,Author,0)+1,":","B",MATCH('Summary Data'!$A27,Author,1)+1,)),Title,0),MATCH(Title,Title,0))&gt;0,1))</f>
        <v>9</v>
      </c>
      <c r="E27" s="13">
        <f>SUMIF(Author,'Summary Data'!$A27,Total_Units_to_Date)</f>
        <v>2971365</v>
      </c>
      <c r="F27" s="14">
        <f>SUMIF(Author,'Summary Data'!$A27,Total_Earnings_to_Date)</f>
        <v>22962396.849999998</v>
      </c>
      <c r="G27" s="4" t="str">
        <f t="shared" ca="1" si="0"/>
        <v>No</v>
      </c>
      <c r="H27" s="4" t="str">
        <f t="shared" ca="1" si="1"/>
        <v>No</v>
      </c>
      <c r="I27" s="4" t="str">
        <f t="shared" ca="1" si="2"/>
        <v>No</v>
      </c>
      <c r="J27" s="15">
        <f t="shared" ca="1" si="3"/>
        <v>0.09</v>
      </c>
    </row>
    <row r="28" spans="1:12" ht="15" customHeight="1" x14ac:dyDescent="0.2">
      <c r="A28" s="4">
        <v>1065</v>
      </c>
      <c r="B28" s="16">
        <v>37152</v>
      </c>
      <c r="C28" s="17">
        <v>10.737850787132102</v>
      </c>
      <c r="D28" s="4">
        <f ca="1">SUM(IF(FREQUENCY(MATCH(INDIRECT(CONCATENATE("Sales!","B",MATCH('Summary Data'!$A28,Author,0)+1,":","B",MATCH('Summary Data'!$A28,Author,1)+1,)),Title,0),MATCH(Title,Title,0))&gt;0,1))</f>
        <v>22</v>
      </c>
      <c r="E28" s="13">
        <f>SUMIF(Author,'Summary Data'!$A28,Total_Units_to_Date)</f>
        <v>9245451</v>
      </c>
      <c r="F28" s="14">
        <f>SUMIF(Author,'Summary Data'!$A28,Total_Earnings_to_Date)</f>
        <v>76987947.489999995</v>
      </c>
      <c r="G28" s="4" t="str">
        <f t="shared" ca="1" si="0"/>
        <v>No</v>
      </c>
      <c r="H28" s="4" t="str">
        <f t="shared" ca="1" si="1"/>
        <v>Yes</v>
      </c>
      <c r="I28" s="4" t="str">
        <f t="shared" ca="1" si="2"/>
        <v>Yes</v>
      </c>
      <c r="J28" s="15">
        <f t="shared" ca="1" si="3"/>
        <v>0.2</v>
      </c>
    </row>
    <row r="29" spans="1:12" ht="15" customHeight="1" x14ac:dyDescent="0.2">
      <c r="A29" s="4">
        <v>1066</v>
      </c>
      <c r="B29" s="16">
        <v>37517</v>
      </c>
      <c r="C29" s="17">
        <v>9.7385352498288835</v>
      </c>
      <c r="D29" s="4">
        <f ca="1">SUM(IF(FREQUENCY(MATCH(INDIRECT(CONCATENATE("Sales!","B",MATCH('Summary Data'!$A29,Author,0)+1,":","B",MATCH('Summary Data'!$A29,Author,1)+1,)),Title,0),MATCH(Title,Title,0))&gt;0,1))</f>
        <v>9</v>
      </c>
      <c r="E29" s="13">
        <f>SUMIF(Author,'Summary Data'!$A29,Total_Units_to_Date)</f>
        <v>7451398</v>
      </c>
      <c r="F29" s="14">
        <f>SUMIF(Author,'Summary Data'!$A29,Total_Earnings_to_Date)</f>
        <v>62422122.019999996</v>
      </c>
      <c r="G29" s="4" t="str">
        <f t="shared" ca="1" si="0"/>
        <v>No</v>
      </c>
      <c r="H29" s="4" t="str">
        <f t="shared" ca="1" si="1"/>
        <v>Yes</v>
      </c>
      <c r="I29" s="4" t="str">
        <f t="shared" ca="1" si="2"/>
        <v>Yes</v>
      </c>
      <c r="J29" s="15">
        <f t="shared" ca="1" si="3"/>
        <v>0.2</v>
      </c>
    </row>
    <row r="30" spans="1:12" ht="15" customHeight="1" x14ac:dyDescent="0.2">
      <c r="A30" s="4">
        <v>1067</v>
      </c>
      <c r="B30" s="16">
        <v>40966</v>
      </c>
      <c r="C30" s="17">
        <v>0.29568788501026694</v>
      </c>
      <c r="D30" s="4">
        <f ca="1">SUM(IF(FREQUENCY(MATCH(INDIRECT(CONCATENATE("Sales!","B",MATCH('Summary Data'!$A30,Author,0)+1,":","B",MATCH('Summary Data'!$A30,Author,1)+1,)),Title,0),MATCH(Title,Title,0))&gt;0,1))</f>
        <v>17</v>
      </c>
      <c r="E30" s="13">
        <f>SUMIF(Author,'Summary Data'!$A30,Total_Units_to_Date)</f>
        <v>15869162</v>
      </c>
      <c r="F30" s="14">
        <f>SUMIF(Author,'Summary Data'!$A30,Total_Earnings_to_Date)</f>
        <v>101978476.37999998</v>
      </c>
      <c r="G30" s="4" t="str">
        <f t="shared" ca="1" si="0"/>
        <v>Yes</v>
      </c>
      <c r="H30" s="4" t="str">
        <f t="shared" ca="1" si="1"/>
        <v>Yes</v>
      </c>
      <c r="I30" s="4" t="str">
        <f t="shared" ca="1" si="2"/>
        <v>No</v>
      </c>
      <c r="J30" s="15">
        <f t="shared" ca="1" si="3"/>
        <v>0.15</v>
      </c>
    </row>
  </sheetData>
  <sortState ref="A5:K817">
    <sortCondition ref="J5:J817"/>
  </sortState>
  <conditionalFormatting sqref="G2:I30">
    <cfRule type="cellIs" dxfId="62" priority="4" operator="equal">
      <formula>"No"</formula>
    </cfRule>
    <cfRule type="cellIs" dxfId="61" priority="5" operator="equal">
      <formula>"Yes"</formula>
    </cfRule>
    <cfRule type="cellIs" dxfId="60" priority="6" operator="equal">
      <formula>TRUE</formula>
    </cfRule>
    <cfRule type="cellIs" dxfId="59" priority="7" operator="equal">
      <formula>FALSE</formula>
    </cfRule>
  </conditionalFormatting>
  <conditionalFormatting sqref="A2">
    <cfRule type="duplicateValues" dxfId="58" priority="2"/>
  </conditionalFormatting>
  <conditionalFormatting sqref="A2:A30">
    <cfRule type="duplicateValues" dxfId="57" priority="36"/>
  </conditionalFormatting>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480"/>
  <sheetViews>
    <sheetView zoomScaleNormal="100" workbookViewId="0">
      <selection activeCell="A2" sqref="A2"/>
    </sheetView>
  </sheetViews>
  <sheetFormatPr defaultRowHeight="14.25" x14ac:dyDescent="0.2"/>
  <cols>
    <col min="1" max="1" width="13.796875" customWidth="1"/>
    <col min="2" max="2" width="15" customWidth="1"/>
    <col min="3" max="4" width="11.5" customWidth="1"/>
    <col min="5" max="5" width="10.09765625" customWidth="1"/>
    <col min="6" max="19" width="18.69921875" customWidth="1"/>
    <col min="20" max="20" width="11.296875" customWidth="1"/>
    <col min="21" max="21" width="25.796875" style="5" customWidth="1"/>
    <col min="22" max="22" width="13.296875" customWidth="1"/>
    <col min="23" max="23" width="18" customWidth="1"/>
    <col min="24" max="24" width="16.5" customWidth="1"/>
  </cols>
  <sheetData>
    <row r="1" spans="1:24" s="4" customFormat="1" ht="28.5" x14ac:dyDescent="0.2">
      <c r="A1" s="4" t="s">
        <v>10</v>
      </c>
      <c r="B1" s="4" t="s">
        <v>20</v>
      </c>
      <c r="C1" s="4" t="s">
        <v>12</v>
      </c>
      <c r="D1" s="4" t="s">
        <v>25</v>
      </c>
      <c r="E1" s="4" t="s">
        <v>21</v>
      </c>
      <c r="F1" s="4" t="s">
        <v>39</v>
      </c>
      <c r="G1" s="4" t="s">
        <v>40</v>
      </c>
      <c r="H1" s="4" t="s">
        <v>41</v>
      </c>
      <c r="I1" s="4" t="s">
        <v>42</v>
      </c>
      <c r="J1" s="4" t="s">
        <v>43</v>
      </c>
      <c r="K1" s="4" t="s">
        <v>44</v>
      </c>
      <c r="L1" s="4" t="s">
        <v>45</v>
      </c>
      <c r="M1" s="4" t="s">
        <v>46</v>
      </c>
      <c r="N1" s="4" t="s">
        <v>47</v>
      </c>
      <c r="O1" s="4" t="s">
        <v>48</v>
      </c>
      <c r="P1" s="4" t="s">
        <v>49</v>
      </c>
      <c r="Q1" s="4" t="s">
        <v>50</v>
      </c>
      <c r="R1" s="4" t="s">
        <v>51</v>
      </c>
      <c r="S1" s="7" t="s">
        <v>380</v>
      </c>
      <c r="T1" s="4" t="s">
        <v>11</v>
      </c>
      <c r="U1" s="8" t="s">
        <v>381</v>
      </c>
    </row>
    <row r="2" spans="1:24" x14ac:dyDescent="0.2">
      <c r="A2" s="4">
        <v>1005</v>
      </c>
      <c r="B2" s="9" t="s">
        <v>22</v>
      </c>
      <c r="C2" s="4" t="s">
        <v>14</v>
      </c>
      <c r="D2" s="4" t="s">
        <v>28</v>
      </c>
      <c r="E2" s="4" t="s">
        <v>17</v>
      </c>
      <c r="F2" s="10">
        <v>0</v>
      </c>
      <c r="G2" s="10">
        <v>0</v>
      </c>
      <c r="H2" s="10">
        <v>0</v>
      </c>
      <c r="I2" s="10">
        <v>0</v>
      </c>
      <c r="J2" s="10">
        <v>0</v>
      </c>
      <c r="K2" s="10">
        <v>0</v>
      </c>
      <c r="L2" s="10">
        <v>0</v>
      </c>
      <c r="M2" s="10">
        <v>0</v>
      </c>
      <c r="N2" s="10">
        <v>0</v>
      </c>
      <c r="O2" s="10">
        <v>0</v>
      </c>
      <c r="P2" s="4">
        <v>0</v>
      </c>
      <c r="Q2" s="4">
        <v>0</v>
      </c>
      <c r="R2" s="10">
        <v>1172</v>
      </c>
      <c r="S2" s="24">
        <f>SUM(tblSalesData[[#This Row],[FY 2000]:[FY 2012]])</f>
        <v>1172</v>
      </c>
      <c r="T2" s="11">
        <v>1.99</v>
      </c>
      <c r="U2" s="12">
        <f>tblSalesData[[#This Row],[Total Units 
to Date]]*tblSalesData[[#This Row],[Sell Price]]</f>
        <v>2332.2800000000002</v>
      </c>
      <c r="V2" s="1"/>
      <c r="W2" s="4"/>
    </row>
    <row r="3" spans="1:24" x14ac:dyDescent="0.2">
      <c r="A3" s="4">
        <v>1005</v>
      </c>
      <c r="B3" s="9" t="s">
        <v>23</v>
      </c>
      <c r="C3" s="4" t="s">
        <v>14</v>
      </c>
      <c r="D3" s="4" t="s">
        <v>27</v>
      </c>
      <c r="E3" s="4" t="s">
        <v>19</v>
      </c>
      <c r="F3" s="10">
        <v>0</v>
      </c>
      <c r="G3" s="10">
        <v>0</v>
      </c>
      <c r="H3" s="10">
        <v>0</v>
      </c>
      <c r="I3" s="10">
        <v>0</v>
      </c>
      <c r="J3" s="10">
        <v>0</v>
      </c>
      <c r="K3" s="10">
        <v>0</v>
      </c>
      <c r="L3" s="10">
        <v>0</v>
      </c>
      <c r="M3" s="10">
        <v>0</v>
      </c>
      <c r="N3" s="10">
        <v>0</v>
      </c>
      <c r="O3" s="10">
        <v>0</v>
      </c>
      <c r="P3" s="4">
        <v>0</v>
      </c>
      <c r="Q3" s="4">
        <v>0</v>
      </c>
      <c r="R3" s="4">
        <v>276</v>
      </c>
      <c r="S3" s="24">
        <f>SUM(tblSalesData[[#This Row],[FY 2000]:[FY 2012]])</f>
        <v>276</v>
      </c>
      <c r="T3" s="11">
        <v>15.99</v>
      </c>
      <c r="U3" s="12">
        <f>tblSalesData[[#This Row],[Total Units 
to Date]]*tblSalesData[[#This Row],[Sell Price]]</f>
        <v>4413.24</v>
      </c>
      <c r="W3" s="4"/>
    </row>
    <row r="4" spans="1:24" x14ac:dyDescent="0.2">
      <c r="A4" s="4">
        <v>1005</v>
      </c>
      <c r="B4" s="9" t="s">
        <v>24</v>
      </c>
      <c r="C4" s="4" t="s">
        <v>26</v>
      </c>
      <c r="D4" s="4" t="s">
        <v>27</v>
      </c>
      <c r="E4" s="4" t="s">
        <v>16</v>
      </c>
      <c r="F4" s="10">
        <v>0</v>
      </c>
      <c r="G4" s="10">
        <v>0</v>
      </c>
      <c r="H4" s="10">
        <v>0</v>
      </c>
      <c r="I4" s="10">
        <v>0</v>
      </c>
      <c r="J4" s="10">
        <v>0</v>
      </c>
      <c r="K4" s="10">
        <v>0</v>
      </c>
      <c r="L4" s="10">
        <v>0</v>
      </c>
      <c r="M4" s="10">
        <v>0</v>
      </c>
      <c r="N4" s="10">
        <v>0</v>
      </c>
      <c r="O4" s="10">
        <v>0</v>
      </c>
      <c r="P4" s="4">
        <v>0</v>
      </c>
      <c r="Q4" s="4">
        <v>0</v>
      </c>
      <c r="R4" s="4">
        <v>9301</v>
      </c>
      <c r="S4" s="24">
        <f>SUM(tblSalesData[[#This Row],[FY 2000]:[FY 2012]])</f>
        <v>9301</v>
      </c>
      <c r="T4" s="11">
        <v>11.99</v>
      </c>
      <c r="U4" s="12">
        <f>tblSalesData[[#This Row],[Total Units 
to Date]]*tblSalesData[[#This Row],[Sell Price]]</f>
        <v>111518.99</v>
      </c>
      <c r="V4" s="2"/>
      <c r="W4" s="30"/>
    </row>
    <row r="5" spans="1:24" x14ac:dyDescent="0.2">
      <c r="A5" s="4">
        <v>1005</v>
      </c>
      <c r="B5" s="9" t="s">
        <v>24</v>
      </c>
      <c r="C5" s="4" t="s">
        <v>26</v>
      </c>
      <c r="D5" s="4" t="s">
        <v>27</v>
      </c>
      <c r="E5" s="4" t="s">
        <v>17</v>
      </c>
      <c r="F5" s="10">
        <v>0</v>
      </c>
      <c r="G5" s="10">
        <v>0</v>
      </c>
      <c r="H5" s="10">
        <v>0</v>
      </c>
      <c r="I5" s="10">
        <v>0</v>
      </c>
      <c r="J5" s="10">
        <v>0</v>
      </c>
      <c r="K5" s="10">
        <v>0</v>
      </c>
      <c r="L5" s="10">
        <v>0</v>
      </c>
      <c r="M5" s="10">
        <v>0</v>
      </c>
      <c r="N5" s="10">
        <v>0</v>
      </c>
      <c r="O5" s="10">
        <v>0</v>
      </c>
      <c r="P5" s="4">
        <v>0</v>
      </c>
      <c r="Q5" s="4">
        <v>0</v>
      </c>
      <c r="R5" s="4">
        <v>8178</v>
      </c>
      <c r="S5" s="24">
        <f>SUM(tblSalesData[[#This Row],[FY 2000]:[FY 2012]])</f>
        <v>8178</v>
      </c>
      <c r="T5" s="11">
        <v>12.99</v>
      </c>
      <c r="U5" s="12">
        <f>tblSalesData[[#This Row],[Total Units 
to Date]]*tblSalesData[[#This Row],[Sell Price]]</f>
        <v>106232.22</v>
      </c>
      <c r="V5" s="2"/>
      <c r="W5" s="4"/>
    </row>
    <row r="6" spans="1:24" x14ac:dyDescent="0.2">
      <c r="A6" s="4">
        <v>1005</v>
      </c>
      <c r="B6" s="9" t="s">
        <v>24</v>
      </c>
      <c r="C6" s="4" t="s">
        <v>26</v>
      </c>
      <c r="D6" s="4" t="s">
        <v>27</v>
      </c>
      <c r="E6" s="4" t="s">
        <v>19</v>
      </c>
      <c r="F6" s="10">
        <v>0</v>
      </c>
      <c r="G6" s="10">
        <v>0</v>
      </c>
      <c r="H6" s="10">
        <v>0</v>
      </c>
      <c r="I6" s="10">
        <v>0</v>
      </c>
      <c r="J6" s="10">
        <v>0</v>
      </c>
      <c r="K6" s="10">
        <v>0</v>
      </c>
      <c r="L6" s="10">
        <v>0</v>
      </c>
      <c r="M6" s="10">
        <v>0</v>
      </c>
      <c r="N6" s="10">
        <v>0</v>
      </c>
      <c r="O6" s="10">
        <v>0</v>
      </c>
      <c r="P6" s="4">
        <v>0</v>
      </c>
      <c r="Q6" s="4">
        <v>0</v>
      </c>
      <c r="R6" s="4">
        <v>4013</v>
      </c>
      <c r="S6" s="24">
        <f>SUM(tblSalesData[[#This Row],[FY 2000]:[FY 2012]])</f>
        <v>4013</v>
      </c>
      <c r="T6" s="11">
        <v>15.99</v>
      </c>
      <c r="U6" s="12">
        <f>tblSalesData[[#This Row],[Total Units 
to Date]]*tblSalesData[[#This Row],[Sell Price]]</f>
        <v>64167.87</v>
      </c>
      <c r="V6" s="2"/>
      <c r="W6" s="4"/>
    </row>
    <row r="7" spans="1:24" x14ac:dyDescent="0.2">
      <c r="A7" s="4">
        <v>1005</v>
      </c>
      <c r="B7" s="9" t="s">
        <v>24</v>
      </c>
      <c r="C7" s="4" t="s">
        <v>26</v>
      </c>
      <c r="D7" s="4" t="s">
        <v>28</v>
      </c>
      <c r="E7" s="4" t="s">
        <v>18</v>
      </c>
      <c r="F7" s="10">
        <v>0</v>
      </c>
      <c r="G7" s="10">
        <v>0</v>
      </c>
      <c r="H7" s="10">
        <v>0</v>
      </c>
      <c r="I7" s="10">
        <v>0</v>
      </c>
      <c r="J7" s="10">
        <v>0</v>
      </c>
      <c r="K7" s="10">
        <v>0</v>
      </c>
      <c r="L7" s="10">
        <v>0</v>
      </c>
      <c r="M7" s="10">
        <v>0</v>
      </c>
      <c r="N7" s="10">
        <v>0</v>
      </c>
      <c r="O7" s="10">
        <v>0</v>
      </c>
      <c r="P7" s="4">
        <v>0</v>
      </c>
      <c r="Q7" s="4">
        <v>0</v>
      </c>
      <c r="R7" s="10">
        <v>11554</v>
      </c>
      <c r="S7" s="24">
        <f>SUM(tblSalesData[[#This Row],[FY 2000]:[FY 2012]])</f>
        <v>11554</v>
      </c>
      <c r="T7" s="11">
        <v>0.99</v>
      </c>
      <c r="U7" s="12">
        <f>tblSalesData[[#This Row],[Total Units 
to Date]]*tblSalesData[[#This Row],[Sell Price]]</f>
        <v>11438.46</v>
      </c>
      <c r="V7" s="2"/>
      <c r="W7" s="4"/>
    </row>
    <row r="8" spans="1:24" x14ac:dyDescent="0.2">
      <c r="A8" s="4">
        <v>1005</v>
      </c>
      <c r="B8" s="9" t="s">
        <v>29</v>
      </c>
      <c r="C8" s="4" t="s">
        <v>26</v>
      </c>
      <c r="D8" s="4" t="s">
        <v>27</v>
      </c>
      <c r="E8" s="4" t="s">
        <v>16</v>
      </c>
      <c r="F8" s="10">
        <v>0</v>
      </c>
      <c r="G8" s="10">
        <v>0</v>
      </c>
      <c r="H8" s="10">
        <v>0</v>
      </c>
      <c r="I8" s="10">
        <v>0</v>
      </c>
      <c r="J8" s="10">
        <v>0</v>
      </c>
      <c r="K8" s="10">
        <v>0</v>
      </c>
      <c r="L8" s="10">
        <v>0</v>
      </c>
      <c r="M8" s="10">
        <v>0</v>
      </c>
      <c r="N8" s="10">
        <v>0</v>
      </c>
      <c r="O8" s="10">
        <v>0</v>
      </c>
      <c r="P8" s="4">
        <v>0</v>
      </c>
      <c r="Q8" s="4">
        <v>0</v>
      </c>
      <c r="R8" s="4">
        <v>24222</v>
      </c>
      <c r="S8" s="24">
        <f>SUM(tblSalesData[[#This Row],[FY 2000]:[FY 2012]])</f>
        <v>24222</v>
      </c>
      <c r="T8" s="11">
        <v>11.99</v>
      </c>
      <c r="U8" s="12">
        <f>tblSalesData[[#This Row],[Total Units 
to Date]]*tblSalesData[[#This Row],[Sell Price]]</f>
        <v>290421.78000000003</v>
      </c>
      <c r="V8" s="2"/>
      <c r="W8" s="4"/>
      <c r="X8" s="2"/>
    </row>
    <row r="9" spans="1:24" x14ac:dyDescent="0.2">
      <c r="A9" s="4">
        <v>1005</v>
      </c>
      <c r="B9" s="9" t="s">
        <v>30</v>
      </c>
      <c r="C9" s="4" t="s">
        <v>26</v>
      </c>
      <c r="D9" s="4" t="s">
        <v>27</v>
      </c>
      <c r="E9" s="4" t="s">
        <v>18</v>
      </c>
      <c r="F9" s="10">
        <v>0</v>
      </c>
      <c r="G9" s="10">
        <v>0</v>
      </c>
      <c r="H9" s="10">
        <v>0</v>
      </c>
      <c r="I9" s="10">
        <v>0</v>
      </c>
      <c r="J9" s="10">
        <v>0</v>
      </c>
      <c r="K9" s="10">
        <v>0</v>
      </c>
      <c r="L9" s="10">
        <v>0</v>
      </c>
      <c r="M9" s="10">
        <v>0</v>
      </c>
      <c r="N9" s="10">
        <v>0</v>
      </c>
      <c r="O9" s="10">
        <v>0</v>
      </c>
      <c r="P9" s="4">
        <v>0</v>
      </c>
      <c r="Q9" s="4">
        <v>0</v>
      </c>
      <c r="R9" s="4">
        <v>1880</v>
      </c>
      <c r="S9" s="24">
        <f>SUM(tblSalesData[[#This Row],[FY 2000]:[FY 2012]])</f>
        <v>1880</v>
      </c>
      <c r="T9" s="11">
        <v>9.99</v>
      </c>
      <c r="U9" s="12">
        <f>tblSalesData[[#This Row],[Total Units 
to Date]]*tblSalesData[[#This Row],[Sell Price]]</f>
        <v>18781.2</v>
      </c>
      <c r="V9" s="2"/>
      <c r="W9" s="4"/>
    </row>
    <row r="10" spans="1:24" x14ac:dyDescent="0.2">
      <c r="A10" s="4">
        <v>1005</v>
      </c>
      <c r="B10" s="9" t="s">
        <v>31</v>
      </c>
      <c r="C10" s="4" t="s">
        <v>26</v>
      </c>
      <c r="D10" s="4" t="s">
        <v>27</v>
      </c>
      <c r="E10" s="4" t="s">
        <v>19</v>
      </c>
      <c r="F10" s="10">
        <v>0</v>
      </c>
      <c r="G10" s="10">
        <v>0</v>
      </c>
      <c r="H10" s="10">
        <v>0</v>
      </c>
      <c r="I10" s="10">
        <v>0</v>
      </c>
      <c r="J10" s="10">
        <v>0</v>
      </c>
      <c r="K10" s="10">
        <v>0</v>
      </c>
      <c r="L10" s="10">
        <v>0</v>
      </c>
      <c r="M10" s="10">
        <v>0</v>
      </c>
      <c r="N10" s="10">
        <v>0</v>
      </c>
      <c r="O10" s="10">
        <v>0</v>
      </c>
      <c r="P10" s="4">
        <v>0</v>
      </c>
      <c r="Q10" s="4">
        <v>0</v>
      </c>
      <c r="R10" s="4">
        <v>3344</v>
      </c>
      <c r="S10" s="24">
        <f>SUM(tblSalesData[[#This Row],[FY 2000]:[FY 2012]])</f>
        <v>3344</v>
      </c>
      <c r="T10" s="11">
        <v>15.99</v>
      </c>
      <c r="U10" s="12">
        <f>tblSalesData[[#This Row],[Total Units 
to Date]]*tblSalesData[[#This Row],[Sell Price]]</f>
        <v>53470.559999999998</v>
      </c>
      <c r="V10" s="2"/>
      <c r="W10" s="4"/>
    </row>
    <row r="11" spans="1:24" x14ac:dyDescent="0.2">
      <c r="A11" s="4">
        <v>1005</v>
      </c>
      <c r="B11" s="9" t="s">
        <v>32</v>
      </c>
      <c r="C11" s="4" t="s">
        <v>26</v>
      </c>
      <c r="D11" s="4" t="s">
        <v>27</v>
      </c>
      <c r="E11" s="4" t="s">
        <v>19</v>
      </c>
      <c r="F11" s="10">
        <v>0</v>
      </c>
      <c r="G11" s="10">
        <v>0</v>
      </c>
      <c r="H11" s="10">
        <v>0</v>
      </c>
      <c r="I11" s="10">
        <v>0</v>
      </c>
      <c r="J11" s="10">
        <v>0</v>
      </c>
      <c r="K11" s="10">
        <v>0</v>
      </c>
      <c r="L11" s="10">
        <v>0</v>
      </c>
      <c r="M11" s="10">
        <v>0</v>
      </c>
      <c r="N11" s="10">
        <v>0</v>
      </c>
      <c r="O11" s="10">
        <v>0</v>
      </c>
      <c r="P11" s="4">
        <v>0</v>
      </c>
      <c r="Q11" s="4">
        <v>0</v>
      </c>
      <c r="R11" s="4">
        <v>2199</v>
      </c>
      <c r="S11" s="24">
        <f>SUM(tblSalesData[[#This Row],[FY 2000]:[FY 2012]])</f>
        <v>2199</v>
      </c>
      <c r="T11" s="11">
        <v>15.99</v>
      </c>
      <c r="U11" s="12">
        <f>tblSalesData[[#This Row],[Total Units 
to Date]]*tblSalesData[[#This Row],[Sell Price]]</f>
        <v>35162.01</v>
      </c>
      <c r="V11" s="2"/>
      <c r="W11" s="4"/>
    </row>
    <row r="12" spans="1:24" x14ac:dyDescent="0.2">
      <c r="A12" s="4">
        <v>1005</v>
      </c>
      <c r="B12" s="9" t="s">
        <v>33</v>
      </c>
      <c r="C12" s="4" t="s">
        <v>14</v>
      </c>
      <c r="D12" s="4" t="s">
        <v>27</v>
      </c>
      <c r="E12" s="4" t="s">
        <v>17</v>
      </c>
      <c r="F12" s="10">
        <v>0</v>
      </c>
      <c r="G12" s="10">
        <v>0</v>
      </c>
      <c r="H12" s="10">
        <v>0</v>
      </c>
      <c r="I12" s="10">
        <v>0</v>
      </c>
      <c r="J12" s="10">
        <v>0</v>
      </c>
      <c r="K12" s="10">
        <v>0</v>
      </c>
      <c r="L12" s="10">
        <v>0</v>
      </c>
      <c r="M12" s="10">
        <v>0</v>
      </c>
      <c r="N12" s="10">
        <v>0</v>
      </c>
      <c r="O12" s="10">
        <v>0</v>
      </c>
      <c r="P12" s="4">
        <v>0</v>
      </c>
      <c r="Q12" s="4">
        <v>0</v>
      </c>
      <c r="R12" s="4">
        <v>48363</v>
      </c>
      <c r="S12" s="24">
        <f>SUM(tblSalesData[[#This Row],[FY 2000]:[FY 2012]])</f>
        <v>48363</v>
      </c>
      <c r="T12" s="11">
        <v>12.99</v>
      </c>
      <c r="U12" s="12">
        <f>tblSalesData[[#This Row],[Total Units 
to Date]]*tblSalesData[[#This Row],[Sell Price]]</f>
        <v>628235.37</v>
      </c>
      <c r="V12" s="2"/>
      <c r="W12" s="4"/>
    </row>
    <row r="13" spans="1:24" x14ac:dyDescent="0.2">
      <c r="A13" s="4">
        <v>1005</v>
      </c>
      <c r="B13" s="9" t="s">
        <v>34</v>
      </c>
      <c r="C13" s="4" t="s">
        <v>26</v>
      </c>
      <c r="D13" s="4" t="s">
        <v>28</v>
      </c>
      <c r="E13" s="4" t="s">
        <v>19</v>
      </c>
      <c r="F13" s="10">
        <v>0</v>
      </c>
      <c r="G13" s="10">
        <v>0</v>
      </c>
      <c r="H13" s="10">
        <v>0</v>
      </c>
      <c r="I13" s="10">
        <v>0</v>
      </c>
      <c r="J13" s="10">
        <v>0</v>
      </c>
      <c r="K13" s="10">
        <v>0</v>
      </c>
      <c r="L13" s="10">
        <v>0</v>
      </c>
      <c r="M13" s="10">
        <v>0</v>
      </c>
      <c r="N13" s="10">
        <v>0</v>
      </c>
      <c r="O13" s="10">
        <v>0</v>
      </c>
      <c r="P13" s="4">
        <v>0</v>
      </c>
      <c r="Q13" s="4">
        <v>1045</v>
      </c>
      <c r="R13" s="10">
        <v>6895</v>
      </c>
      <c r="S13" s="24">
        <f>SUM(tblSalesData[[#This Row],[FY 2000]:[FY 2012]])</f>
        <v>7940</v>
      </c>
      <c r="T13" s="11">
        <v>3.99</v>
      </c>
      <c r="U13" s="12">
        <f>tblSalesData[[#This Row],[Total Units 
to Date]]*tblSalesData[[#This Row],[Sell Price]]</f>
        <v>31680.600000000002</v>
      </c>
      <c r="V13" s="2"/>
      <c r="W13" s="4"/>
    </row>
    <row r="14" spans="1:24" x14ac:dyDescent="0.2">
      <c r="A14" s="4">
        <v>1005</v>
      </c>
      <c r="B14" s="9" t="s">
        <v>35</v>
      </c>
      <c r="C14" s="4" t="s">
        <v>26</v>
      </c>
      <c r="D14" s="4" t="s">
        <v>28</v>
      </c>
      <c r="E14" s="4" t="s">
        <v>18</v>
      </c>
      <c r="F14" s="10">
        <v>0</v>
      </c>
      <c r="G14" s="10">
        <v>0</v>
      </c>
      <c r="H14" s="10">
        <v>0</v>
      </c>
      <c r="I14" s="10">
        <v>0</v>
      </c>
      <c r="J14" s="10">
        <v>0</v>
      </c>
      <c r="K14" s="10">
        <v>0</v>
      </c>
      <c r="L14" s="10">
        <v>0</v>
      </c>
      <c r="M14" s="10">
        <v>0</v>
      </c>
      <c r="N14" s="10">
        <v>0</v>
      </c>
      <c r="O14" s="10">
        <v>0</v>
      </c>
      <c r="P14" s="4">
        <v>0</v>
      </c>
      <c r="Q14" s="4">
        <v>944</v>
      </c>
      <c r="R14" s="10">
        <v>3403</v>
      </c>
      <c r="S14" s="24">
        <f>SUM(tblSalesData[[#This Row],[FY 2000]:[FY 2012]])</f>
        <v>4347</v>
      </c>
      <c r="T14" s="11">
        <v>0.99</v>
      </c>
      <c r="U14" s="12">
        <f>tblSalesData[[#This Row],[Total Units 
to Date]]*tblSalesData[[#This Row],[Sell Price]]</f>
        <v>4303.53</v>
      </c>
      <c r="V14" s="2"/>
      <c r="W14" s="4"/>
    </row>
    <row r="15" spans="1:24" x14ac:dyDescent="0.2">
      <c r="A15" s="4">
        <v>1005</v>
      </c>
      <c r="B15" s="9" t="s">
        <v>36</v>
      </c>
      <c r="C15" s="4" t="s">
        <v>26</v>
      </c>
      <c r="D15" s="4" t="s">
        <v>27</v>
      </c>
      <c r="E15" s="4" t="s">
        <v>19</v>
      </c>
      <c r="F15" s="10">
        <v>0</v>
      </c>
      <c r="G15" s="10">
        <v>0</v>
      </c>
      <c r="H15" s="10">
        <v>0</v>
      </c>
      <c r="I15" s="10">
        <v>0</v>
      </c>
      <c r="J15" s="10">
        <v>0</v>
      </c>
      <c r="K15" s="10">
        <v>0</v>
      </c>
      <c r="L15" s="10">
        <v>0</v>
      </c>
      <c r="M15" s="10">
        <v>0</v>
      </c>
      <c r="N15" s="10">
        <v>0</v>
      </c>
      <c r="O15" s="10">
        <v>0</v>
      </c>
      <c r="P15" s="4">
        <v>0</v>
      </c>
      <c r="Q15" s="4">
        <v>263</v>
      </c>
      <c r="R15" s="4">
        <v>2231</v>
      </c>
      <c r="S15" s="24">
        <f>SUM(tblSalesData[[#This Row],[FY 2000]:[FY 2012]])</f>
        <v>2494</v>
      </c>
      <c r="T15" s="11">
        <v>15.99</v>
      </c>
      <c r="U15" s="12">
        <f>tblSalesData[[#This Row],[Total Units 
to Date]]*tblSalesData[[#This Row],[Sell Price]]</f>
        <v>39879.06</v>
      </c>
      <c r="V15" s="2"/>
      <c r="W15" s="4"/>
    </row>
    <row r="16" spans="1:24" x14ac:dyDescent="0.2">
      <c r="A16" s="4">
        <v>1005</v>
      </c>
      <c r="B16" s="9" t="s">
        <v>37</v>
      </c>
      <c r="C16" s="4" t="s">
        <v>26</v>
      </c>
      <c r="D16" s="4" t="s">
        <v>27</v>
      </c>
      <c r="E16" s="4" t="s">
        <v>19</v>
      </c>
      <c r="F16" s="10">
        <v>0</v>
      </c>
      <c r="G16" s="10">
        <v>0</v>
      </c>
      <c r="H16" s="10">
        <v>0</v>
      </c>
      <c r="I16" s="10">
        <v>0</v>
      </c>
      <c r="J16" s="10">
        <v>0</v>
      </c>
      <c r="K16" s="10">
        <v>0</v>
      </c>
      <c r="L16" s="10">
        <v>0</v>
      </c>
      <c r="M16" s="10">
        <v>0</v>
      </c>
      <c r="N16" s="10">
        <v>0</v>
      </c>
      <c r="O16" s="10">
        <v>0</v>
      </c>
      <c r="P16" s="4">
        <v>0</v>
      </c>
      <c r="Q16" s="4">
        <v>60</v>
      </c>
      <c r="R16" s="4">
        <v>1142</v>
      </c>
      <c r="S16" s="24">
        <f>SUM(tblSalesData[[#This Row],[FY 2000]:[FY 2012]])</f>
        <v>1202</v>
      </c>
      <c r="T16" s="11">
        <v>15.99</v>
      </c>
      <c r="U16" s="12">
        <f>tblSalesData[[#This Row],[Total Units 
to Date]]*tblSalesData[[#This Row],[Sell Price]]</f>
        <v>19219.98</v>
      </c>
      <c r="V16" s="2"/>
      <c r="W16" s="4"/>
    </row>
    <row r="17" spans="1:23" x14ac:dyDescent="0.2">
      <c r="A17" s="4">
        <v>1005</v>
      </c>
      <c r="B17" s="9" t="s">
        <v>38</v>
      </c>
      <c r="C17" s="4" t="s">
        <v>26</v>
      </c>
      <c r="D17" s="4" t="s">
        <v>27</v>
      </c>
      <c r="E17" s="4" t="s">
        <v>19</v>
      </c>
      <c r="F17" s="10">
        <v>0</v>
      </c>
      <c r="G17" s="10">
        <v>0</v>
      </c>
      <c r="H17" s="10">
        <v>0</v>
      </c>
      <c r="I17" s="10">
        <v>0</v>
      </c>
      <c r="J17" s="10">
        <v>0</v>
      </c>
      <c r="K17" s="10">
        <v>0</v>
      </c>
      <c r="L17" s="10">
        <v>0</v>
      </c>
      <c r="M17" s="10">
        <v>0</v>
      </c>
      <c r="N17" s="10">
        <v>0</v>
      </c>
      <c r="O17" s="10">
        <v>0</v>
      </c>
      <c r="P17" s="4">
        <v>0</v>
      </c>
      <c r="Q17" s="4">
        <v>638</v>
      </c>
      <c r="R17" s="4">
        <v>1955</v>
      </c>
      <c r="S17" s="24">
        <f>SUM(tblSalesData[[#This Row],[FY 2000]:[FY 2012]])</f>
        <v>2593</v>
      </c>
      <c r="T17" s="11">
        <v>15.99</v>
      </c>
      <c r="U17" s="12">
        <f>tblSalesData[[#This Row],[Total Units 
to Date]]*tblSalesData[[#This Row],[Sell Price]]</f>
        <v>41462.07</v>
      </c>
      <c r="V17" s="2"/>
      <c r="W17" s="4"/>
    </row>
    <row r="18" spans="1:23" x14ac:dyDescent="0.2">
      <c r="A18" s="4">
        <v>1005</v>
      </c>
      <c r="B18" s="9" t="s">
        <v>52</v>
      </c>
      <c r="C18" s="4" t="s">
        <v>26</v>
      </c>
      <c r="D18" s="4" t="s">
        <v>27</v>
      </c>
      <c r="E18" s="4" t="s">
        <v>19</v>
      </c>
      <c r="F18" s="10">
        <v>0</v>
      </c>
      <c r="G18" s="10">
        <v>0</v>
      </c>
      <c r="H18" s="10">
        <v>0</v>
      </c>
      <c r="I18" s="10">
        <v>0</v>
      </c>
      <c r="J18" s="10">
        <v>0</v>
      </c>
      <c r="K18" s="10">
        <v>0</v>
      </c>
      <c r="L18" s="10">
        <v>0</v>
      </c>
      <c r="M18" s="10">
        <v>0</v>
      </c>
      <c r="N18" s="10">
        <v>0</v>
      </c>
      <c r="O18" s="10">
        <v>0</v>
      </c>
      <c r="P18" s="4">
        <v>0</v>
      </c>
      <c r="Q18" s="4">
        <v>78</v>
      </c>
      <c r="R18" s="4">
        <v>2095</v>
      </c>
      <c r="S18" s="24">
        <f>SUM(tblSalesData[[#This Row],[FY 2000]:[FY 2012]])</f>
        <v>2173</v>
      </c>
      <c r="T18" s="11">
        <v>15.99</v>
      </c>
      <c r="U18" s="12">
        <f>tblSalesData[[#This Row],[Total Units 
to Date]]*tblSalesData[[#This Row],[Sell Price]]</f>
        <v>34746.270000000004</v>
      </c>
      <c r="V18" s="2"/>
      <c r="W18" s="4"/>
    </row>
    <row r="19" spans="1:23" x14ac:dyDescent="0.2">
      <c r="A19" s="4">
        <v>1005</v>
      </c>
      <c r="B19" s="9" t="s">
        <v>53</v>
      </c>
      <c r="C19" s="4" t="s">
        <v>14</v>
      </c>
      <c r="D19" s="4" t="s">
        <v>27</v>
      </c>
      <c r="E19" s="4" t="s">
        <v>16</v>
      </c>
      <c r="F19" s="10">
        <v>0</v>
      </c>
      <c r="G19" s="10">
        <v>0</v>
      </c>
      <c r="H19" s="10">
        <v>0</v>
      </c>
      <c r="I19" s="10">
        <v>0</v>
      </c>
      <c r="J19" s="10">
        <v>0</v>
      </c>
      <c r="K19" s="10">
        <v>0</v>
      </c>
      <c r="L19" s="10">
        <v>0</v>
      </c>
      <c r="M19" s="10">
        <v>0</v>
      </c>
      <c r="N19" s="10">
        <v>0</v>
      </c>
      <c r="O19" s="10">
        <v>0</v>
      </c>
      <c r="P19" s="4">
        <v>0</v>
      </c>
      <c r="Q19" s="4">
        <v>0</v>
      </c>
      <c r="R19" s="4">
        <v>2601</v>
      </c>
      <c r="S19" s="24">
        <f>SUM(tblSalesData[[#This Row],[FY 2000]:[FY 2012]])</f>
        <v>2601</v>
      </c>
      <c r="T19" s="11">
        <v>11.99</v>
      </c>
      <c r="U19" s="12">
        <f>tblSalesData[[#This Row],[Total Units 
to Date]]*tblSalesData[[#This Row],[Sell Price]]</f>
        <v>31185.99</v>
      </c>
      <c r="V19" s="2"/>
      <c r="W19" s="4"/>
    </row>
    <row r="20" spans="1:23" x14ac:dyDescent="0.2">
      <c r="A20" s="4">
        <v>1005</v>
      </c>
      <c r="B20" s="9" t="s">
        <v>53</v>
      </c>
      <c r="C20" s="4" t="s">
        <v>14</v>
      </c>
      <c r="D20" s="4" t="s">
        <v>27</v>
      </c>
      <c r="E20" s="4" t="s">
        <v>18</v>
      </c>
      <c r="F20" s="10">
        <v>0</v>
      </c>
      <c r="G20" s="10">
        <v>0</v>
      </c>
      <c r="H20" s="10">
        <v>0</v>
      </c>
      <c r="I20" s="10">
        <v>0</v>
      </c>
      <c r="J20" s="10">
        <v>0</v>
      </c>
      <c r="K20" s="10">
        <v>0</v>
      </c>
      <c r="L20" s="10">
        <v>0</v>
      </c>
      <c r="M20" s="10">
        <v>0</v>
      </c>
      <c r="N20" s="10">
        <v>0</v>
      </c>
      <c r="O20" s="10">
        <v>0</v>
      </c>
      <c r="P20" s="4">
        <v>0</v>
      </c>
      <c r="Q20" s="4">
        <v>0</v>
      </c>
      <c r="R20" s="4">
        <v>1521</v>
      </c>
      <c r="S20" s="24">
        <f>SUM(tblSalesData[[#This Row],[FY 2000]:[FY 2012]])</f>
        <v>1521</v>
      </c>
      <c r="T20" s="11">
        <v>9.99</v>
      </c>
      <c r="U20" s="12">
        <f>tblSalesData[[#This Row],[Total Units 
to Date]]*tblSalesData[[#This Row],[Sell Price]]</f>
        <v>15194.79</v>
      </c>
      <c r="V20" s="2"/>
      <c r="W20" s="4"/>
    </row>
    <row r="21" spans="1:23" x14ac:dyDescent="0.2">
      <c r="A21" s="4">
        <v>1005</v>
      </c>
      <c r="B21" s="9" t="s">
        <v>54</v>
      </c>
      <c r="C21" s="4" t="s">
        <v>14</v>
      </c>
      <c r="D21" s="4" t="s">
        <v>27</v>
      </c>
      <c r="E21" s="4" t="s">
        <v>16</v>
      </c>
      <c r="F21" s="10">
        <v>0</v>
      </c>
      <c r="G21" s="10">
        <v>0</v>
      </c>
      <c r="H21" s="10">
        <v>0</v>
      </c>
      <c r="I21" s="10">
        <v>0</v>
      </c>
      <c r="J21" s="10">
        <v>0</v>
      </c>
      <c r="K21" s="10">
        <v>0</v>
      </c>
      <c r="L21" s="10">
        <v>0</v>
      </c>
      <c r="M21" s="10">
        <v>0</v>
      </c>
      <c r="N21" s="10">
        <v>0</v>
      </c>
      <c r="O21" s="10">
        <v>0</v>
      </c>
      <c r="P21" s="4">
        <v>0</v>
      </c>
      <c r="Q21" s="4">
        <v>0</v>
      </c>
      <c r="R21" s="4">
        <v>1395</v>
      </c>
      <c r="S21" s="24">
        <f>SUM(tblSalesData[[#This Row],[FY 2000]:[FY 2012]])</f>
        <v>1395</v>
      </c>
      <c r="T21" s="11">
        <v>11.99</v>
      </c>
      <c r="U21" s="12">
        <f>tblSalesData[[#This Row],[Total Units 
to Date]]*tblSalesData[[#This Row],[Sell Price]]</f>
        <v>16726.05</v>
      </c>
      <c r="V21" s="2"/>
      <c r="W21" s="4"/>
    </row>
    <row r="22" spans="1:23" x14ac:dyDescent="0.2">
      <c r="A22" s="4">
        <v>1005</v>
      </c>
      <c r="B22" s="9" t="s">
        <v>55</v>
      </c>
      <c r="C22" s="4" t="s">
        <v>26</v>
      </c>
      <c r="D22" s="4" t="s">
        <v>28</v>
      </c>
      <c r="E22" s="4" t="s">
        <v>16</v>
      </c>
      <c r="F22" s="10">
        <v>0</v>
      </c>
      <c r="G22" s="10">
        <v>0</v>
      </c>
      <c r="H22" s="10">
        <v>0</v>
      </c>
      <c r="I22" s="10">
        <v>0</v>
      </c>
      <c r="J22" s="10">
        <v>0</v>
      </c>
      <c r="K22" s="10">
        <v>0</v>
      </c>
      <c r="L22" s="10">
        <v>0</v>
      </c>
      <c r="M22" s="10">
        <v>0</v>
      </c>
      <c r="N22" s="10">
        <v>0</v>
      </c>
      <c r="O22" s="10">
        <v>0</v>
      </c>
      <c r="P22" s="4">
        <v>0</v>
      </c>
      <c r="Q22" s="4">
        <v>0</v>
      </c>
      <c r="R22" s="10">
        <v>2769</v>
      </c>
      <c r="S22" s="24">
        <f>SUM(tblSalesData[[#This Row],[FY 2000]:[FY 2012]])</f>
        <v>2769</v>
      </c>
      <c r="T22" s="11">
        <v>1.49</v>
      </c>
      <c r="U22" s="12">
        <f>tblSalesData[[#This Row],[Total Units 
to Date]]*tblSalesData[[#This Row],[Sell Price]]</f>
        <v>4125.8100000000004</v>
      </c>
      <c r="V22" s="2"/>
      <c r="W22" s="4"/>
    </row>
    <row r="23" spans="1:23" x14ac:dyDescent="0.2">
      <c r="A23" s="4">
        <v>1005</v>
      </c>
      <c r="B23" s="9" t="s">
        <v>56</v>
      </c>
      <c r="C23" s="4" t="s">
        <v>14</v>
      </c>
      <c r="D23" s="4" t="s">
        <v>28</v>
      </c>
      <c r="E23" s="4" t="s">
        <v>19</v>
      </c>
      <c r="F23" s="10">
        <v>0</v>
      </c>
      <c r="G23" s="10">
        <v>0</v>
      </c>
      <c r="H23" s="10">
        <v>0</v>
      </c>
      <c r="I23" s="10">
        <v>0</v>
      </c>
      <c r="J23" s="10">
        <v>0</v>
      </c>
      <c r="K23" s="10">
        <v>0</v>
      </c>
      <c r="L23" s="10">
        <v>0</v>
      </c>
      <c r="M23" s="10">
        <v>0</v>
      </c>
      <c r="N23" s="10">
        <v>0</v>
      </c>
      <c r="O23" s="10">
        <v>0</v>
      </c>
      <c r="P23" s="4">
        <v>0</v>
      </c>
      <c r="Q23" s="4">
        <v>45</v>
      </c>
      <c r="R23" s="10">
        <v>9024</v>
      </c>
      <c r="S23" s="24">
        <f>SUM(tblSalesData[[#This Row],[FY 2000]:[FY 2012]])</f>
        <v>9069</v>
      </c>
      <c r="T23" s="11">
        <v>3.99</v>
      </c>
      <c r="U23" s="12">
        <f>tblSalesData[[#This Row],[Total Units 
to Date]]*tblSalesData[[#This Row],[Sell Price]]</f>
        <v>36185.310000000005</v>
      </c>
      <c r="V23" s="2"/>
      <c r="W23" s="4"/>
    </row>
    <row r="24" spans="1:23" x14ac:dyDescent="0.2">
      <c r="A24" s="4">
        <v>1005</v>
      </c>
      <c r="B24" s="9" t="s">
        <v>57</v>
      </c>
      <c r="C24" s="4" t="s">
        <v>14</v>
      </c>
      <c r="D24" s="4" t="s">
        <v>28</v>
      </c>
      <c r="E24" s="4" t="s">
        <v>16</v>
      </c>
      <c r="F24" s="10">
        <v>0</v>
      </c>
      <c r="G24" s="10">
        <v>0</v>
      </c>
      <c r="H24" s="10">
        <v>0</v>
      </c>
      <c r="I24" s="10">
        <v>0</v>
      </c>
      <c r="J24" s="10">
        <v>0</v>
      </c>
      <c r="K24" s="10">
        <v>0</v>
      </c>
      <c r="L24" s="10">
        <v>0</v>
      </c>
      <c r="M24" s="10">
        <v>0</v>
      </c>
      <c r="N24" s="10">
        <v>0</v>
      </c>
      <c r="O24" s="10">
        <v>0</v>
      </c>
      <c r="P24" s="4">
        <v>0</v>
      </c>
      <c r="Q24" s="4">
        <v>814</v>
      </c>
      <c r="R24" s="10">
        <v>3848</v>
      </c>
      <c r="S24" s="24">
        <f>SUM(tblSalesData[[#This Row],[FY 2000]:[FY 2012]])</f>
        <v>4662</v>
      </c>
      <c r="T24" s="11">
        <v>1.49</v>
      </c>
      <c r="U24" s="12">
        <f>tblSalesData[[#This Row],[Total Units 
to Date]]*tblSalesData[[#This Row],[Sell Price]]</f>
        <v>6946.38</v>
      </c>
      <c r="V24" s="2"/>
      <c r="W24" s="4"/>
    </row>
    <row r="25" spans="1:23" x14ac:dyDescent="0.2">
      <c r="A25" s="4">
        <v>1005</v>
      </c>
      <c r="B25" s="9" t="s">
        <v>58</v>
      </c>
      <c r="C25" s="4" t="s">
        <v>14</v>
      </c>
      <c r="D25" s="4" t="s">
        <v>27</v>
      </c>
      <c r="E25" s="4" t="s">
        <v>16</v>
      </c>
      <c r="F25" s="10">
        <v>0</v>
      </c>
      <c r="G25" s="10">
        <v>0</v>
      </c>
      <c r="H25" s="10">
        <v>0</v>
      </c>
      <c r="I25" s="10">
        <v>0</v>
      </c>
      <c r="J25" s="10">
        <v>0</v>
      </c>
      <c r="K25" s="10">
        <v>0</v>
      </c>
      <c r="L25" s="10">
        <v>0</v>
      </c>
      <c r="M25" s="10">
        <v>0</v>
      </c>
      <c r="N25" s="10">
        <v>0</v>
      </c>
      <c r="O25" s="10">
        <v>0</v>
      </c>
      <c r="P25" s="4">
        <v>0</v>
      </c>
      <c r="Q25" s="4">
        <v>235</v>
      </c>
      <c r="R25" s="4">
        <v>2392</v>
      </c>
      <c r="S25" s="24">
        <f>SUM(tblSalesData[[#This Row],[FY 2000]:[FY 2012]])</f>
        <v>2627</v>
      </c>
      <c r="T25" s="11">
        <v>11.99</v>
      </c>
      <c r="U25" s="12">
        <f>tblSalesData[[#This Row],[Total Units 
to Date]]*tblSalesData[[#This Row],[Sell Price]]</f>
        <v>31497.73</v>
      </c>
      <c r="V25" s="2"/>
      <c r="W25" s="4"/>
    </row>
    <row r="26" spans="1:23" x14ac:dyDescent="0.2">
      <c r="A26" s="4">
        <v>1005</v>
      </c>
      <c r="B26" s="9" t="s">
        <v>59</v>
      </c>
      <c r="C26" s="4" t="s">
        <v>14</v>
      </c>
      <c r="D26" s="4" t="s">
        <v>27</v>
      </c>
      <c r="E26" s="4" t="s">
        <v>18</v>
      </c>
      <c r="F26" s="10">
        <v>0</v>
      </c>
      <c r="G26" s="10">
        <v>0</v>
      </c>
      <c r="H26" s="10">
        <v>0</v>
      </c>
      <c r="I26" s="10">
        <v>0</v>
      </c>
      <c r="J26" s="10">
        <v>0</v>
      </c>
      <c r="K26" s="10">
        <v>0</v>
      </c>
      <c r="L26" s="10">
        <v>0</v>
      </c>
      <c r="M26" s="10">
        <v>0</v>
      </c>
      <c r="N26" s="10">
        <v>0</v>
      </c>
      <c r="O26" s="10">
        <v>0</v>
      </c>
      <c r="P26" s="4">
        <v>0</v>
      </c>
      <c r="Q26" s="4">
        <v>218</v>
      </c>
      <c r="R26" s="4">
        <v>1043</v>
      </c>
      <c r="S26" s="24">
        <f>SUM(tblSalesData[[#This Row],[FY 2000]:[FY 2012]])</f>
        <v>1261</v>
      </c>
      <c r="T26" s="11">
        <v>9.99</v>
      </c>
      <c r="U26" s="12">
        <f>tblSalesData[[#This Row],[Total Units 
to Date]]*tblSalesData[[#This Row],[Sell Price]]</f>
        <v>12597.39</v>
      </c>
      <c r="V26" s="2"/>
      <c r="W26" s="4"/>
    </row>
    <row r="27" spans="1:23" x14ac:dyDescent="0.2">
      <c r="A27" s="4">
        <v>1005</v>
      </c>
      <c r="B27" s="9" t="s">
        <v>60</v>
      </c>
      <c r="C27" s="4" t="s">
        <v>14</v>
      </c>
      <c r="D27" s="4" t="s">
        <v>28</v>
      </c>
      <c r="E27" s="4" t="s">
        <v>18</v>
      </c>
      <c r="F27" s="10">
        <v>0</v>
      </c>
      <c r="G27" s="10">
        <v>0</v>
      </c>
      <c r="H27" s="10">
        <v>0</v>
      </c>
      <c r="I27" s="10">
        <v>0</v>
      </c>
      <c r="J27" s="10">
        <v>0</v>
      </c>
      <c r="K27" s="10">
        <v>0</v>
      </c>
      <c r="L27" s="10">
        <v>0</v>
      </c>
      <c r="M27" s="10">
        <v>0</v>
      </c>
      <c r="N27" s="10">
        <v>0</v>
      </c>
      <c r="O27" s="10">
        <v>0</v>
      </c>
      <c r="P27" s="4">
        <v>0</v>
      </c>
      <c r="Q27" s="4">
        <v>54</v>
      </c>
      <c r="R27" s="10">
        <v>7303</v>
      </c>
      <c r="S27" s="24">
        <f>SUM(tblSalesData[[#This Row],[FY 2000]:[FY 2012]])</f>
        <v>7357</v>
      </c>
      <c r="T27" s="11">
        <v>0.99</v>
      </c>
      <c r="U27" s="12">
        <f>tblSalesData[[#This Row],[Total Units 
to Date]]*tblSalesData[[#This Row],[Sell Price]]</f>
        <v>7283.43</v>
      </c>
      <c r="V27" s="2"/>
      <c r="W27" s="4"/>
    </row>
    <row r="28" spans="1:23" x14ac:dyDescent="0.2">
      <c r="A28" s="4">
        <v>1005</v>
      </c>
      <c r="B28" s="9" t="s">
        <v>61</v>
      </c>
      <c r="C28" s="4" t="s">
        <v>14</v>
      </c>
      <c r="D28" s="4" t="s">
        <v>27</v>
      </c>
      <c r="E28" s="4" t="s">
        <v>18</v>
      </c>
      <c r="F28" s="10">
        <v>0</v>
      </c>
      <c r="G28" s="10">
        <v>0</v>
      </c>
      <c r="H28" s="10">
        <v>0</v>
      </c>
      <c r="I28" s="10">
        <v>0</v>
      </c>
      <c r="J28" s="10">
        <v>0</v>
      </c>
      <c r="K28" s="10">
        <v>0</v>
      </c>
      <c r="L28" s="10">
        <v>0</v>
      </c>
      <c r="M28" s="10">
        <v>0</v>
      </c>
      <c r="N28" s="10">
        <v>0</v>
      </c>
      <c r="O28" s="10">
        <v>0</v>
      </c>
      <c r="P28" s="4">
        <v>0</v>
      </c>
      <c r="Q28" s="4">
        <v>319</v>
      </c>
      <c r="R28" s="4">
        <v>1696</v>
      </c>
      <c r="S28" s="24">
        <f>SUM(tblSalesData[[#This Row],[FY 2000]:[FY 2012]])</f>
        <v>2015</v>
      </c>
      <c r="T28" s="11">
        <v>9.99</v>
      </c>
      <c r="U28" s="12">
        <f>tblSalesData[[#This Row],[Total Units 
to Date]]*tblSalesData[[#This Row],[Sell Price]]</f>
        <v>20129.850000000002</v>
      </c>
      <c r="V28" s="2"/>
      <c r="W28" s="4"/>
    </row>
    <row r="29" spans="1:23" x14ac:dyDescent="0.2">
      <c r="A29" s="4">
        <v>1005</v>
      </c>
      <c r="B29" s="9" t="s">
        <v>62</v>
      </c>
      <c r="C29" s="4" t="s">
        <v>26</v>
      </c>
      <c r="D29" s="4" t="s">
        <v>27</v>
      </c>
      <c r="E29" s="4" t="s">
        <v>17</v>
      </c>
      <c r="F29" s="10">
        <v>0</v>
      </c>
      <c r="G29" s="10">
        <v>0</v>
      </c>
      <c r="H29" s="10">
        <v>0</v>
      </c>
      <c r="I29" s="10">
        <v>0</v>
      </c>
      <c r="J29" s="10">
        <v>0</v>
      </c>
      <c r="K29" s="10">
        <v>0</v>
      </c>
      <c r="L29" s="10">
        <v>0</v>
      </c>
      <c r="M29" s="10">
        <v>0</v>
      </c>
      <c r="N29" s="10">
        <v>0</v>
      </c>
      <c r="O29" s="10">
        <v>0</v>
      </c>
      <c r="P29" s="4">
        <v>0</v>
      </c>
      <c r="Q29" s="4">
        <v>126</v>
      </c>
      <c r="R29" s="4">
        <v>563</v>
      </c>
      <c r="S29" s="24">
        <f>SUM(tblSalesData[[#This Row],[FY 2000]:[FY 2012]])</f>
        <v>689</v>
      </c>
      <c r="T29" s="11">
        <v>12.99</v>
      </c>
      <c r="U29" s="12">
        <f>tblSalesData[[#This Row],[Total Units 
to Date]]*tblSalesData[[#This Row],[Sell Price]]</f>
        <v>8950.11</v>
      </c>
      <c r="V29" s="2"/>
      <c r="W29" s="4"/>
    </row>
    <row r="30" spans="1:23" x14ac:dyDescent="0.2">
      <c r="A30" s="4">
        <v>1005</v>
      </c>
      <c r="B30" s="9" t="s">
        <v>63</v>
      </c>
      <c r="C30" s="4" t="s">
        <v>26</v>
      </c>
      <c r="D30" s="4" t="s">
        <v>28</v>
      </c>
      <c r="E30" s="4" t="s">
        <v>17</v>
      </c>
      <c r="F30" s="10">
        <v>0</v>
      </c>
      <c r="G30" s="10">
        <v>0</v>
      </c>
      <c r="H30" s="10">
        <v>0</v>
      </c>
      <c r="I30" s="10">
        <v>0</v>
      </c>
      <c r="J30" s="10">
        <v>0</v>
      </c>
      <c r="K30" s="10">
        <v>0</v>
      </c>
      <c r="L30" s="10">
        <v>0</v>
      </c>
      <c r="M30" s="10">
        <v>0</v>
      </c>
      <c r="N30" s="10">
        <v>0</v>
      </c>
      <c r="O30" s="10">
        <v>0</v>
      </c>
      <c r="P30" s="4">
        <v>0</v>
      </c>
      <c r="Q30" s="4">
        <v>428</v>
      </c>
      <c r="R30" s="10">
        <v>4888</v>
      </c>
      <c r="S30" s="24">
        <f>SUM(tblSalesData[[#This Row],[FY 2000]:[FY 2012]])</f>
        <v>5316</v>
      </c>
      <c r="T30" s="11">
        <v>1.99</v>
      </c>
      <c r="U30" s="12">
        <f>tblSalesData[[#This Row],[Total Units 
to Date]]*tblSalesData[[#This Row],[Sell Price]]</f>
        <v>10578.84</v>
      </c>
      <c r="V30" s="2"/>
      <c r="W30" s="30">
        <f>SUM(U2:U30)</f>
        <v>1698867.1700000004</v>
      </c>
    </row>
    <row r="31" spans="1:23" x14ac:dyDescent="0.2">
      <c r="A31" s="4">
        <v>1006</v>
      </c>
      <c r="B31" s="9" t="s">
        <v>64</v>
      </c>
      <c r="C31" s="4" t="s">
        <v>13</v>
      </c>
      <c r="D31" s="4" t="s">
        <v>27</v>
      </c>
      <c r="E31" s="4" t="s">
        <v>17</v>
      </c>
      <c r="F31" s="10">
        <v>985</v>
      </c>
      <c r="G31" s="10">
        <v>2272</v>
      </c>
      <c r="H31" s="10">
        <v>2475</v>
      </c>
      <c r="I31" s="10">
        <v>2552</v>
      </c>
      <c r="J31" s="10">
        <v>4444</v>
      </c>
      <c r="K31" s="10">
        <v>3701</v>
      </c>
      <c r="L31" s="10">
        <v>6086</v>
      </c>
      <c r="M31" s="10">
        <v>4890</v>
      </c>
      <c r="N31" s="10">
        <v>5953</v>
      </c>
      <c r="O31" s="10">
        <v>6475</v>
      </c>
      <c r="P31" s="4">
        <v>5126</v>
      </c>
      <c r="Q31" s="4">
        <v>5921</v>
      </c>
      <c r="R31" s="4">
        <v>2669</v>
      </c>
      <c r="S31" s="24">
        <f>SUM(tblSalesData[[#This Row],[FY 2000]:[FY 2012]])</f>
        <v>53549</v>
      </c>
      <c r="T31" s="11">
        <v>12.99</v>
      </c>
      <c r="U31" s="12">
        <f>tblSalesData[[#This Row],[Total Units 
to Date]]*tblSalesData[[#This Row],[Sell Price]]</f>
        <v>695601.51</v>
      </c>
      <c r="V31" s="2"/>
      <c r="W31" s="4"/>
    </row>
    <row r="32" spans="1:23" x14ac:dyDescent="0.2">
      <c r="A32" s="4">
        <v>1006</v>
      </c>
      <c r="B32" s="9" t="s">
        <v>64</v>
      </c>
      <c r="C32" s="4" t="s">
        <v>13</v>
      </c>
      <c r="D32" s="4" t="s">
        <v>27</v>
      </c>
      <c r="E32" s="4" t="s">
        <v>19</v>
      </c>
      <c r="F32" s="10">
        <v>455</v>
      </c>
      <c r="G32" s="10">
        <v>287</v>
      </c>
      <c r="H32" s="10">
        <v>1501</v>
      </c>
      <c r="I32" s="10">
        <v>2587</v>
      </c>
      <c r="J32" s="10">
        <v>4273</v>
      </c>
      <c r="K32" s="10">
        <v>4734</v>
      </c>
      <c r="L32" s="10">
        <v>3666</v>
      </c>
      <c r="M32" s="10">
        <v>2905</v>
      </c>
      <c r="N32" s="10">
        <v>2810</v>
      </c>
      <c r="O32" s="10">
        <v>2120</v>
      </c>
      <c r="P32" s="4">
        <v>3322</v>
      </c>
      <c r="Q32" s="4">
        <v>3714</v>
      </c>
      <c r="R32" s="4">
        <v>2731</v>
      </c>
      <c r="S32" s="24">
        <f>SUM(tblSalesData[[#This Row],[FY 2000]:[FY 2012]])</f>
        <v>35105</v>
      </c>
      <c r="T32" s="11">
        <v>15.99</v>
      </c>
      <c r="U32" s="12">
        <f>tblSalesData[[#This Row],[Total Units 
to Date]]*tblSalesData[[#This Row],[Sell Price]]</f>
        <v>561328.94999999995</v>
      </c>
      <c r="V32" s="2"/>
      <c r="W32" s="4"/>
    </row>
    <row r="33" spans="1:23" x14ac:dyDescent="0.2">
      <c r="A33" s="4">
        <v>1006</v>
      </c>
      <c r="B33" s="9" t="s">
        <v>64</v>
      </c>
      <c r="C33" s="4" t="s">
        <v>13</v>
      </c>
      <c r="D33" s="4" t="s">
        <v>28</v>
      </c>
      <c r="E33" s="4" t="s">
        <v>16</v>
      </c>
      <c r="F33" s="10">
        <v>47</v>
      </c>
      <c r="G33" s="10">
        <v>275</v>
      </c>
      <c r="H33" s="10">
        <v>1025</v>
      </c>
      <c r="I33" s="10">
        <v>1430</v>
      </c>
      <c r="J33" s="10">
        <v>2836</v>
      </c>
      <c r="K33" s="10">
        <v>3821</v>
      </c>
      <c r="L33" s="10">
        <v>1686</v>
      </c>
      <c r="M33" s="10">
        <v>5498</v>
      </c>
      <c r="N33" s="10">
        <v>2071</v>
      </c>
      <c r="O33" s="10">
        <v>3754</v>
      </c>
      <c r="P33" s="4">
        <v>2494</v>
      </c>
      <c r="Q33" s="4">
        <v>9088</v>
      </c>
      <c r="R33" s="10">
        <v>8775</v>
      </c>
      <c r="S33" s="24">
        <f>SUM(tblSalesData[[#This Row],[FY 2000]:[FY 2012]])</f>
        <v>42800</v>
      </c>
      <c r="T33" s="11">
        <v>1.49</v>
      </c>
      <c r="U33" s="12">
        <f>tblSalesData[[#This Row],[Total Units 
to Date]]*tblSalesData[[#This Row],[Sell Price]]</f>
        <v>63772</v>
      </c>
      <c r="V33" s="2"/>
      <c r="W33" s="4"/>
    </row>
    <row r="34" spans="1:23" x14ac:dyDescent="0.2">
      <c r="A34" s="4">
        <v>1006</v>
      </c>
      <c r="B34" s="9" t="s">
        <v>65</v>
      </c>
      <c r="C34" s="4" t="s">
        <v>13</v>
      </c>
      <c r="D34" s="4" t="s">
        <v>27</v>
      </c>
      <c r="E34" s="4" t="s">
        <v>18</v>
      </c>
      <c r="F34" s="10">
        <v>483</v>
      </c>
      <c r="G34" s="10">
        <v>775</v>
      </c>
      <c r="H34" s="10">
        <v>1044</v>
      </c>
      <c r="I34" s="10">
        <v>3614</v>
      </c>
      <c r="J34" s="10">
        <v>2601</v>
      </c>
      <c r="K34" s="10">
        <v>4579</v>
      </c>
      <c r="L34" s="10">
        <v>5309</v>
      </c>
      <c r="M34" s="10">
        <v>5160</v>
      </c>
      <c r="N34" s="10">
        <v>5681</v>
      </c>
      <c r="O34" s="10">
        <v>2674</v>
      </c>
      <c r="P34" s="4">
        <v>4440</v>
      </c>
      <c r="Q34" s="4">
        <v>5373</v>
      </c>
      <c r="R34" s="4">
        <v>2132</v>
      </c>
      <c r="S34" s="24">
        <f>SUM(tblSalesData[[#This Row],[FY 2000]:[FY 2012]])</f>
        <v>43865</v>
      </c>
      <c r="T34" s="11">
        <v>9.99</v>
      </c>
      <c r="U34" s="12">
        <f>tblSalesData[[#This Row],[Total Units 
to Date]]*tblSalesData[[#This Row],[Sell Price]]</f>
        <v>438211.35000000003</v>
      </c>
      <c r="W34" s="4"/>
    </row>
    <row r="35" spans="1:23" x14ac:dyDescent="0.2">
      <c r="A35" s="4">
        <v>1006</v>
      </c>
      <c r="B35" s="9" t="s">
        <v>66</v>
      </c>
      <c r="C35" s="4" t="s">
        <v>13</v>
      </c>
      <c r="D35" s="4" t="s">
        <v>27</v>
      </c>
      <c r="E35" s="4" t="s">
        <v>16</v>
      </c>
      <c r="F35" s="10">
        <v>368</v>
      </c>
      <c r="G35" s="10">
        <v>1179</v>
      </c>
      <c r="H35" s="10">
        <v>2505</v>
      </c>
      <c r="I35" s="10">
        <v>2513</v>
      </c>
      <c r="J35" s="10">
        <v>2400</v>
      </c>
      <c r="K35" s="10">
        <v>1896</v>
      </c>
      <c r="L35" s="10">
        <v>4965</v>
      </c>
      <c r="M35" s="10">
        <v>2209</v>
      </c>
      <c r="N35" s="10">
        <v>3344</v>
      </c>
      <c r="O35" s="10">
        <v>5983</v>
      </c>
      <c r="P35" s="4">
        <v>5396</v>
      </c>
      <c r="Q35" s="4">
        <v>4524</v>
      </c>
      <c r="R35" s="4">
        <v>1842</v>
      </c>
      <c r="S35" s="24">
        <f>SUM(tblSalesData[[#This Row],[FY 2000]:[FY 2012]])</f>
        <v>39124</v>
      </c>
      <c r="T35" s="11">
        <v>11.99</v>
      </c>
      <c r="U35" s="12">
        <f>tblSalesData[[#This Row],[Total Units 
to Date]]*tblSalesData[[#This Row],[Sell Price]]</f>
        <v>469096.76</v>
      </c>
      <c r="V35" s="2"/>
      <c r="W35" s="4"/>
    </row>
    <row r="36" spans="1:23" x14ac:dyDescent="0.2">
      <c r="A36" s="4">
        <v>1008</v>
      </c>
      <c r="B36" s="9" t="s">
        <v>67</v>
      </c>
      <c r="C36" s="4" t="s">
        <v>14</v>
      </c>
      <c r="D36" s="4" t="s">
        <v>27</v>
      </c>
      <c r="E36" s="4" t="s">
        <v>16</v>
      </c>
      <c r="F36" s="10">
        <v>0</v>
      </c>
      <c r="G36" s="10">
        <v>0</v>
      </c>
      <c r="H36" s="10">
        <v>0</v>
      </c>
      <c r="I36" s="10">
        <v>0</v>
      </c>
      <c r="J36" s="10">
        <v>0</v>
      </c>
      <c r="K36" s="10">
        <v>0</v>
      </c>
      <c r="L36" s="10">
        <v>0</v>
      </c>
      <c r="M36" s="10">
        <v>0</v>
      </c>
      <c r="N36" s="10">
        <v>0</v>
      </c>
      <c r="O36" s="10">
        <v>0</v>
      </c>
      <c r="P36" s="4">
        <v>7796</v>
      </c>
      <c r="Q36" s="4">
        <v>4229</v>
      </c>
      <c r="R36" s="4">
        <v>1885</v>
      </c>
      <c r="S36" s="24">
        <f>SUM(tblSalesData[[#This Row],[FY 2000]:[FY 2012]])</f>
        <v>13910</v>
      </c>
      <c r="T36" s="11">
        <v>11.99</v>
      </c>
      <c r="U36" s="12">
        <f>tblSalesData[[#This Row],[Total Units 
to Date]]*tblSalesData[[#This Row],[Sell Price]]</f>
        <v>166780.9</v>
      </c>
      <c r="W36" s="4"/>
    </row>
    <row r="37" spans="1:23" x14ac:dyDescent="0.2">
      <c r="A37" s="4">
        <v>1008</v>
      </c>
      <c r="B37" s="9" t="s">
        <v>67</v>
      </c>
      <c r="C37" s="4" t="s">
        <v>14</v>
      </c>
      <c r="D37" s="4" t="s">
        <v>27</v>
      </c>
      <c r="E37" s="4" t="s">
        <v>19</v>
      </c>
      <c r="F37" s="10">
        <v>0</v>
      </c>
      <c r="G37" s="10">
        <v>0</v>
      </c>
      <c r="H37" s="10">
        <v>0</v>
      </c>
      <c r="I37" s="10">
        <v>0</v>
      </c>
      <c r="J37" s="10">
        <v>0</v>
      </c>
      <c r="K37" s="10">
        <v>0</v>
      </c>
      <c r="L37" s="10">
        <v>0</v>
      </c>
      <c r="M37" s="10">
        <v>0</v>
      </c>
      <c r="N37" s="10">
        <v>0</v>
      </c>
      <c r="O37" s="10">
        <v>0</v>
      </c>
      <c r="P37" s="4">
        <v>63104</v>
      </c>
      <c r="Q37" s="4">
        <v>62662</v>
      </c>
      <c r="R37" s="4">
        <v>31533</v>
      </c>
      <c r="S37" s="24">
        <f>SUM(tblSalesData[[#This Row],[FY 2000]:[FY 2012]])</f>
        <v>157299</v>
      </c>
      <c r="T37" s="11">
        <v>15.99</v>
      </c>
      <c r="U37" s="12">
        <f>tblSalesData[[#This Row],[Total Units 
to Date]]*tblSalesData[[#This Row],[Sell Price]]</f>
        <v>2515211.0100000002</v>
      </c>
      <c r="W37" s="4"/>
    </row>
    <row r="38" spans="1:23" x14ac:dyDescent="0.2">
      <c r="A38" s="4">
        <v>1008</v>
      </c>
      <c r="B38" s="9" t="s">
        <v>67</v>
      </c>
      <c r="C38" s="4" t="s">
        <v>14</v>
      </c>
      <c r="D38" s="4" t="s">
        <v>28</v>
      </c>
      <c r="E38" s="4" t="s">
        <v>16</v>
      </c>
      <c r="F38" s="10">
        <v>0</v>
      </c>
      <c r="G38" s="10">
        <v>0</v>
      </c>
      <c r="H38" s="10">
        <v>0</v>
      </c>
      <c r="I38" s="10">
        <v>0</v>
      </c>
      <c r="J38" s="10">
        <v>0</v>
      </c>
      <c r="K38" s="10">
        <v>0</v>
      </c>
      <c r="L38" s="10">
        <v>0</v>
      </c>
      <c r="M38" s="10">
        <v>0</v>
      </c>
      <c r="N38" s="10">
        <v>0</v>
      </c>
      <c r="O38" s="10">
        <v>0</v>
      </c>
      <c r="P38" s="4">
        <v>172756</v>
      </c>
      <c r="Q38" s="4">
        <v>189218</v>
      </c>
      <c r="R38" s="10">
        <v>233145</v>
      </c>
      <c r="S38" s="24">
        <f>SUM(tblSalesData[[#This Row],[FY 2000]:[FY 2012]])</f>
        <v>595119</v>
      </c>
      <c r="T38" s="11">
        <v>1.49</v>
      </c>
      <c r="U38" s="12">
        <f>tblSalesData[[#This Row],[Total Units 
to Date]]*tblSalesData[[#This Row],[Sell Price]]</f>
        <v>886727.30999999994</v>
      </c>
      <c r="W38" s="4"/>
    </row>
    <row r="39" spans="1:23" x14ac:dyDescent="0.2">
      <c r="A39" s="4">
        <v>1008</v>
      </c>
      <c r="B39" s="9" t="s">
        <v>67</v>
      </c>
      <c r="C39" s="4" t="s">
        <v>14</v>
      </c>
      <c r="D39" s="4" t="s">
        <v>28</v>
      </c>
      <c r="E39" s="4" t="s">
        <v>19</v>
      </c>
      <c r="F39" s="10">
        <v>0</v>
      </c>
      <c r="G39" s="10">
        <v>0</v>
      </c>
      <c r="H39" s="10">
        <v>0</v>
      </c>
      <c r="I39" s="10">
        <v>0</v>
      </c>
      <c r="J39" s="10">
        <v>0</v>
      </c>
      <c r="K39" s="10">
        <v>0</v>
      </c>
      <c r="L39" s="10">
        <v>0</v>
      </c>
      <c r="M39" s="10">
        <v>0</v>
      </c>
      <c r="N39" s="10">
        <v>0</v>
      </c>
      <c r="O39" s="10">
        <v>0</v>
      </c>
      <c r="P39" s="4">
        <v>299315</v>
      </c>
      <c r="Q39" s="4">
        <v>359022</v>
      </c>
      <c r="R39" s="10">
        <v>443540</v>
      </c>
      <c r="S39" s="24">
        <f>SUM(tblSalesData[[#This Row],[FY 2000]:[FY 2012]])</f>
        <v>1101877</v>
      </c>
      <c r="T39" s="11">
        <v>3.99</v>
      </c>
      <c r="U39" s="12">
        <f>tblSalesData[[#This Row],[Total Units 
to Date]]*tblSalesData[[#This Row],[Sell Price]]</f>
        <v>4396489.2300000004</v>
      </c>
      <c r="W39" s="4"/>
    </row>
    <row r="40" spans="1:23" x14ac:dyDescent="0.2">
      <c r="A40" s="4">
        <v>1008</v>
      </c>
      <c r="B40" s="9" t="s">
        <v>68</v>
      </c>
      <c r="C40" s="4" t="s">
        <v>14</v>
      </c>
      <c r="D40" s="4" t="s">
        <v>27</v>
      </c>
      <c r="E40" s="4" t="s">
        <v>19</v>
      </c>
      <c r="F40" s="10">
        <v>0</v>
      </c>
      <c r="G40" s="10">
        <v>0</v>
      </c>
      <c r="H40" s="10">
        <v>0</v>
      </c>
      <c r="I40" s="10">
        <v>0</v>
      </c>
      <c r="J40" s="10">
        <v>0</v>
      </c>
      <c r="K40" s="10">
        <v>0</v>
      </c>
      <c r="L40" s="10">
        <v>0</v>
      </c>
      <c r="M40" s="10">
        <v>0</v>
      </c>
      <c r="N40" s="10">
        <v>0</v>
      </c>
      <c r="O40" s="10">
        <v>0</v>
      </c>
      <c r="P40" s="4">
        <v>3942</v>
      </c>
      <c r="Q40" s="4">
        <v>486</v>
      </c>
      <c r="R40" s="4">
        <v>1333</v>
      </c>
      <c r="S40" s="24">
        <f>SUM(tblSalesData[[#This Row],[FY 2000]:[FY 2012]])</f>
        <v>5761</v>
      </c>
      <c r="T40" s="11">
        <v>15.99</v>
      </c>
      <c r="U40" s="12">
        <f>tblSalesData[[#This Row],[Total Units 
to Date]]*tblSalesData[[#This Row],[Sell Price]]</f>
        <v>92118.39</v>
      </c>
      <c r="W40" s="4"/>
    </row>
    <row r="41" spans="1:23" x14ac:dyDescent="0.2">
      <c r="A41" s="4">
        <v>1008</v>
      </c>
      <c r="B41" s="9" t="s">
        <v>69</v>
      </c>
      <c r="C41" s="4" t="s">
        <v>15</v>
      </c>
      <c r="D41" s="4" t="s">
        <v>27</v>
      </c>
      <c r="E41" s="4" t="s">
        <v>18</v>
      </c>
      <c r="F41" s="10">
        <v>0</v>
      </c>
      <c r="G41" s="10">
        <v>0</v>
      </c>
      <c r="H41" s="10">
        <v>0</v>
      </c>
      <c r="I41" s="10">
        <v>0</v>
      </c>
      <c r="J41" s="10">
        <v>0</v>
      </c>
      <c r="K41" s="10">
        <v>0</v>
      </c>
      <c r="L41" s="10">
        <v>0</v>
      </c>
      <c r="M41" s="10">
        <v>0</v>
      </c>
      <c r="N41" s="10">
        <v>0</v>
      </c>
      <c r="O41" s="10">
        <v>0</v>
      </c>
      <c r="P41" s="4">
        <v>17407</v>
      </c>
      <c r="Q41" s="4">
        <v>14587</v>
      </c>
      <c r="R41" s="4">
        <v>7680</v>
      </c>
      <c r="S41" s="24">
        <f>SUM(tblSalesData[[#This Row],[FY 2000]:[FY 2012]])</f>
        <v>39674</v>
      </c>
      <c r="T41" s="11">
        <v>9.99</v>
      </c>
      <c r="U41" s="12">
        <f>tblSalesData[[#This Row],[Total Units 
to Date]]*tblSalesData[[#This Row],[Sell Price]]</f>
        <v>396343.26</v>
      </c>
      <c r="W41" s="4"/>
    </row>
    <row r="42" spans="1:23" x14ac:dyDescent="0.2">
      <c r="A42" s="4">
        <v>1008</v>
      </c>
      <c r="B42" s="9" t="s">
        <v>70</v>
      </c>
      <c r="C42" s="4" t="s">
        <v>14</v>
      </c>
      <c r="D42" s="4" t="s">
        <v>28</v>
      </c>
      <c r="E42" s="4" t="s">
        <v>16</v>
      </c>
      <c r="F42" s="10">
        <v>0</v>
      </c>
      <c r="G42" s="10">
        <v>0</v>
      </c>
      <c r="H42" s="10">
        <v>0</v>
      </c>
      <c r="I42" s="10">
        <v>0</v>
      </c>
      <c r="J42" s="10">
        <v>0</v>
      </c>
      <c r="K42" s="10">
        <v>0</v>
      </c>
      <c r="L42" s="10">
        <v>0</v>
      </c>
      <c r="M42" s="10">
        <v>0</v>
      </c>
      <c r="N42" s="10">
        <v>0</v>
      </c>
      <c r="O42" s="10">
        <v>0</v>
      </c>
      <c r="P42" s="4">
        <v>0</v>
      </c>
      <c r="Q42" s="4">
        <v>0</v>
      </c>
      <c r="R42" s="10">
        <v>564979</v>
      </c>
      <c r="S42" s="24">
        <f>SUM(tblSalesData[[#This Row],[FY 2000]:[FY 2012]])</f>
        <v>564979</v>
      </c>
      <c r="T42" s="11">
        <v>1.49</v>
      </c>
      <c r="U42" s="12">
        <f>tblSalesData[[#This Row],[Total Units 
to Date]]*tblSalesData[[#This Row],[Sell Price]]</f>
        <v>841818.71</v>
      </c>
      <c r="W42" s="4"/>
    </row>
    <row r="43" spans="1:23" x14ac:dyDescent="0.2">
      <c r="A43" s="4">
        <v>1008</v>
      </c>
      <c r="B43" s="9" t="s">
        <v>71</v>
      </c>
      <c r="C43" s="4" t="s">
        <v>13</v>
      </c>
      <c r="D43" s="4" t="s">
        <v>28</v>
      </c>
      <c r="E43" s="4" t="s">
        <v>19</v>
      </c>
      <c r="F43" s="10">
        <v>0</v>
      </c>
      <c r="G43" s="10">
        <v>0</v>
      </c>
      <c r="H43" s="10">
        <v>0</v>
      </c>
      <c r="I43" s="10">
        <v>0</v>
      </c>
      <c r="J43" s="10">
        <v>0</v>
      </c>
      <c r="K43" s="10">
        <v>0</v>
      </c>
      <c r="L43" s="10">
        <v>0</v>
      </c>
      <c r="M43" s="10">
        <v>0</v>
      </c>
      <c r="N43" s="10">
        <v>0</v>
      </c>
      <c r="O43" s="10">
        <v>0</v>
      </c>
      <c r="P43" s="4">
        <v>0</v>
      </c>
      <c r="Q43" s="4">
        <v>20161</v>
      </c>
      <c r="R43" s="10">
        <v>13370</v>
      </c>
      <c r="S43" s="24">
        <f>SUM(tblSalesData[[#This Row],[FY 2000]:[FY 2012]])</f>
        <v>33531</v>
      </c>
      <c r="T43" s="11">
        <v>3.99</v>
      </c>
      <c r="U43" s="12">
        <f>tblSalesData[[#This Row],[Total Units 
to Date]]*tblSalesData[[#This Row],[Sell Price]]</f>
        <v>133788.69</v>
      </c>
      <c r="W43" s="4"/>
    </row>
    <row r="44" spans="1:23" x14ac:dyDescent="0.2">
      <c r="A44" s="4">
        <v>1008</v>
      </c>
      <c r="B44" s="9" t="s">
        <v>72</v>
      </c>
      <c r="C44" s="4" t="s">
        <v>26</v>
      </c>
      <c r="D44" s="4" t="s">
        <v>28</v>
      </c>
      <c r="E44" s="4" t="s">
        <v>17</v>
      </c>
      <c r="F44" s="10">
        <v>0</v>
      </c>
      <c r="G44" s="10">
        <v>0</v>
      </c>
      <c r="H44" s="10">
        <v>0</v>
      </c>
      <c r="I44" s="10">
        <v>0</v>
      </c>
      <c r="J44" s="10">
        <v>0</v>
      </c>
      <c r="K44" s="10">
        <v>0</v>
      </c>
      <c r="L44" s="10">
        <v>0</v>
      </c>
      <c r="M44" s="10">
        <v>0</v>
      </c>
      <c r="N44" s="10">
        <v>0</v>
      </c>
      <c r="O44" s="10">
        <v>0</v>
      </c>
      <c r="P44" s="4">
        <v>0</v>
      </c>
      <c r="Q44" s="4">
        <v>110547</v>
      </c>
      <c r="R44" s="10">
        <v>142011</v>
      </c>
      <c r="S44" s="24">
        <f>SUM(tblSalesData[[#This Row],[FY 2000]:[FY 2012]])</f>
        <v>252558</v>
      </c>
      <c r="T44" s="11">
        <v>1.99</v>
      </c>
      <c r="U44" s="12">
        <f>tblSalesData[[#This Row],[Total Units 
to Date]]*tblSalesData[[#This Row],[Sell Price]]</f>
        <v>502590.42</v>
      </c>
      <c r="W44" s="4"/>
    </row>
    <row r="45" spans="1:23" x14ac:dyDescent="0.2">
      <c r="A45" s="4">
        <v>1008</v>
      </c>
      <c r="B45" s="9" t="s">
        <v>73</v>
      </c>
      <c r="C45" s="4" t="s">
        <v>15</v>
      </c>
      <c r="D45" s="4" t="s">
        <v>28</v>
      </c>
      <c r="E45" s="4" t="s">
        <v>19</v>
      </c>
      <c r="F45" s="10">
        <v>0</v>
      </c>
      <c r="G45" s="10">
        <v>0</v>
      </c>
      <c r="H45" s="10">
        <v>0</v>
      </c>
      <c r="I45" s="10">
        <v>0</v>
      </c>
      <c r="J45" s="10">
        <v>0</v>
      </c>
      <c r="K45" s="10">
        <v>0</v>
      </c>
      <c r="L45" s="10">
        <v>0</v>
      </c>
      <c r="M45" s="10">
        <v>0</v>
      </c>
      <c r="N45" s="10">
        <v>0</v>
      </c>
      <c r="O45" s="10">
        <v>0</v>
      </c>
      <c r="P45" s="4">
        <v>0</v>
      </c>
      <c r="Q45" s="4">
        <v>0</v>
      </c>
      <c r="R45" s="10">
        <v>531</v>
      </c>
      <c r="S45" s="24">
        <f>SUM(tblSalesData[[#This Row],[FY 2000]:[FY 2012]])</f>
        <v>531</v>
      </c>
      <c r="T45" s="11">
        <v>3.99</v>
      </c>
      <c r="U45" s="12">
        <f>tblSalesData[[#This Row],[Total Units 
to Date]]*tblSalesData[[#This Row],[Sell Price]]</f>
        <v>2118.69</v>
      </c>
      <c r="W45" s="4"/>
    </row>
    <row r="46" spans="1:23" x14ac:dyDescent="0.2">
      <c r="A46" s="4">
        <v>1008</v>
      </c>
      <c r="B46" s="9" t="s">
        <v>74</v>
      </c>
      <c r="C46" s="4" t="s">
        <v>13</v>
      </c>
      <c r="D46" s="4" t="s">
        <v>28</v>
      </c>
      <c r="E46" s="4" t="s">
        <v>18</v>
      </c>
      <c r="F46" s="10">
        <v>0</v>
      </c>
      <c r="G46" s="10">
        <v>0</v>
      </c>
      <c r="H46" s="10">
        <v>0</v>
      </c>
      <c r="I46" s="10">
        <v>0</v>
      </c>
      <c r="J46" s="10">
        <v>0</v>
      </c>
      <c r="K46" s="10">
        <v>0</v>
      </c>
      <c r="L46" s="10">
        <v>0</v>
      </c>
      <c r="M46" s="10">
        <v>0</v>
      </c>
      <c r="N46" s="10">
        <v>0</v>
      </c>
      <c r="O46" s="10">
        <v>0</v>
      </c>
      <c r="P46" s="4">
        <v>0</v>
      </c>
      <c r="Q46" s="4">
        <v>0</v>
      </c>
      <c r="R46" s="10">
        <v>15312</v>
      </c>
      <c r="S46" s="24">
        <f>SUM(tblSalesData[[#This Row],[FY 2000]:[FY 2012]])</f>
        <v>15312</v>
      </c>
      <c r="T46" s="11">
        <v>0.99</v>
      </c>
      <c r="U46" s="12">
        <f>tblSalesData[[#This Row],[Total Units 
to Date]]*tblSalesData[[#This Row],[Sell Price]]</f>
        <v>15158.88</v>
      </c>
      <c r="W46" s="4"/>
    </row>
    <row r="47" spans="1:23" x14ac:dyDescent="0.2">
      <c r="A47" s="4">
        <v>1008</v>
      </c>
      <c r="B47" s="9" t="s">
        <v>75</v>
      </c>
      <c r="C47" s="4" t="s">
        <v>15</v>
      </c>
      <c r="D47" s="4" t="s">
        <v>27</v>
      </c>
      <c r="E47" s="4" t="s">
        <v>18</v>
      </c>
      <c r="F47" s="10">
        <v>0</v>
      </c>
      <c r="G47" s="10">
        <v>0</v>
      </c>
      <c r="H47" s="10">
        <v>0</v>
      </c>
      <c r="I47" s="10">
        <v>0</v>
      </c>
      <c r="J47" s="10">
        <v>0</v>
      </c>
      <c r="K47" s="10">
        <v>0</v>
      </c>
      <c r="L47" s="10">
        <v>0</v>
      </c>
      <c r="M47" s="10">
        <v>0</v>
      </c>
      <c r="N47" s="10">
        <v>0</v>
      </c>
      <c r="O47" s="10">
        <v>0</v>
      </c>
      <c r="P47" s="4">
        <v>0</v>
      </c>
      <c r="Q47" s="4">
        <v>0</v>
      </c>
      <c r="R47" s="4">
        <v>15131</v>
      </c>
      <c r="S47" s="24">
        <f>SUM(tblSalesData[[#This Row],[FY 2000]:[FY 2012]])</f>
        <v>15131</v>
      </c>
      <c r="T47" s="11">
        <v>9.99</v>
      </c>
      <c r="U47" s="12">
        <f>tblSalesData[[#This Row],[Total Units 
to Date]]*tblSalesData[[#This Row],[Sell Price]]</f>
        <v>151158.69</v>
      </c>
      <c r="W47" s="4"/>
    </row>
    <row r="48" spans="1:23" x14ac:dyDescent="0.2">
      <c r="A48" s="4">
        <v>1008</v>
      </c>
      <c r="B48" s="9" t="s">
        <v>76</v>
      </c>
      <c r="C48" s="4" t="s">
        <v>26</v>
      </c>
      <c r="D48" s="4" t="s">
        <v>27</v>
      </c>
      <c r="E48" s="4" t="s">
        <v>19</v>
      </c>
      <c r="F48" s="10">
        <v>0</v>
      </c>
      <c r="G48" s="10">
        <v>0</v>
      </c>
      <c r="H48" s="10">
        <v>0</v>
      </c>
      <c r="I48" s="10">
        <v>0</v>
      </c>
      <c r="J48" s="10">
        <v>0</v>
      </c>
      <c r="K48" s="10">
        <v>0</v>
      </c>
      <c r="L48" s="10">
        <v>0</v>
      </c>
      <c r="M48" s="10">
        <v>0</v>
      </c>
      <c r="N48" s="10">
        <v>0</v>
      </c>
      <c r="O48" s="10">
        <v>0</v>
      </c>
      <c r="P48" s="4">
        <v>0</v>
      </c>
      <c r="Q48" s="4">
        <v>0</v>
      </c>
      <c r="R48" s="4">
        <v>9039</v>
      </c>
      <c r="S48" s="24">
        <f>SUM(tblSalesData[[#This Row],[FY 2000]:[FY 2012]])</f>
        <v>9039</v>
      </c>
      <c r="T48" s="11">
        <v>15.99</v>
      </c>
      <c r="U48" s="12">
        <f>tblSalesData[[#This Row],[Total Units 
to Date]]*tblSalesData[[#This Row],[Sell Price]]</f>
        <v>144533.61000000002</v>
      </c>
      <c r="W48" s="4"/>
    </row>
    <row r="49" spans="1:23" x14ac:dyDescent="0.2">
      <c r="A49" s="4">
        <v>1008</v>
      </c>
      <c r="B49" s="9" t="s">
        <v>76</v>
      </c>
      <c r="C49" s="4" t="s">
        <v>14</v>
      </c>
      <c r="D49" s="4" t="s">
        <v>27</v>
      </c>
      <c r="E49" s="4" t="s">
        <v>16</v>
      </c>
      <c r="F49" s="10">
        <v>0</v>
      </c>
      <c r="G49" s="10">
        <v>0</v>
      </c>
      <c r="H49" s="10">
        <v>0</v>
      </c>
      <c r="I49" s="10">
        <v>0</v>
      </c>
      <c r="J49" s="10">
        <v>0</v>
      </c>
      <c r="K49" s="10">
        <v>0</v>
      </c>
      <c r="L49" s="10">
        <v>0</v>
      </c>
      <c r="M49" s="10">
        <v>0</v>
      </c>
      <c r="N49" s="10">
        <v>0</v>
      </c>
      <c r="O49" s="10">
        <v>0</v>
      </c>
      <c r="P49" s="4">
        <v>0</v>
      </c>
      <c r="Q49" s="4">
        <v>4859</v>
      </c>
      <c r="R49" s="4">
        <v>8073</v>
      </c>
      <c r="S49" s="24">
        <f>SUM(tblSalesData[[#This Row],[FY 2000]:[FY 2012]])</f>
        <v>12932</v>
      </c>
      <c r="T49" s="11">
        <v>11.99</v>
      </c>
      <c r="U49" s="12">
        <f>tblSalesData[[#This Row],[Total Units 
to Date]]*tblSalesData[[#This Row],[Sell Price]]</f>
        <v>155054.68</v>
      </c>
      <c r="W49" s="4"/>
    </row>
    <row r="50" spans="1:23" x14ac:dyDescent="0.2">
      <c r="A50" s="4">
        <v>1008</v>
      </c>
      <c r="B50" s="9" t="s">
        <v>76</v>
      </c>
      <c r="C50" s="4" t="s">
        <v>14</v>
      </c>
      <c r="D50" s="4" t="s">
        <v>27</v>
      </c>
      <c r="E50" s="4" t="s">
        <v>19</v>
      </c>
      <c r="F50" s="10">
        <v>0</v>
      </c>
      <c r="G50" s="10">
        <v>0</v>
      </c>
      <c r="H50" s="10">
        <v>0</v>
      </c>
      <c r="I50" s="10">
        <v>0</v>
      </c>
      <c r="J50" s="10">
        <v>0</v>
      </c>
      <c r="K50" s="10">
        <v>0</v>
      </c>
      <c r="L50" s="10">
        <v>0</v>
      </c>
      <c r="M50" s="10">
        <v>0</v>
      </c>
      <c r="N50" s="10">
        <v>0</v>
      </c>
      <c r="O50" s="10">
        <v>0</v>
      </c>
      <c r="P50" s="4">
        <v>0</v>
      </c>
      <c r="Q50" s="4">
        <v>0</v>
      </c>
      <c r="R50" s="4">
        <v>5328</v>
      </c>
      <c r="S50" s="24">
        <f>SUM(tblSalesData[[#This Row],[FY 2000]:[FY 2012]])</f>
        <v>5328</v>
      </c>
      <c r="T50" s="11">
        <v>15.99</v>
      </c>
      <c r="U50" s="12">
        <f>tblSalesData[[#This Row],[Total Units 
to Date]]*tblSalesData[[#This Row],[Sell Price]]</f>
        <v>85194.72</v>
      </c>
      <c r="W50" s="4"/>
    </row>
    <row r="51" spans="1:23" x14ac:dyDescent="0.2">
      <c r="A51" s="4">
        <v>1008</v>
      </c>
      <c r="B51" s="9" t="s">
        <v>76</v>
      </c>
      <c r="C51" s="4" t="s">
        <v>26</v>
      </c>
      <c r="D51" s="4" t="s">
        <v>28</v>
      </c>
      <c r="E51" s="4" t="s">
        <v>17</v>
      </c>
      <c r="F51" s="10">
        <v>0</v>
      </c>
      <c r="G51" s="10">
        <v>0</v>
      </c>
      <c r="H51" s="10">
        <v>0</v>
      </c>
      <c r="I51" s="10">
        <v>0</v>
      </c>
      <c r="J51" s="10">
        <v>0</v>
      </c>
      <c r="K51" s="10">
        <v>0</v>
      </c>
      <c r="L51" s="10">
        <v>0</v>
      </c>
      <c r="M51" s="10">
        <v>0</v>
      </c>
      <c r="N51" s="10">
        <v>0</v>
      </c>
      <c r="O51" s="10">
        <v>0</v>
      </c>
      <c r="P51" s="4">
        <v>0</v>
      </c>
      <c r="Q51" s="4">
        <v>0</v>
      </c>
      <c r="R51" s="10">
        <v>35537</v>
      </c>
      <c r="S51" s="24">
        <f>SUM(tblSalesData[[#This Row],[FY 2000]:[FY 2012]])</f>
        <v>35537</v>
      </c>
      <c r="T51" s="11">
        <v>1.99</v>
      </c>
      <c r="U51" s="12">
        <f>tblSalesData[[#This Row],[Total Units 
to Date]]*tblSalesData[[#This Row],[Sell Price]]</f>
        <v>70718.63</v>
      </c>
      <c r="W51" s="4"/>
    </row>
    <row r="52" spans="1:23" x14ac:dyDescent="0.2">
      <c r="A52" s="4">
        <v>1008</v>
      </c>
      <c r="B52" s="9" t="s">
        <v>76</v>
      </c>
      <c r="C52" s="4" t="s">
        <v>15</v>
      </c>
      <c r="D52" s="4" t="s">
        <v>28</v>
      </c>
      <c r="E52" s="4" t="s">
        <v>16</v>
      </c>
      <c r="F52" s="10">
        <v>0</v>
      </c>
      <c r="G52" s="10">
        <v>0</v>
      </c>
      <c r="H52" s="10">
        <v>0</v>
      </c>
      <c r="I52" s="10">
        <v>0</v>
      </c>
      <c r="J52" s="10">
        <v>0</v>
      </c>
      <c r="K52" s="10">
        <v>0</v>
      </c>
      <c r="L52" s="10">
        <v>0</v>
      </c>
      <c r="M52" s="10">
        <v>0</v>
      </c>
      <c r="N52" s="10">
        <v>0</v>
      </c>
      <c r="O52" s="10">
        <v>0</v>
      </c>
      <c r="P52" s="4">
        <v>0</v>
      </c>
      <c r="Q52" s="4">
        <v>4683</v>
      </c>
      <c r="R52" s="10">
        <v>16517</v>
      </c>
      <c r="S52" s="24">
        <f>SUM(tblSalesData[[#This Row],[FY 2000]:[FY 2012]])</f>
        <v>21200</v>
      </c>
      <c r="T52" s="11">
        <v>1.49</v>
      </c>
      <c r="U52" s="12">
        <f>tblSalesData[[#This Row],[Total Units 
to Date]]*tblSalesData[[#This Row],[Sell Price]]</f>
        <v>31588</v>
      </c>
      <c r="W52" s="4"/>
    </row>
    <row r="53" spans="1:23" x14ac:dyDescent="0.2">
      <c r="A53" s="4">
        <v>1008</v>
      </c>
      <c r="B53" s="9" t="s">
        <v>76</v>
      </c>
      <c r="C53" s="4" t="s">
        <v>15</v>
      </c>
      <c r="D53" s="4" t="s">
        <v>28</v>
      </c>
      <c r="E53" s="4" t="s">
        <v>17</v>
      </c>
      <c r="F53" s="10">
        <v>0</v>
      </c>
      <c r="G53" s="10">
        <v>0</v>
      </c>
      <c r="H53" s="10">
        <v>0</v>
      </c>
      <c r="I53" s="10">
        <v>0</v>
      </c>
      <c r="J53" s="10">
        <v>0</v>
      </c>
      <c r="K53" s="10">
        <v>0</v>
      </c>
      <c r="L53" s="10">
        <v>0</v>
      </c>
      <c r="M53" s="10">
        <v>0</v>
      </c>
      <c r="N53" s="10">
        <v>0</v>
      </c>
      <c r="O53" s="10">
        <v>0</v>
      </c>
      <c r="P53" s="4">
        <v>0</v>
      </c>
      <c r="Q53" s="4">
        <v>0</v>
      </c>
      <c r="R53" s="10">
        <v>32933</v>
      </c>
      <c r="S53" s="24">
        <f>SUM(tblSalesData[[#This Row],[FY 2000]:[FY 2012]])</f>
        <v>32933</v>
      </c>
      <c r="T53" s="11">
        <v>1.99</v>
      </c>
      <c r="U53" s="12">
        <f>tblSalesData[[#This Row],[Total Units 
to Date]]*tblSalesData[[#This Row],[Sell Price]]</f>
        <v>65536.67</v>
      </c>
      <c r="W53" s="4"/>
    </row>
    <row r="54" spans="1:23" x14ac:dyDescent="0.2">
      <c r="A54" s="4">
        <v>1011</v>
      </c>
      <c r="B54" s="9" t="s">
        <v>77</v>
      </c>
      <c r="C54" s="4" t="s">
        <v>13</v>
      </c>
      <c r="D54" s="4" t="s">
        <v>28</v>
      </c>
      <c r="E54" s="4" t="s">
        <v>19</v>
      </c>
      <c r="F54" s="10">
        <v>0</v>
      </c>
      <c r="G54" s="10">
        <v>186</v>
      </c>
      <c r="H54" s="10">
        <v>993</v>
      </c>
      <c r="I54" s="10">
        <v>1120</v>
      </c>
      <c r="J54" s="10">
        <v>1617</v>
      </c>
      <c r="K54" s="10">
        <v>1511</v>
      </c>
      <c r="L54" s="10">
        <v>1781</v>
      </c>
      <c r="M54" s="10">
        <v>2207</v>
      </c>
      <c r="N54" s="10">
        <v>2409</v>
      </c>
      <c r="O54" s="10">
        <v>2407</v>
      </c>
      <c r="P54" s="4">
        <v>1948</v>
      </c>
      <c r="Q54" s="4">
        <v>2855</v>
      </c>
      <c r="R54" s="10">
        <v>4473</v>
      </c>
      <c r="S54" s="24">
        <f>SUM(tblSalesData[[#This Row],[FY 2000]:[FY 2012]])</f>
        <v>23507</v>
      </c>
      <c r="T54" s="11">
        <v>3.99</v>
      </c>
      <c r="U54" s="12">
        <f>tblSalesData[[#This Row],[Total Units 
to Date]]*tblSalesData[[#This Row],[Sell Price]]</f>
        <v>93792.930000000008</v>
      </c>
      <c r="W54" s="4"/>
    </row>
    <row r="55" spans="1:23" x14ac:dyDescent="0.2">
      <c r="A55" s="4">
        <v>1011</v>
      </c>
      <c r="B55" s="9" t="s">
        <v>78</v>
      </c>
      <c r="C55" s="4" t="s">
        <v>13</v>
      </c>
      <c r="D55" s="4" t="s">
        <v>27</v>
      </c>
      <c r="E55" s="4" t="s">
        <v>18</v>
      </c>
      <c r="F55" s="10">
        <v>0</v>
      </c>
      <c r="G55" s="10">
        <v>413</v>
      </c>
      <c r="H55" s="10">
        <v>1000</v>
      </c>
      <c r="I55" s="10">
        <v>1329</v>
      </c>
      <c r="J55" s="10">
        <v>1350</v>
      </c>
      <c r="K55" s="10">
        <v>1860</v>
      </c>
      <c r="L55" s="10">
        <v>1968</v>
      </c>
      <c r="M55" s="10">
        <v>2107</v>
      </c>
      <c r="N55" s="10">
        <v>2318</v>
      </c>
      <c r="O55" s="10">
        <v>2219</v>
      </c>
      <c r="P55" s="4">
        <v>1550</v>
      </c>
      <c r="Q55" s="4">
        <v>1672</v>
      </c>
      <c r="R55" s="4">
        <v>1281</v>
      </c>
      <c r="S55" s="24">
        <f>SUM(tblSalesData[[#This Row],[FY 2000]:[FY 2012]])</f>
        <v>19067</v>
      </c>
      <c r="T55" s="11">
        <v>9.99</v>
      </c>
      <c r="U55" s="12">
        <f>tblSalesData[[#This Row],[Total Units 
to Date]]*tblSalesData[[#This Row],[Sell Price]]</f>
        <v>190479.33000000002</v>
      </c>
      <c r="W55" s="4"/>
    </row>
    <row r="56" spans="1:23" x14ac:dyDescent="0.2">
      <c r="A56" s="4">
        <v>1011</v>
      </c>
      <c r="B56" s="9" t="s">
        <v>79</v>
      </c>
      <c r="C56" s="4" t="s">
        <v>13</v>
      </c>
      <c r="D56" s="4" t="s">
        <v>27</v>
      </c>
      <c r="E56" s="4" t="s">
        <v>19</v>
      </c>
      <c r="F56" s="10">
        <v>0</v>
      </c>
      <c r="G56" s="10">
        <v>150</v>
      </c>
      <c r="H56" s="10">
        <v>854</v>
      </c>
      <c r="I56" s="10">
        <v>872</v>
      </c>
      <c r="J56" s="10">
        <v>1635</v>
      </c>
      <c r="K56" s="10">
        <v>1665</v>
      </c>
      <c r="L56" s="10">
        <v>1366</v>
      </c>
      <c r="M56" s="10">
        <v>2243</v>
      </c>
      <c r="N56" s="10">
        <v>1553</v>
      </c>
      <c r="O56" s="10">
        <v>2471</v>
      </c>
      <c r="P56" s="4">
        <v>1618</v>
      </c>
      <c r="Q56" s="4">
        <v>1740</v>
      </c>
      <c r="R56" s="4">
        <v>1151</v>
      </c>
      <c r="S56" s="24">
        <f>SUM(tblSalesData[[#This Row],[FY 2000]:[FY 2012]])</f>
        <v>17318</v>
      </c>
      <c r="T56" s="11">
        <v>15.99</v>
      </c>
      <c r="U56" s="12">
        <f>tblSalesData[[#This Row],[Total Units 
to Date]]*tblSalesData[[#This Row],[Sell Price]]</f>
        <v>276914.82</v>
      </c>
      <c r="W56" s="4"/>
    </row>
    <row r="57" spans="1:23" x14ac:dyDescent="0.2">
      <c r="A57" s="4">
        <v>1011</v>
      </c>
      <c r="B57" s="9" t="s">
        <v>80</v>
      </c>
      <c r="C57" s="4" t="s">
        <v>13</v>
      </c>
      <c r="D57" s="4" t="s">
        <v>28</v>
      </c>
      <c r="E57" s="4" t="s">
        <v>19</v>
      </c>
      <c r="F57" s="10">
        <v>0</v>
      </c>
      <c r="G57" s="10">
        <v>441</v>
      </c>
      <c r="H57" s="10">
        <v>536</v>
      </c>
      <c r="I57" s="10">
        <v>1418</v>
      </c>
      <c r="J57" s="10">
        <v>1194</v>
      </c>
      <c r="K57" s="10">
        <v>1317</v>
      </c>
      <c r="L57" s="10">
        <v>2024</v>
      </c>
      <c r="M57" s="10">
        <v>1640</v>
      </c>
      <c r="N57" s="10">
        <v>1659</v>
      </c>
      <c r="O57" s="10">
        <v>1729</v>
      </c>
      <c r="P57" s="4">
        <v>2247</v>
      </c>
      <c r="Q57" s="4">
        <v>3184</v>
      </c>
      <c r="R57" s="10">
        <v>3837</v>
      </c>
      <c r="S57" s="24">
        <f>SUM(tblSalesData[[#This Row],[FY 2000]:[FY 2012]])</f>
        <v>21226</v>
      </c>
      <c r="T57" s="11">
        <v>3.99</v>
      </c>
      <c r="U57" s="12">
        <f>tblSalesData[[#This Row],[Total Units 
to Date]]*tblSalesData[[#This Row],[Sell Price]]</f>
        <v>84691.74</v>
      </c>
      <c r="W57" s="4"/>
    </row>
    <row r="58" spans="1:23" x14ac:dyDescent="0.2">
      <c r="A58" s="4">
        <v>1011</v>
      </c>
      <c r="B58" s="9" t="s">
        <v>81</v>
      </c>
      <c r="C58" s="4" t="s">
        <v>13</v>
      </c>
      <c r="D58" s="4" t="s">
        <v>27</v>
      </c>
      <c r="E58" s="4" t="s">
        <v>19</v>
      </c>
      <c r="F58" s="10">
        <v>0</v>
      </c>
      <c r="G58" s="10">
        <v>52</v>
      </c>
      <c r="H58" s="10">
        <v>596</v>
      </c>
      <c r="I58" s="10">
        <v>1427</v>
      </c>
      <c r="J58" s="10">
        <v>1043</v>
      </c>
      <c r="K58" s="10">
        <v>1450</v>
      </c>
      <c r="L58" s="10">
        <v>1905</v>
      </c>
      <c r="M58" s="10">
        <v>1886</v>
      </c>
      <c r="N58" s="10">
        <v>1562</v>
      </c>
      <c r="O58" s="10">
        <v>2056</v>
      </c>
      <c r="P58" s="4">
        <v>2317</v>
      </c>
      <c r="Q58" s="4">
        <v>1442</v>
      </c>
      <c r="R58" s="4">
        <v>1325</v>
      </c>
      <c r="S58" s="24">
        <f>SUM(tblSalesData[[#This Row],[FY 2000]:[FY 2012]])</f>
        <v>17061</v>
      </c>
      <c r="T58" s="11">
        <v>15.99</v>
      </c>
      <c r="U58" s="12">
        <f>tblSalesData[[#This Row],[Total Units 
to Date]]*tblSalesData[[#This Row],[Sell Price]]</f>
        <v>272805.39</v>
      </c>
      <c r="W58" s="4"/>
    </row>
    <row r="59" spans="1:23" x14ac:dyDescent="0.2">
      <c r="A59" s="4">
        <v>1011</v>
      </c>
      <c r="B59" s="9" t="s">
        <v>82</v>
      </c>
      <c r="C59" s="4" t="s">
        <v>13</v>
      </c>
      <c r="D59" s="4" t="s">
        <v>28</v>
      </c>
      <c r="E59" s="4" t="s">
        <v>18</v>
      </c>
      <c r="F59" s="10">
        <v>0</v>
      </c>
      <c r="G59" s="10">
        <v>181</v>
      </c>
      <c r="H59" s="10">
        <v>814</v>
      </c>
      <c r="I59" s="10">
        <v>994</v>
      </c>
      <c r="J59" s="10">
        <v>1041</v>
      </c>
      <c r="K59" s="10">
        <v>1776</v>
      </c>
      <c r="L59" s="10">
        <v>1517</v>
      </c>
      <c r="M59" s="10">
        <v>1962</v>
      </c>
      <c r="N59" s="10">
        <v>1982</v>
      </c>
      <c r="O59" s="10">
        <v>1994</v>
      </c>
      <c r="P59" s="4">
        <v>2007</v>
      </c>
      <c r="Q59" s="4">
        <v>3037</v>
      </c>
      <c r="R59" s="10">
        <v>3831</v>
      </c>
      <c r="S59" s="24">
        <f>SUM(tblSalesData[[#This Row],[FY 2000]:[FY 2012]])</f>
        <v>21136</v>
      </c>
      <c r="T59" s="11">
        <v>0.99</v>
      </c>
      <c r="U59" s="12">
        <f>tblSalesData[[#This Row],[Total Units 
to Date]]*tblSalesData[[#This Row],[Sell Price]]</f>
        <v>20924.64</v>
      </c>
      <c r="W59" s="4"/>
    </row>
    <row r="60" spans="1:23" x14ac:dyDescent="0.2">
      <c r="A60" s="4">
        <v>1011</v>
      </c>
      <c r="B60" s="9" t="s">
        <v>83</v>
      </c>
      <c r="C60" s="4" t="s">
        <v>13</v>
      </c>
      <c r="D60" s="4" t="s">
        <v>28</v>
      </c>
      <c r="E60" s="4" t="s">
        <v>19</v>
      </c>
      <c r="F60" s="10">
        <v>0</v>
      </c>
      <c r="G60" s="10">
        <v>25</v>
      </c>
      <c r="H60" s="10">
        <v>757</v>
      </c>
      <c r="I60" s="10">
        <v>850</v>
      </c>
      <c r="J60" s="10">
        <v>1549</v>
      </c>
      <c r="K60" s="10">
        <v>1914</v>
      </c>
      <c r="L60" s="10">
        <v>1510</v>
      </c>
      <c r="M60" s="10">
        <v>1514</v>
      </c>
      <c r="N60" s="10">
        <v>1709</v>
      </c>
      <c r="O60" s="10">
        <v>2510</v>
      </c>
      <c r="P60" s="4">
        <v>2163</v>
      </c>
      <c r="Q60" s="4">
        <v>2566</v>
      </c>
      <c r="R60" s="10">
        <v>2535</v>
      </c>
      <c r="S60" s="24">
        <f>SUM(tblSalesData[[#This Row],[FY 2000]:[FY 2012]])</f>
        <v>19602</v>
      </c>
      <c r="T60" s="11">
        <v>3.99</v>
      </c>
      <c r="U60" s="12">
        <f>tblSalesData[[#This Row],[Total Units 
to Date]]*tblSalesData[[#This Row],[Sell Price]]</f>
        <v>78211.98000000001</v>
      </c>
      <c r="W60" s="4"/>
    </row>
    <row r="61" spans="1:23" x14ac:dyDescent="0.2">
      <c r="A61" s="4">
        <v>1011</v>
      </c>
      <c r="B61" s="9" t="s">
        <v>84</v>
      </c>
      <c r="C61" s="4" t="s">
        <v>15</v>
      </c>
      <c r="D61" s="4" t="s">
        <v>27</v>
      </c>
      <c r="E61" s="4" t="s">
        <v>19</v>
      </c>
      <c r="F61" s="10">
        <v>0</v>
      </c>
      <c r="G61" s="10">
        <v>0</v>
      </c>
      <c r="H61" s="10">
        <v>0</v>
      </c>
      <c r="I61" s="10">
        <v>0</v>
      </c>
      <c r="J61" s="10">
        <v>0</v>
      </c>
      <c r="K61" s="10">
        <v>0</v>
      </c>
      <c r="L61" s="10">
        <v>1604</v>
      </c>
      <c r="M61" s="10">
        <v>1638</v>
      </c>
      <c r="N61" s="10">
        <v>2364</v>
      </c>
      <c r="O61" s="10">
        <v>1993</v>
      </c>
      <c r="P61" s="4">
        <v>1871</v>
      </c>
      <c r="Q61" s="4">
        <v>1422</v>
      </c>
      <c r="R61" s="4">
        <v>893</v>
      </c>
      <c r="S61" s="24">
        <f>SUM(tblSalesData[[#This Row],[FY 2000]:[FY 2012]])</f>
        <v>11785</v>
      </c>
      <c r="T61" s="11">
        <v>15.99</v>
      </c>
      <c r="U61" s="12">
        <f>tblSalesData[[#This Row],[Total Units 
to Date]]*tblSalesData[[#This Row],[Sell Price]]</f>
        <v>188442.15</v>
      </c>
      <c r="V61" s="2"/>
      <c r="W61" s="4"/>
    </row>
    <row r="62" spans="1:23" x14ac:dyDescent="0.2">
      <c r="A62" s="4">
        <v>1011</v>
      </c>
      <c r="B62" s="9" t="s">
        <v>85</v>
      </c>
      <c r="C62" s="4" t="s">
        <v>15</v>
      </c>
      <c r="D62" s="4" t="s">
        <v>27</v>
      </c>
      <c r="E62" s="4" t="s">
        <v>16</v>
      </c>
      <c r="F62" s="10">
        <v>0</v>
      </c>
      <c r="G62" s="10">
        <v>0</v>
      </c>
      <c r="H62" s="10">
        <v>0</v>
      </c>
      <c r="I62" s="10">
        <v>0</v>
      </c>
      <c r="J62" s="10">
        <v>0</v>
      </c>
      <c r="K62" s="10">
        <v>0</v>
      </c>
      <c r="L62" s="10">
        <v>0</v>
      </c>
      <c r="M62" s="10">
        <v>1861</v>
      </c>
      <c r="N62" s="10">
        <v>1682</v>
      </c>
      <c r="O62" s="10">
        <v>2023</v>
      </c>
      <c r="P62" s="4">
        <v>1597</v>
      </c>
      <c r="Q62" s="4">
        <v>1576</v>
      </c>
      <c r="R62" s="4">
        <v>1452</v>
      </c>
      <c r="S62" s="24">
        <f>SUM(tblSalesData[[#This Row],[FY 2000]:[FY 2012]])</f>
        <v>10191</v>
      </c>
      <c r="T62" s="11">
        <v>11.99</v>
      </c>
      <c r="U62" s="12">
        <f>tblSalesData[[#This Row],[Total Units 
to Date]]*tblSalesData[[#This Row],[Sell Price]]</f>
        <v>122190.09</v>
      </c>
      <c r="V62" s="2"/>
      <c r="W62" s="4"/>
    </row>
    <row r="63" spans="1:23" x14ac:dyDescent="0.2">
      <c r="A63" s="4">
        <v>1011</v>
      </c>
      <c r="B63" s="9" t="s">
        <v>85</v>
      </c>
      <c r="C63" s="4" t="s">
        <v>15</v>
      </c>
      <c r="D63" s="4" t="s">
        <v>28</v>
      </c>
      <c r="E63" s="4" t="s">
        <v>17</v>
      </c>
      <c r="F63" s="10">
        <v>0</v>
      </c>
      <c r="G63" s="10">
        <v>0</v>
      </c>
      <c r="H63" s="10">
        <v>0</v>
      </c>
      <c r="I63" s="10">
        <v>0</v>
      </c>
      <c r="J63" s="10">
        <v>0</v>
      </c>
      <c r="K63" s="10">
        <v>0</v>
      </c>
      <c r="L63" s="10">
        <v>0</v>
      </c>
      <c r="M63" s="10">
        <v>0</v>
      </c>
      <c r="N63" s="10">
        <v>2313</v>
      </c>
      <c r="O63" s="10">
        <v>1935</v>
      </c>
      <c r="P63" s="4">
        <v>2441</v>
      </c>
      <c r="Q63" s="4">
        <v>3309</v>
      </c>
      <c r="R63" s="10">
        <v>3328</v>
      </c>
      <c r="S63" s="24">
        <f>SUM(tblSalesData[[#This Row],[FY 2000]:[FY 2012]])</f>
        <v>13326</v>
      </c>
      <c r="T63" s="11">
        <v>1.99</v>
      </c>
      <c r="U63" s="12">
        <f>tblSalesData[[#This Row],[Total Units 
to Date]]*tblSalesData[[#This Row],[Sell Price]]</f>
        <v>26518.74</v>
      </c>
      <c r="V63" s="2"/>
      <c r="W63" s="4"/>
    </row>
    <row r="64" spans="1:23" x14ac:dyDescent="0.2">
      <c r="A64" s="4">
        <v>1011</v>
      </c>
      <c r="B64" s="9" t="s">
        <v>86</v>
      </c>
      <c r="C64" s="4" t="s">
        <v>26</v>
      </c>
      <c r="D64" s="4" t="s">
        <v>27</v>
      </c>
      <c r="E64" s="4" t="s">
        <v>19</v>
      </c>
      <c r="F64" s="10">
        <v>0</v>
      </c>
      <c r="G64" s="10">
        <v>0</v>
      </c>
      <c r="H64" s="10">
        <v>0</v>
      </c>
      <c r="I64" s="10">
        <v>0</v>
      </c>
      <c r="J64" s="10">
        <v>0</v>
      </c>
      <c r="K64" s="10">
        <v>0</v>
      </c>
      <c r="L64" s="10">
        <v>0</v>
      </c>
      <c r="M64" s="10">
        <v>0</v>
      </c>
      <c r="N64" s="10">
        <v>0</v>
      </c>
      <c r="O64" s="10">
        <v>0</v>
      </c>
      <c r="P64" s="4">
        <v>2165</v>
      </c>
      <c r="Q64" s="4">
        <v>1695</v>
      </c>
      <c r="R64" s="4">
        <v>1097</v>
      </c>
      <c r="S64" s="24">
        <f>SUM(tblSalesData[[#This Row],[FY 2000]:[FY 2012]])</f>
        <v>4957</v>
      </c>
      <c r="T64" s="11">
        <v>15.99</v>
      </c>
      <c r="U64" s="12">
        <f>tblSalesData[[#This Row],[Total Units 
to Date]]*tblSalesData[[#This Row],[Sell Price]]</f>
        <v>79262.430000000008</v>
      </c>
      <c r="V64" s="2"/>
      <c r="W64" s="4"/>
    </row>
    <row r="65" spans="1:23" x14ac:dyDescent="0.2">
      <c r="A65" s="4">
        <v>1012</v>
      </c>
      <c r="B65" s="9" t="s">
        <v>87</v>
      </c>
      <c r="C65" s="4" t="s">
        <v>15</v>
      </c>
      <c r="D65" s="4" t="s">
        <v>27</v>
      </c>
      <c r="E65" s="4" t="s">
        <v>18</v>
      </c>
      <c r="F65" s="10">
        <v>0</v>
      </c>
      <c r="G65" s="10">
        <v>0</v>
      </c>
      <c r="H65" s="10">
        <v>0</v>
      </c>
      <c r="I65" s="10">
        <v>0</v>
      </c>
      <c r="J65" s="10">
        <v>0</v>
      </c>
      <c r="K65" s="10">
        <v>0</v>
      </c>
      <c r="L65" s="10">
        <v>0</v>
      </c>
      <c r="M65" s="10">
        <v>0</v>
      </c>
      <c r="N65" s="10">
        <v>0</v>
      </c>
      <c r="O65" s="10">
        <v>204090</v>
      </c>
      <c r="P65" s="4">
        <v>141378</v>
      </c>
      <c r="Q65" s="4">
        <v>477226</v>
      </c>
      <c r="R65" s="4">
        <v>376281</v>
      </c>
      <c r="S65" s="24">
        <f>SUM(tblSalesData[[#This Row],[FY 2000]:[FY 2012]])</f>
        <v>1198975</v>
      </c>
      <c r="T65" s="11">
        <v>9.99</v>
      </c>
      <c r="U65" s="12">
        <f>tblSalesData[[#This Row],[Total Units 
to Date]]*tblSalesData[[#This Row],[Sell Price]]</f>
        <v>11977760.25</v>
      </c>
      <c r="V65" s="2"/>
      <c r="W65" s="4"/>
    </row>
    <row r="66" spans="1:23" x14ac:dyDescent="0.2">
      <c r="A66" s="4">
        <v>1012</v>
      </c>
      <c r="B66" s="9" t="s">
        <v>87</v>
      </c>
      <c r="C66" s="4" t="s">
        <v>15</v>
      </c>
      <c r="D66" s="4" t="s">
        <v>28</v>
      </c>
      <c r="E66" s="4" t="s">
        <v>16</v>
      </c>
      <c r="F66" s="10">
        <v>0</v>
      </c>
      <c r="G66" s="10">
        <v>0</v>
      </c>
      <c r="H66" s="10">
        <v>0</v>
      </c>
      <c r="I66" s="10">
        <v>0</v>
      </c>
      <c r="J66" s="10">
        <v>0</v>
      </c>
      <c r="K66" s="10">
        <v>0</v>
      </c>
      <c r="L66" s="10">
        <v>0</v>
      </c>
      <c r="M66" s="10">
        <v>0</v>
      </c>
      <c r="N66" s="10">
        <v>0</v>
      </c>
      <c r="O66" s="10">
        <v>197444</v>
      </c>
      <c r="P66" s="4">
        <v>465142</v>
      </c>
      <c r="Q66" s="4">
        <v>638497</v>
      </c>
      <c r="R66" s="10">
        <v>1199412</v>
      </c>
      <c r="S66" s="24">
        <f>SUM(tblSalesData[[#This Row],[FY 2000]:[FY 2012]])</f>
        <v>2500495</v>
      </c>
      <c r="T66" s="11">
        <v>1.49</v>
      </c>
      <c r="U66" s="12">
        <f>tblSalesData[[#This Row],[Total Units 
to Date]]*tblSalesData[[#This Row],[Sell Price]]</f>
        <v>3725737.55</v>
      </c>
      <c r="V66" s="2"/>
      <c r="W66" s="4"/>
    </row>
    <row r="67" spans="1:23" x14ac:dyDescent="0.2">
      <c r="A67" s="4">
        <v>1012</v>
      </c>
      <c r="B67" s="9" t="s">
        <v>87</v>
      </c>
      <c r="C67" s="4" t="s">
        <v>15</v>
      </c>
      <c r="D67" s="4" t="s">
        <v>28</v>
      </c>
      <c r="E67" s="4" t="s">
        <v>17</v>
      </c>
      <c r="F67" s="10">
        <v>0</v>
      </c>
      <c r="G67" s="10">
        <v>0</v>
      </c>
      <c r="H67" s="10">
        <v>0</v>
      </c>
      <c r="I67" s="10">
        <v>0</v>
      </c>
      <c r="J67" s="10">
        <v>0</v>
      </c>
      <c r="K67" s="10">
        <v>0</v>
      </c>
      <c r="L67" s="10">
        <v>0</v>
      </c>
      <c r="M67" s="10">
        <v>0</v>
      </c>
      <c r="N67" s="10">
        <v>0</v>
      </c>
      <c r="O67" s="10">
        <v>145413</v>
      </c>
      <c r="P67" s="4">
        <v>551950</v>
      </c>
      <c r="Q67" s="4">
        <v>493740</v>
      </c>
      <c r="R67" s="10">
        <v>1067142</v>
      </c>
      <c r="S67" s="24">
        <f>SUM(tblSalesData[[#This Row],[FY 2000]:[FY 2012]])</f>
        <v>2258245</v>
      </c>
      <c r="T67" s="11">
        <v>1.99</v>
      </c>
      <c r="U67" s="12">
        <f>tblSalesData[[#This Row],[Total Units 
to Date]]*tblSalesData[[#This Row],[Sell Price]]</f>
        <v>4493907.55</v>
      </c>
      <c r="V67" s="2"/>
      <c r="W67" s="4"/>
    </row>
    <row r="68" spans="1:23" x14ac:dyDescent="0.2">
      <c r="A68" s="4">
        <v>1012</v>
      </c>
      <c r="B68" s="9" t="s">
        <v>88</v>
      </c>
      <c r="C68" s="4" t="s">
        <v>14</v>
      </c>
      <c r="D68" s="4" t="s">
        <v>28</v>
      </c>
      <c r="E68" s="4" t="s">
        <v>16</v>
      </c>
      <c r="F68" s="10">
        <v>0</v>
      </c>
      <c r="G68" s="10">
        <v>0</v>
      </c>
      <c r="H68" s="10">
        <v>0</v>
      </c>
      <c r="I68" s="10">
        <v>0</v>
      </c>
      <c r="J68" s="10">
        <v>0</v>
      </c>
      <c r="K68" s="10">
        <v>0</v>
      </c>
      <c r="L68" s="10">
        <v>0</v>
      </c>
      <c r="M68" s="10">
        <v>0</v>
      </c>
      <c r="N68" s="10">
        <v>0</v>
      </c>
      <c r="O68" s="10">
        <v>244100</v>
      </c>
      <c r="P68" s="4">
        <v>466534</v>
      </c>
      <c r="Q68" s="4">
        <v>492094</v>
      </c>
      <c r="R68" s="10">
        <v>1155817</v>
      </c>
      <c r="S68" s="24">
        <f>SUM(tblSalesData[[#This Row],[FY 2000]:[FY 2012]])</f>
        <v>2358545</v>
      </c>
      <c r="T68" s="11">
        <v>1.49</v>
      </c>
      <c r="U68" s="12">
        <f>tblSalesData[[#This Row],[Total Units 
to Date]]*tblSalesData[[#This Row],[Sell Price]]</f>
        <v>3514232.05</v>
      </c>
      <c r="V68" s="2"/>
      <c r="W68" s="4"/>
    </row>
    <row r="69" spans="1:23" x14ac:dyDescent="0.2">
      <c r="A69" s="4">
        <v>1012</v>
      </c>
      <c r="B69" s="9" t="s">
        <v>89</v>
      </c>
      <c r="C69" s="4" t="s">
        <v>14</v>
      </c>
      <c r="D69" s="4" t="s">
        <v>27</v>
      </c>
      <c r="E69" s="4" t="s">
        <v>18</v>
      </c>
      <c r="F69" s="10">
        <v>0</v>
      </c>
      <c r="G69" s="10">
        <v>0</v>
      </c>
      <c r="H69" s="10">
        <v>0</v>
      </c>
      <c r="I69" s="10">
        <v>0</v>
      </c>
      <c r="J69" s="10">
        <v>0</v>
      </c>
      <c r="K69" s="10">
        <v>0</v>
      </c>
      <c r="L69" s="10">
        <v>0</v>
      </c>
      <c r="M69" s="10">
        <v>0</v>
      </c>
      <c r="N69" s="10">
        <v>0</v>
      </c>
      <c r="O69" s="10">
        <v>103954</v>
      </c>
      <c r="P69" s="4">
        <v>304633</v>
      </c>
      <c r="Q69" s="4">
        <v>324118</v>
      </c>
      <c r="R69" s="4">
        <v>369359</v>
      </c>
      <c r="S69" s="24">
        <f>SUM(tblSalesData[[#This Row],[FY 2000]:[FY 2012]])</f>
        <v>1102064</v>
      </c>
      <c r="T69" s="11">
        <v>9.99</v>
      </c>
      <c r="U69" s="12">
        <f>tblSalesData[[#This Row],[Total Units 
to Date]]*tblSalesData[[#This Row],[Sell Price]]</f>
        <v>11009619.359999999</v>
      </c>
      <c r="V69" s="3"/>
      <c r="W69" s="4"/>
    </row>
    <row r="70" spans="1:23" x14ac:dyDescent="0.2">
      <c r="A70" s="4">
        <v>1012</v>
      </c>
      <c r="B70" s="9" t="s">
        <v>90</v>
      </c>
      <c r="C70" s="4" t="s">
        <v>14</v>
      </c>
      <c r="D70" s="4" t="s">
        <v>27</v>
      </c>
      <c r="E70" s="4" t="s">
        <v>16</v>
      </c>
      <c r="F70" s="10">
        <v>0</v>
      </c>
      <c r="G70" s="10">
        <v>0</v>
      </c>
      <c r="H70" s="10">
        <v>0</v>
      </c>
      <c r="I70" s="10">
        <v>0</v>
      </c>
      <c r="J70" s="10">
        <v>0</v>
      </c>
      <c r="K70" s="10">
        <v>0</v>
      </c>
      <c r="L70" s="10">
        <v>0</v>
      </c>
      <c r="M70" s="10">
        <v>0</v>
      </c>
      <c r="N70" s="10">
        <v>0</v>
      </c>
      <c r="O70" s="10">
        <v>133905</v>
      </c>
      <c r="P70" s="4">
        <v>446955</v>
      </c>
      <c r="Q70" s="4">
        <v>474323</v>
      </c>
      <c r="R70" s="4">
        <v>337910</v>
      </c>
      <c r="S70" s="24">
        <f>SUM(tblSalesData[[#This Row],[FY 2000]:[FY 2012]])</f>
        <v>1393093</v>
      </c>
      <c r="T70" s="11">
        <v>11.99</v>
      </c>
      <c r="U70" s="12">
        <f>tblSalesData[[#This Row],[Total Units 
to Date]]*tblSalesData[[#This Row],[Sell Price]]</f>
        <v>16703185.07</v>
      </c>
      <c r="V70" s="3"/>
      <c r="W70" s="4"/>
    </row>
    <row r="71" spans="1:23" x14ac:dyDescent="0.2">
      <c r="A71" s="4">
        <v>1012</v>
      </c>
      <c r="B71" s="9" t="s">
        <v>91</v>
      </c>
      <c r="C71" s="4" t="s">
        <v>15</v>
      </c>
      <c r="D71" s="4" t="s">
        <v>27</v>
      </c>
      <c r="E71" s="4" t="s">
        <v>18</v>
      </c>
      <c r="F71" s="10">
        <v>0</v>
      </c>
      <c r="G71" s="10">
        <v>0</v>
      </c>
      <c r="H71" s="10">
        <v>0</v>
      </c>
      <c r="I71" s="10">
        <v>0</v>
      </c>
      <c r="J71" s="10">
        <v>0</v>
      </c>
      <c r="K71" s="10">
        <v>0</v>
      </c>
      <c r="L71" s="10">
        <v>0</v>
      </c>
      <c r="M71" s="10">
        <v>0</v>
      </c>
      <c r="N71" s="10">
        <v>0</v>
      </c>
      <c r="O71" s="10">
        <v>228176</v>
      </c>
      <c r="P71" s="4">
        <v>228826</v>
      </c>
      <c r="Q71" s="4">
        <v>288703</v>
      </c>
      <c r="R71" s="4">
        <v>297843</v>
      </c>
      <c r="S71" s="24">
        <f>SUM(tblSalesData[[#This Row],[FY 2000]:[FY 2012]])</f>
        <v>1043548</v>
      </c>
      <c r="T71" s="11">
        <v>9.99</v>
      </c>
      <c r="U71" s="12">
        <f>tblSalesData[[#This Row],[Total Units 
to Date]]*tblSalesData[[#This Row],[Sell Price]]</f>
        <v>10425044.52</v>
      </c>
      <c r="V71" s="3"/>
      <c r="W71" s="4"/>
    </row>
    <row r="72" spans="1:23" x14ac:dyDescent="0.2">
      <c r="A72" s="4">
        <v>1012</v>
      </c>
      <c r="B72" s="9" t="s">
        <v>92</v>
      </c>
      <c r="C72" s="4" t="s">
        <v>14</v>
      </c>
      <c r="D72" s="4" t="s">
        <v>27</v>
      </c>
      <c r="E72" s="4" t="s">
        <v>17</v>
      </c>
      <c r="F72" s="10">
        <v>0</v>
      </c>
      <c r="G72" s="10">
        <v>0</v>
      </c>
      <c r="H72" s="10">
        <v>0</v>
      </c>
      <c r="I72" s="10">
        <v>0</v>
      </c>
      <c r="J72" s="10">
        <v>0</v>
      </c>
      <c r="K72" s="10">
        <v>0</v>
      </c>
      <c r="L72" s="10">
        <v>0</v>
      </c>
      <c r="M72" s="10">
        <v>0</v>
      </c>
      <c r="N72" s="10">
        <v>0</v>
      </c>
      <c r="O72" s="10">
        <v>221047</v>
      </c>
      <c r="P72" s="4">
        <v>232897</v>
      </c>
      <c r="Q72" s="4">
        <v>367919</v>
      </c>
      <c r="R72" s="4">
        <v>286465</v>
      </c>
      <c r="S72" s="24">
        <f>SUM(tblSalesData[[#This Row],[FY 2000]:[FY 2012]])</f>
        <v>1108328</v>
      </c>
      <c r="T72" s="11">
        <v>12.99</v>
      </c>
      <c r="U72" s="12">
        <f>tblSalesData[[#This Row],[Total Units 
to Date]]*tblSalesData[[#This Row],[Sell Price]]</f>
        <v>14397180.720000001</v>
      </c>
      <c r="V72" s="3"/>
      <c r="W72" s="4"/>
    </row>
    <row r="73" spans="1:23" x14ac:dyDescent="0.2">
      <c r="A73" s="4">
        <v>1012</v>
      </c>
      <c r="B73" s="9" t="s">
        <v>93</v>
      </c>
      <c r="C73" s="4" t="s">
        <v>14</v>
      </c>
      <c r="D73" s="4" t="s">
        <v>27</v>
      </c>
      <c r="E73" s="4" t="s">
        <v>16</v>
      </c>
      <c r="F73" s="10">
        <v>0</v>
      </c>
      <c r="G73" s="10">
        <v>0</v>
      </c>
      <c r="H73" s="10">
        <v>0</v>
      </c>
      <c r="I73" s="10">
        <v>0</v>
      </c>
      <c r="J73" s="10">
        <v>0</v>
      </c>
      <c r="K73" s="10">
        <v>0</v>
      </c>
      <c r="L73" s="10">
        <v>0</v>
      </c>
      <c r="M73" s="10">
        <v>0</v>
      </c>
      <c r="N73" s="10">
        <v>0</v>
      </c>
      <c r="O73" s="10">
        <v>211460</v>
      </c>
      <c r="P73" s="4">
        <v>437368</v>
      </c>
      <c r="Q73" s="4">
        <v>290554</v>
      </c>
      <c r="R73" s="4">
        <v>332891</v>
      </c>
      <c r="S73" s="24">
        <f>SUM(tblSalesData[[#This Row],[FY 2000]:[FY 2012]])</f>
        <v>1272273</v>
      </c>
      <c r="T73" s="11">
        <v>11.99</v>
      </c>
      <c r="U73" s="12">
        <f>tblSalesData[[#This Row],[Total Units 
to Date]]*tblSalesData[[#This Row],[Sell Price]]</f>
        <v>15254553.27</v>
      </c>
      <c r="V73" s="3"/>
      <c r="W73" s="4"/>
    </row>
    <row r="74" spans="1:23" x14ac:dyDescent="0.2">
      <c r="A74" s="4">
        <v>1012</v>
      </c>
      <c r="B74" s="9" t="s">
        <v>94</v>
      </c>
      <c r="C74" s="4" t="s">
        <v>26</v>
      </c>
      <c r="D74" s="4" t="s">
        <v>27</v>
      </c>
      <c r="E74" s="4" t="s">
        <v>17</v>
      </c>
      <c r="F74" s="10">
        <v>0</v>
      </c>
      <c r="G74" s="10">
        <v>0</v>
      </c>
      <c r="H74" s="10">
        <v>0</v>
      </c>
      <c r="I74" s="10">
        <v>0</v>
      </c>
      <c r="J74" s="10">
        <v>0</v>
      </c>
      <c r="K74" s="10">
        <v>0</v>
      </c>
      <c r="L74" s="10">
        <v>0</v>
      </c>
      <c r="M74" s="10">
        <v>0</v>
      </c>
      <c r="N74" s="10">
        <v>0</v>
      </c>
      <c r="O74" s="10">
        <v>179093</v>
      </c>
      <c r="P74" s="4">
        <v>444788</v>
      </c>
      <c r="Q74" s="4">
        <v>412227</v>
      </c>
      <c r="R74" s="4">
        <v>405853</v>
      </c>
      <c r="S74" s="24">
        <f>SUM(tblSalesData[[#This Row],[FY 2000]:[FY 2012]])</f>
        <v>1441961</v>
      </c>
      <c r="T74" s="11">
        <v>12.99</v>
      </c>
      <c r="U74" s="12">
        <f>tblSalesData[[#This Row],[Total Units 
to Date]]*tblSalesData[[#This Row],[Sell Price]]</f>
        <v>18731073.390000001</v>
      </c>
      <c r="V74" s="3"/>
      <c r="W74" s="4"/>
    </row>
    <row r="75" spans="1:23" x14ac:dyDescent="0.2">
      <c r="A75" s="4">
        <v>1013</v>
      </c>
      <c r="B75" s="9" t="s">
        <v>95</v>
      </c>
      <c r="C75" s="4" t="s">
        <v>26</v>
      </c>
      <c r="D75" s="4" t="s">
        <v>28</v>
      </c>
      <c r="E75" s="4" t="s">
        <v>16</v>
      </c>
      <c r="F75" s="10">
        <v>0</v>
      </c>
      <c r="G75" s="10">
        <v>0</v>
      </c>
      <c r="H75" s="10">
        <v>0</v>
      </c>
      <c r="I75" s="10">
        <v>131</v>
      </c>
      <c r="J75" s="10">
        <v>969</v>
      </c>
      <c r="K75" s="10">
        <v>1364</v>
      </c>
      <c r="L75" s="10">
        <v>1609</v>
      </c>
      <c r="M75" s="10">
        <v>2325</v>
      </c>
      <c r="N75" s="10">
        <v>2722</v>
      </c>
      <c r="O75" s="10">
        <v>3244</v>
      </c>
      <c r="P75" s="4">
        <v>4138</v>
      </c>
      <c r="Q75" s="4">
        <v>5107</v>
      </c>
      <c r="R75" s="10">
        <v>5541</v>
      </c>
      <c r="S75" s="24">
        <f>SUM(tblSalesData[[#This Row],[FY 2000]:[FY 2012]])</f>
        <v>27150</v>
      </c>
      <c r="T75" s="11">
        <v>1.49</v>
      </c>
      <c r="U75" s="12">
        <f>tblSalesData[[#This Row],[Total Units 
to Date]]*tblSalesData[[#This Row],[Sell Price]]</f>
        <v>40453.5</v>
      </c>
      <c r="V75" s="3"/>
      <c r="W75" s="4"/>
    </row>
    <row r="76" spans="1:23" x14ac:dyDescent="0.2">
      <c r="A76" s="4">
        <v>1013</v>
      </c>
      <c r="B76" s="9" t="s">
        <v>96</v>
      </c>
      <c r="C76" s="4" t="s">
        <v>15</v>
      </c>
      <c r="D76" s="4" t="s">
        <v>28</v>
      </c>
      <c r="E76" s="4" t="s">
        <v>16</v>
      </c>
      <c r="F76" s="10">
        <v>0</v>
      </c>
      <c r="G76" s="10">
        <v>0</v>
      </c>
      <c r="H76" s="10">
        <v>0</v>
      </c>
      <c r="I76" s="10">
        <v>216</v>
      </c>
      <c r="J76" s="10">
        <v>835</v>
      </c>
      <c r="K76" s="10">
        <v>1289</v>
      </c>
      <c r="L76" s="10">
        <v>1672</v>
      </c>
      <c r="M76" s="10">
        <v>2215</v>
      </c>
      <c r="N76" s="10">
        <v>2595</v>
      </c>
      <c r="O76" s="10">
        <v>3324</v>
      </c>
      <c r="P76" s="4">
        <v>4102</v>
      </c>
      <c r="Q76" s="4">
        <v>5023</v>
      </c>
      <c r="R76" s="10">
        <v>5444</v>
      </c>
      <c r="S76" s="24">
        <f>SUM(tblSalesData[[#This Row],[FY 2000]:[FY 2012]])</f>
        <v>26715</v>
      </c>
      <c r="T76" s="11">
        <v>1.49</v>
      </c>
      <c r="U76" s="12">
        <f>tblSalesData[[#This Row],[Total Units 
to Date]]*tblSalesData[[#This Row],[Sell Price]]</f>
        <v>39805.35</v>
      </c>
      <c r="V76" s="3"/>
      <c r="W76" s="4"/>
    </row>
    <row r="77" spans="1:23" x14ac:dyDescent="0.2">
      <c r="A77" s="4">
        <v>1013</v>
      </c>
      <c r="B77" s="9" t="s">
        <v>97</v>
      </c>
      <c r="C77" s="4" t="s">
        <v>14</v>
      </c>
      <c r="D77" s="4" t="s">
        <v>28</v>
      </c>
      <c r="E77" s="4" t="s">
        <v>16</v>
      </c>
      <c r="F77" s="10">
        <v>0</v>
      </c>
      <c r="G77" s="10">
        <v>0</v>
      </c>
      <c r="H77" s="10">
        <v>0</v>
      </c>
      <c r="I77" s="10">
        <v>0</v>
      </c>
      <c r="J77" s="10">
        <v>654</v>
      </c>
      <c r="K77" s="10">
        <v>1479</v>
      </c>
      <c r="L77" s="10">
        <v>1873</v>
      </c>
      <c r="M77" s="10">
        <v>2219</v>
      </c>
      <c r="N77" s="10">
        <v>2789</v>
      </c>
      <c r="O77" s="10">
        <v>3202</v>
      </c>
      <c r="P77" s="4">
        <v>4170</v>
      </c>
      <c r="Q77" s="4">
        <v>4838</v>
      </c>
      <c r="R77" s="10">
        <v>5591</v>
      </c>
      <c r="S77" s="24">
        <f>SUM(tblSalesData[[#This Row],[FY 2000]:[FY 2012]])</f>
        <v>26815</v>
      </c>
      <c r="T77" s="11">
        <v>1.49</v>
      </c>
      <c r="U77" s="12">
        <f>tblSalesData[[#This Row],[Total Units 
to Date]]*tblSalesData[[#This Row],[Sell Price]]</f>
        <v>39954.35</v>
      </c>
      <c r="V77" s="3"/>
      <c r="W77" s="4"/>
    </row>
    <row r="78" spans="1:23" x14ac:dyDescent="0.2">
      <c r="A78" s="4">
        <v>1013</v>
      </c>
      <c r="B78" s="9" t="s">
        <v>98</v>
      </c>
      <c r="C78" s="4" t="s">
        <v>26</v>
      </c>
      <c r="D78" s="4" t="s">
        <v>28</v>
      </c>
      <c r="E78" s="4" t="s">
        <v>19</v>
      </c>
      <c r="F78" s="10">
        <v>0</v>
      </c>
      <c r="G78" s="10">
        <v>0</v>
      </c>
      <c r="H78" s="10">
        <v>0</v>
      </c>
      <c r="I78" s="10">
        <v>0</v>
      </c>
      <c r="J78" s="10">
        <v>921</v>
      </c>
      <c r="K78" s="10">
        <v>1331</v>
      </c>
      <c r="L78" s="10">
        <v>1884</v>
      </c>
      <c r="M78" s="10">
        <v>2202</v>
      </c>
      <c r="N78" s="10">
        <v>2995</v>
      </c>
      <c r="O78" s="10">
        <v>3248</v>
      </c>
      <c r="P78" s="4">
        <v>3946</v>
      </c>
      <c r="Q78" s="4">
        <v>5024</v>
      </c>
      <c r="R78" s="10">
        <v>5974</v>
      </c>
      <c r="S78" s="24">
        <f>SUM(tblSalesData[[#This Row],[FY 2000]:[FY 2012]])</f>
        <v>27525</v>
      </c>
      <c r="T78" s="11">
        <v>3.99</v>
      </c>
      <c r="U78" s="12">
        <f>tblSalesData[[#This Row],[Total Units 
to Date]]*tblSalesData[[#This Row],[Sell Price]]</f>
        <v>109824.75</v>
      </c>
      <c r="V78" s="3"/>
      <c r="W78" s="4"/>
    </row>
    <row r="79" spans="1:23" x14ac:dyDescent="0.2">
      <c r="A79" s="4">
        <v>1013</v>
      </c>
      <c r="B79" s="9" t="s">
        <v>99</v>
      </c>
      <c r="C79" s="4" t="s">
        <v>26</v>
      </c>
      <c r="D79" s="4" t="s">
        <v>27</v>
      </c>
      <c r="E79" s="4" t="s">
        <v>16</v>
      </c>
      <c r="F79" s="10">
        <v>0</v>
      </c>
      <c r="G79" s="10">
        <v>0</v>
      </c>
      <c r="H79" s="10">
        <v>0</v>
      </c>
      <c r="I79" s="10">
        <v>0</v>
      </c>
      <c r="J79" s="10">
        <v>0</v>
      </c>
      <c r="K79" s="10">
        <v>1323</v>
      </c>
      <c r="L79" s="10">
        <v>1627</v>
      </c>
      <c r="M79" s="10">
        <v>2143</v>
      </c>
      <c r="N79" s="10">
        <v>2504</v>
      </c>
      <c r="O79" s="10">
        <v>3040</v>
      </c>
      <c r="P79" s="4">
        <v>3363</v>
      </c>
      <c r="Q79" s="4">
        <v>3104</v>
      </c>
      <c r="R79" s="4">
        <v>1789</v>
      </c>
      <c r="S79" s="24">
        <f>SUM(tblSalesData[[#This Row],[FY 2000]:[FY 2012]])</f>
        <v>18893</v>
      </c>
      <c r="T79" s="11">
        <v>11.99</v>
      </c>
      <c r="U79" s="12">
        <f>tblSalesData[[#This Row],[Total Units 
to Date]]*tblSalesData[[#This Row],[Sell Price]]</f>
        <v>226527.07</v>
      </c>
      <c r="V79" s="3"/>
      <c r="W79" s="4"/>
    </row>
    <row r="80" spans="1:23" x14ac:dyDescent="0.2">
      <c r="A80" s="4">
        <v>1013</v>
      </c>
      <c r="B80" s="9" t="s">
        <v>100</v>
      </c>
      <c r="C80" s="4" t="s">
        <v>13</v>
      </c>
      <c r="D80" s="4" t="s">
        <v>27</v>
      </c>
      <c r="E80" s="4" t="s">
        <v>19</v>
      </c>
      <c r="F80" s="10">
        <v>0</v>
      </c>
      <c r="G80" s="10">
        <v>0</v>
      </c>
      <c r="H80" s="10">
        <v>0</v>
      </c>
      <c r="I80" s="10">
        <v>0</v>
      </c>
      <c r="J80" s="10">
        <v>0</v>
      </c>
      <c r="K80" s="10">
        <v>27612</v>
      </c>
      <c r="L80" s="10">
        <v>31025</v>
      </c>
      <c r="M80" s="10">
        <v>35972</v>
      </c>
      <c r="N80" s="10">
        <v>37957</v>
      </c>
      <c r="O80" s="10">
        <v>45202</v>
      </c>
      <c r="P80" s="4">
        <v>43025</v>
      </c>
      <c r="Q80" s="4">
        <v>38281</v>
      </c>
      <c r="R80" s="4">
        <v>20925</v>
      </c>
      <c r="S80" s="24">
        <f>SUM(tblSalesData[[#This Row],[FY 2000]:[FY 2012]])</f>
        <v>279999</v>
      </c>
      <c r="T80" s="11">
        <v>15.99</v>
      </c>
      <c r="U80" s="12">
        <f>tblSalesData[[#This Row],[Total Units 
to Date]]*tblSalesData[[#This Row],[Sell Price]]</f>
        <v>4477184.01</v>
      </c>
      <c r="V80" s="3"/>
      <c r="W80" s="4"/>
    </row>
    <row r="81" spans="1:23" x14ac:dyDescent="0.2">
      <c r="A81" s="4">
        <v>1013</v>
      </c>
      <c r="B81" s="9" t="s">
        <v>101</v>
      </c>
      <c r="C81" s="4" t="s">
        <v>13</v>
      </c>
      <c r="D81" s="4" t="s">
        <v>28</v>
      </c>
      <c r="E81" s="4" t="s">
        <v>16</v>
      </c>
      <c r="F81" s="10">
        <v>0</v>
      </c>
      <c r="G81" s="10">
        <v>0</v>
      </c>
      <c r="H81" s="10">
        <v>0</v>
      </c>
      <c r="I81" s="10">
        <v>0</v>
      </c>
      <c r="J81" s="10">
        <v>0</v>
      </c>
      <c r="K81" s="10">
        <v>0</v>
      </c>
      <c r="L81" s="10">
        <v>30269</v>
      </c>
      <c r="M81" s="10">
        <v>37098</v>
      </c>
      <c r="N81" s="10">
        <v>39151</v>
      </c>
      <c r="O81" s="10">
        <v>46470</v>
      </c>
      <c r="P81" s="4">
        <v>54900</v>
      </c>
      <c r="Q81" s="4">
        <v>63012</v>
      </c>
      <c r="R81" s="10">
        <v>63954</v>
      </c>
      <c r="S81" s="24">
        <f>SUM(tblSalesData[[#This Row],[FY 2000]:[FY 2012]])</f>
        <v>334854</v>
      </c>
      <c r="T81" s="11">
        <v>1.49</v>
      </c>
      <c r="U81" s="12">
        <f>tblSalesData[[#This Row],[Total Units 
to Date]]*tblSalesData[[#This Row],[Sell Price]]</f>
        <v>498932.46</v>
      </c>
      <c r="V81" s="3"/>
      <c r="W81" s="4"/>
    </row>
    <row r="82" spans="1:23" x14ac:dyDescent="0.2">
      <c r="A82" s="4">
        <v>1013</v>
      </c>
      <c r="B82" s="9" t="s">
        <v>102</v>
      </c>
      <c r="C82" s="4" t="s">
        <v>13</v>
      </c>
      <c r="D82" s="4" t="s">
        <v>28</v>
      </c>
      <c r="E82" s="4" t="s">
        <v>16</v>
      </c>
      <c r="F82" s="10">
        <v>0</v>
      </c>
      <c r="G82" s="10">
        <v>0</v>
      </c>
      <c r="H82" s="10">
        <v>0</v>
      </c>
      <c r="I82" s="10">
        <v>0</v>
      </c>
      <c r="J82" s="10">
        <v>0</v>
      </c>
      <c r="K82" s="10">
        <v>0</v>
      </c>
      <c r="L82" s="10">
        <v>30875</v>
      </c>
      <c r="M82" s="10">
        <v>36665</v>
      </c>
      <c r="N82" s="10">
        <v>37782</v>
      </c>
      <c r="O82" s="10">
        <v>45232</v>
      </c>
      <c r="P82" s="4">
        <v>55271</v>
      </c>
      <c r="Q82" s="4">
        <v>59196</v>
      </c>
      <c r="R82" s="10">
        <v>61066</v>
      </c>
      <c r="S82" s="24">
        <f>SUM(tblSalesData[[#This Row],[FY 2000]:[FY 2012]])</f>
        <v>326087</v>
      </c>
      <c r="T82" s="11">
        <v>1.49</v>
      </c>
      <c r="U82" s="12">
        <f>tblSalesData[[#This Row],[Total Units 
to Date]]*tblSalesData[[#This Row],[Sell Price]]</f>
        <v>485869.63</v>
      </c>
      <c r="V82" s="3"/>
      <c r="W82" s="4"/>
    </row>
    <row r="83" spans="1:23" x14ac:dyDescent="0.2">
      <c r="A83" s="4">
        <v>1013</v>
      </c>
      <c r="B83" s="9" t="s">
        <v>103</v>
      </c>
      <c r="C83" s="4" t="s">
        <v>15</v>
      </c>
      <c r="D83" s="4" t="s">
        <v>28</v>
      </c>
      <c r="E83" s="4" t="s">
        <v>19</v>
      </c>
      <c r="F83" s="10">
        <v>0</v>
      </c>
      <c r="G83" s="10">
        <v>0</v>
      </c>
      <c r="H83" s="10">
        <v>0</v>
      </c>
      <c r="I83" s="10">
        <v>0</v>
      </c>
      <c r="J83" s="10">
        <v>0</v>
      </c>
      <c r="K83" s="10">
        <v>0</v>
      </c>
      <c r="L83" s="10">
        <v>2120</v>
      </c>
      <c r="M83" s="10">
        <v>2521</v>
      </c>
      <c r="N83" s="10">
        <v>2794</v>
      </c>
      <c r="O83" s="10">
        <v>3964</v>
      </c>
      <c r="P83" s="4">
        <v>5563</v>
      </c>
      <c r="Q83" s="4">
        <v>7522</v>
      </c>
      <c r="R83" s="10">
        <v>7543</v>
      </c>
      <c r="S83" s="24">
        <f>SUM(tblSalesData[[#This Row],[FY 2000]:[FY 2012]])</f>
        <v>32027</v>
      </c>
      <c r="T83" s="11">
        <v>3.99</v>
      </c>
      <c r="U83" s="12">
        <f>tblSalesData[[#This Row],[Total Units 
to Date]]*tblSalesData[[#This Row],[Sell Price]]</f>
        <v>127787.73000000001</v>
      </c>
      <c r="V83" s="3"/>
      <c r="W83" s="4"/>
    </row>
    <row r="84" spans="1:23" x14ac:dyDescent="0.2">
      <c r="A84" s="4">
        <v>1013</v>
      </c>
      <c r="B84" s="9" t="s">
        <v>104</v>
      </c>
      <c r="C84" s="4" t="s">
        <v>14</v>
      </c>
      <c r="D84" s="4" t="s">
        <v>28</v>
      </c>
      <c r="E84" s="4" t="s">
        <v>16</v>
      </c>
      <c r="F84" s="10">
        <v>0</v>
      </c>
      <c r="G84" s="10">
        <v>0</v>
      </c>
      <c r="H84" s="10">
        <v>0</v>
      </c>
      <c r="I84" s="10">
        <v>0</v>
      </c>
      <c r="J84" s="10">
        <v>0</v>
      </c>
      <c r="K84" s="10">
        <v>0</v>
      </c>
      <c r="L84" s="10">
        <v>1715</v>
      </c>
      <c r="M84" s="10">
        <v>2568</v>
      </c>
      <c r="N84" s="10">
        <v>2703</v>
      </c>
      <c r="O84" s="10">
        <v>3708</v>
      </c>
      <c r="P84" s="4">
        <v>5116</v>
      </c>
      <c r="Q84" s="4">
        <v>7423</v>
      </c>
      <c r="R84" s="10">
        <v>7972</v>
      </c>
      <c r="S84" s="24">
        <f>SUM(tblSalesData[[#This Row],[FY 2000]:[FY 2012]])</f>
        <v>31205</v>
      </c>
      <c r="T84" s="11">
        <v>1.49</v>
      </c>
      <c r="U84" s="12">
        <f>tblSalesData[[#This Row],[Total Units 
to Date]]*tblSalesData[[#This Row],[Sell Price]]</f>
        <v>46495.45</v>
      </c>
      <c r="V84" s="3"/>
      <c r="W84" s="4"/>
    </row>
    <row r="85" spans="1:23" x14ac:dyDescent="0.2">
      <c r="A85" s="4">
        <v>1013</v>
      </c>
      <c r="B85" s="9" t="s">
        <v>105</v>
      </c>
      <c r="C85" s="4" t="s">
        <v>13</v>
      </c>
      <c r="D85" s="4" t="s">
        <v>28</v>
      </c>
      <c r="E85" s="4" t="s">
        <v>17</v>
      </c>
      <c r="F85" s="10">
        <v>0</v>
      </c>
      <c r="G85" s="10">
        <v>0</v>
      </c>
      <c r="H85" s="10">
        <v>0</v>
      </c>
      <c r="I85" s="10">
        <v>0</v>
      </c>
      <c r="J85" s="10">
        <v>0</v>
      </c>
      <c r="K85" s="10">
        <v>0</v>
      </c>
      <c r="L85" s="10">
        <v>0</v>
      </c>
      <c r="M85" s="10">
        <v>35553</v>
      </c>
      <c r="N85" s="10">
        <v>41846</v>
      </c>
      <c r="O85" s="10">
        <v>45943</v>
      </c>
      <c r="P85" s="4">
        <v>54163</v>
      </c>
      <c r="Q85" s="4">
        <v>60088</v>
      </c>
      <c r="R85" s="10">
        <v>62228</v>
      </c>
      <c r="S85" s="24">
        <f>SUM(tblSalesData[[#This Row],[FY 2000]:[FY 2012]])</f>
        <v>299821</v>
      </c>
      <c r="T85" s="11">
        <v>1.99</v>
      </c>
      <c r="U85" s="12">
        <f>tblSalesData[[#This Row],[Total Units 
to Date]]*tblSalesData[[#This Row],[Sell Price]]</f>
        <v>596643.79</v>
      </c>
      <c r="V85" s="3"/>
      <c r="W85" s="4"/>
    </row>
    <row r="86" spans="1:23" x14ac:dyDescent="0.2">
      <c r="A86" s="4">
        <v>1013</v>
      </c>
      <c r="B86" s="9" t="s">
        <v>106</v>
      </c>
      <c r="C86" s="4" t="s">
        <v>13</v>
      </c>
      <c r="D86" s="4" t="s">
        <v>27</v>
      </c>
      <c r="E86" s="4" t="s">
        <v>18</v>
      </c>
      <c r="F86" s="10">
        <v>0</v>
      </c>
      <c r="G86" s="10">
        <v>0</v>
      </c>
      <c r="H86" s="10">
        <v>0</v>
      </c>
      <c r="I86" s="10">
        <v>0</v>
      </c>
      <c r="J86" s="10">
        <v>0</v>
      </c>
      <c r="K86" s="10">
        <v>0</v>
      </c>
      <c r="L86" s="10">
        <v>0</v>
      </c>
      <c r="M86" s="10">
        <v>39854</v>
      </c>
      <c r="N86" s="10">
        <v>40428</v>
      </c>
      <c r="O86" s="10">
        <v>45001</v>
      </c>
      <c r="P86" s="4">
        <v>43309</v>
      </c>
      <c r="Q86" s="4">
        <v>36187</v>
      </c>
      <c r="R86" s="4">
        <v>18772</v>
      </c>
      <c r="S86" s="24">
        <f>SUM(tblSalesData[[#This Row],[FY 2000]:[FY 2012]])</f>
        <v>223551</v>
      </c>
      <c r="T86" s="11">
        <v>9.99</v>
      </c>
      <c r="U86" s="12">
        <f>tblSalesData[[#This Row],[Total Units 
to Date]]*tblSalesData[[#This Row],[Sell Price]]</f>
        <v>2233274.4900000002</v>
      </c>
      <c r="V86" s="3"/>
      <c r="W86" s="4"/>
    </row>
    <row r="87" spans="1:23" x14ac:dyDescent="0.2">
      <c r="A87" s="4">
        <v>1013</v>
      </c>
      <c r="B87" s="9" t="s">
        <v>107</v>
      </c>
      <c r="C87" s="4" t="s">
        <v>15</v>
      </c>
      <c r="D87" s="4" t="s">
        <v>27</v>
      </c>
      <c r="E87" s="4" t="s">
        <v>19</v>
      </c>
      <c r="F87" s="10">
        <v>0</v>
      </c>
      <c r="G87" s="10">
        <v>0</v>
      </c>
      <c r="H87" s="10">
        <v>0</v>
      </c>
      <c r="I87" s="10">
        <v>0</v>
      </c>
      <c r="J87" s="10">
        <v>0</v>
      </c>
      <c r="K87" s="10">
        <v>0</v>
      </c>
      <c r="L87" s="10">
        <v>0</v>
      </c>
      <c r="M87" s="10">
        <v>0</v>
      </c>
      <c r="N87" s="10">
        <v>2957</v>
      </c>
      <c r="O87" s="10">
        <v>3751</v>
      </c>
      <c r="P87" s="4">
        <v>4321</v>
      </c>
      <c r="Q87" s="4">
        <v>4381</v>
      </c>
      <c r="R87" s="4">
        <v>2528</v>
      </c>
      <c r="S87" s="24">
        <f>SUM(tblSalesData[[#This Row],[FY 2000]:[FY 2012]])</f>
        <v>17938</v>
      </c>
      <c r="T87" s="11">
        <v>15.99</v>
      </c>
      <c r="U87" s="12">
        <f>tblSalesData[[#This Row],[Total Units 
to Date]]*tblSalesData[[#This Row],[Sell Price]]</f>
        <v>286828.62</v>
      </c>
      <c r="V87" s="3"/>
      <c r="W87" s="4"/>
    </row>
    <row r="88" spans="1:23" x14ac:dyDescent="0.2">
      <c r="A88" s="4">
        <v>1013</v>
      </c>
      <c r="B88" s="9" t="s">
        <v>108</v>
      </c>
      <c r="C88" s="4" t="s">
        <v>14</v>
      </c>
      <c r="D88" s="4" t="s">
        <v>28</v>
      </c>
      <c r="E88" s="4" t="s">
        <v>19</v>
      </c>
      <c r="F88" s="10">
        <v>0</v>
      </c>
      <c r="G88" s="10">
        <v>0</v>
      </c>
      <c r="H88" s="10">
        <v>0</v>
      </c>
      <c r="I88" s="10">
        <v>0</v>
      </c>
      <c r="J88" s="10">
        <v>0</v>
      </c>
      <c r="K88" s="10">
        <v>0</v>
      </c>
      <c r="L88" s="10">
        <v>0</v>
      </c>
      <c r="M88" s="10">
        <v>0</v>
      </c>
      <c r="N88" s="10">
        <v>2843</v>
      </c>
      <c r="O88" s="10">
        <v>3071</v>
      </c>
      <c r="P88" s="4">
        <v>4780</v>
      </c>
      <c r="Q88" s="4">
        <v>7836</v>
      </c>
      <c r="R88" s="10">
        <v>7159</v>
      </c>
      <c r="S88" s="24">
        <f>SUM(tblSalesData[[#This Row],[FY 2000]:[FY 2012]])</f>
        <v>25689</v>
      </c>
      <c r="T88" s="11">
        <v>3.99</v>
      </c>
      <c r="U88" s="12">
        <f>tblSalesData[[#This Row],[Total Units 
to Date]]*tblSalesData[[#This Row],[Sell Price]]</f>
        <v>102499.11</v>
      </c>
      <c r="V88" s="3"/>
      <c r="W88" s="4"/>
    </row>
    <row r="89" spans="1:23" x14ac:dyDescent="0.2">
      <c r="A89" s="4">
        <v>1013</v>
      </c>
      <c r="B89" s="9" t="s">
        <v>109</v>
      </c>
      <c r="C89" s="4" t="s">
        <v>15</v>
      </c>
      <c r="D89" s="4" t="s">
        <v>28</v>
      </c>
      <c r="E89" s="4" t="s">
        <v>18</v>
      </c>
      <c r="F89" s="10">
        <v>0</v>
      </c>
      <c r="G89" s="10">
        <v>0</v>
      </c>
      <c r="H89" s="10">
        <v>0</v>
      </c>
      <c r="I89" s="10">
        <v>0</v>
      </c>
      <c r="J89" s="10">
        <v>0</v>
      </c>
      <c r="K89" s="10">
        <v>0</v>
      </c>
      <c r="L89" s="10">
        <v>0</v>
      </c>
      <c r="M89" s="10">
        <v>0</v>
      </c>
      <c r="N89" s="10">
        <v>2754</v>
      </c>
      <c r="O89" s="10">
        <v>3563</v>
      </c>
      <c r="P89" s="4">
        <v>5006</v>
      </c>
      <c r="Q89" s="4">
        <v>7644</v>
      </c>
      <c r="R89" s="10">
        <v>7202</v>
      </c>
      <c r="S89" s="24">
        <f>SUM(tblSalesData[[#This Row],[FY 2000]:[FY 2012]])</f>
        <v>26169</v>
      </c>
      <c r="T89" s="11">
        <v>0.99</v>
      </c>
      <c r="U89" s="12">
        <f>tblSalesData[[#This Row],[Total Units 
to Date]]*tblSalesData[[#This Row],[Sell Price]]</f>
        <v>25907.31</v>
      </c>
      <c r="V89" s="3"/>
      <c r="W89" s="4"/>
    </row>
    <row r="90" spans="1:23" x14ac:dyDescent="0.2">
      <c r="A90" s="4">
        <v>1013</v>
      </c>
      <c r="B90" s="9" t="s">
        <v>110</v>
      </c>
      <c r="C90" s="4" t="s">
        <v>13</v>
      </c>
      <c r="D90" s="4" t="s">
        <v>27</v>
      </c>
      <c r="E90" s="4" t="s">
        <v>19</v>
      </c>
      <c r="F90" s="10">
        <v>0</v>
      </c>
      <c r="G90" s="10">
        <v>0</v>
      </c>
      <c r="H90" s="10">
        <v>0</v>
      </c>
      <c r="I90" s="10">
        <v>0</v>
      </c>
      <c r="J90" s="10">
        <v>0</v>
      </c>
      <c r="K90" s="10">
        <v>0</v>
      </c>
      <c r="L90" s="10">
        <v>0</v>
      </c>
      <c r="M90" s="10">
        <v>0</v>
      </c>
      <c r="N90" s="10">
        <v>0</v>
      </c>
      <c r="O90" s="10">
        <v>45531</v>
      </c>
      <c r="P90" s="4">
        <v>44390</v>
      </c>
      <c r="Q90" s="4">
        <v>35992</v>
      </c>
      <c r="R90" s="4">
        <v>21899</v>
      </c>
      <c r="S90" s="24">
        <f>SUM(tblSalesData[[#This Row],[FY 2000]:[FY 2012]])</f>
        <v>147812</v>
      </c>
      <c r="T90" s="11">
        <v>15.99</v>
      </c>
      <c r="U90" s="12">
        <f>tblSalesData[[#This Row],[Total Units 
to Date]]*tblSalesData[[#This Row],[Sell Price]]</f>
        <v>2363513.88</v>
      </c>
      <c r="V90" s="3"/>
      <c r="W90" s="4"/>
    </row>
    <row r="91" spans="1:23" x14ac:dyDescent="0.2">
      <c r="A91" s="4">
        <v>1013</v>
      </c>
      <c r="B91" s="9" t="s">
        <v>111</v>
      </c>
      <c r="C91" s="4" t="s">
        <v>14</v>
      </c>
      <c r="D91" s="4" t="s">
        <v>28</v>
      </c>
      <c r="E91" s="4" t="s">
        <v>19</v>
      </c>
      <c r="F91" s="10">
        <v>0</v>
      </c>
      <c r="G91" s="10">
        <v>0</v>
      </c>
      <c r="H91" s="10">
        <v>0</v>
      </c>
      <c r="I91" s="10">
        <v>0</v>
      </c>
      <c r="J91" s="10">
        <v>0</v>
      </c>
      <c r="K91" s="10">
        <v>0</v>
      </c>
      <c r="L91" s="10">
        <v>0</v>
      </c>
      <c r="M91" s="10">
        <v>0</v>
      </c>
      <c r="N91" s="10">
        <v>0</v>
      </c>
      <c r="O91" s="10">
        <v>3770</v>
      </c>
      <c r="P91" s="4">
        <v>5516</v>
      </c>
      <c r="Q91" s="4">
        <v>7970</v>
      </c>
      <c r="R91" s="10">
        <v>7054</v>
      </c>
      <c r="S91" s="24">
        <f>SUM(tblSalesData[[#This Row],[FY 2000]:[FY 2012]])</f>
        <v>24310</v>
      </c>
      <c r="T91" s="11">
        <v>3.99</v>
      </c>
      <c r="U91" s="12">
        <f>tblSalesData[[#This Row],[Total Units 
to Date]]*tblSalesData[[#This Row],[Sell Price]]</f>
        <v>96996.900000000009</v>
      </c>
      <c r="V91" s="3"/>
      <c r="W91" s="4"/>
    </row>
    <row r="92" spans="1:23" x14ac:dyDescent="0.2">
      <c r="A92" s="4">
        <v>1013</v>
      </c>
      <c r="B92" s="9" t="s">
        <v>112</v>
      </c>
      <c r="C92" s="4" t="s">
        <v>15</v>
      </c>
      <c r="D92" s="4" t="s">
        <v>27</v>
      </c>
      <c r="E92" s="4" t="s">
        <v>17</v>
      </c>
      <c r="F92" s="10">
        <v>0</v>
      </c>
      <c r="G92" s="10">
        <v>0</v>
      </c>
      <c r="H92" s="10">
        <v>0</v>
      </c>
      <c r="I92" s="10">
        <v>0</v>
      </c>
      <c r="J92" s="10">
        <v>0</v>
      </c>
      <c r="K92" s="10">
        <v>0</v>
      </c>
      <c r="L92" s="10">
        <v>0</v>
      </c>
      <c r="M92" s="10">
        <v>0</v>
      </c>
      <c r="N92" s="10">
        <v>0</v>
      </c>
      <c r="O92" s="10">
        <v>3169</v>
      </c>
      <c r="P92" s="4">
        <v>3852</v>
      </c>
      <c r="Q92" s="4">
        <v>4259</v>
      </c>
      <c r="R92" s="4">
        <v>2398</v>
      </c>
      <c r="S92" s="24">
        <f>SUM(tblSalesData[[#This Row],[FY 2000]:[FY 2012]])</f>
        <v>13678</v>
      </c>
      <c r="T92" s="11">
        <v>12.99</v>
      </c>
      <c r="U92" s="12">
        <f>tblSalesData[[#This Row],[Total Units 
to Date]]*tblSalesData[[#This Row],[Sell Price]]</f>
        <v>177677.22</v>
      </c>
      <c r="V92" s="3"/>
      <c r="W92" s="4"/>
    </row>
    <row r="93" spans="1:23" x14ac:dyDescent="0.2">
      <c r="A93" s="4">
        <v>1013</v>
      </c>
      <c r="B93" s="9" t="s">
        <v>113</v>
      </c>
      <c r="C93" s="4" t="s">
        <v>13</v>
      </c>
      <c r="D93" s="4" t="s">
        <v>28</v>
      </c>
      <c r="E93" s="4" t="s">
        <v>16</v>
      </c>
      <c r="F93" s="10">
        <v>0</v>
      </c>
      <c r="G93" s="10">
        <v>0</v>
      </c>
      <c r="H93" s="10">
        <v>0</v>
      </c>
      <c r="I93" s="10">
        <v>0</v>
      </c>
      <c r="J93" s="10">
        <v>0</v>
      </c>
      <c r="K93" s="10">
        <v>0</v>
      </c>
      <c r="L93" s="10">
        <v>0</v>
      </c>
      <c r="M93" s="10">
        <v>0</v>
      </c>
      <c r="N93" s="10">
        <v>0</v>
      </c>
      <c r="O93" s="10">
        <v>46673</v>
      </c>
      <c r="P93" s="4">
        <v>53025</v>
      </c>
      <c r="Q93" s="4">
        <v>60132</v>
      </c>
      <c r="R93" s="10">
        <v>60312</v>
      </c>
      <c r="S93" s="24">
        <f>SUM(tblSalesData[[#This Row],[FY 2000]:[FY 2012]])</f>
        <v>220142</v>
      </c>
      <c r="T93" s="11">
        <v>1.49</v>
      </c>
      <c r="U93" s="12">
        <f>tblSalesData[[#This Row],[Total Units 
to Date]]*tblSalesData[[#This Row],[Sell Price]]</f>
        <v>328011.58</v>
      </c>
      <c r="V93" s="3"/>
      <c r="W93" s="4"/>
    </row>
    <row r="94" spans="1:23" x14ac:dyDescent="0.2">
      <c r="A94" s="4">
        <v>1014</v>
      </c>
      <c r="B94" s="9" t="s">
        <v>114</v>
      </c>
      <c r="C94" s="4" t="s">
        <v>26</v>
      </c>
      <c r="D94" s="4" t="s">
        <v>27</v>
      </c>
      <c r="E94" s="4" t="s">
        <v>16</v>
      </c>
      <c r="F94" s="10">
        <v>0</v>
      </c>
      <c r="G94" s="10">
        <v>0</v>
      </c>
      <c r="H94" s="10">
        <v>0</v>
      </c>
      <c r="I94" s="10">
        <v>0</v>
      </c>
      <c r="J94" s="10">
        <v>0</v>
      </c>
      <c r="K94" s="10">
        <v>0</v>
      </c>
      <c r="L94" s="10">
        <v>112418</v>
      </c>
      <c r="M94" s="10">
        <v>341228</v>
      </c>
      <c r="N94" s="10">
        <v>360074</v>
      </c>
      <c r="O94" s="10">
        <v>386223</v>
      </c>
      <c r="P94" s="4">
        <v>374099</v>
      </c>
      <c r="Q94" s="4">
        <v>301040</v>
      </c>
      <c r="R94" s="4">
        <v>153987</v>
      </c>
      <c r="S94" s="24">
        <f>SUM(tblSalesData[[#This Row],[FY 2000]:[FY 2012]])</f>
        <v>2029069</v>
      </c>
      <c r="T94" s="11">
        <v>11.99</v>
      </c>
      <c r="U94" s="12">
        <f>tblSalesData[[#This Row],[Total Units 
to Date]]*tblSalesData[[#This Row],[Sell Price]]</f>
        <v>24328537.309999999</v>
      </c>
      <c r="V94" s="3"/>
      <c r="W94" s="4"/>
    </row>
    <row r="95" spans="1:23" x14ac:dyDescent="0.2">
      <c r="A95" s="4">
        <v>1014</v>
      </c>
      <c r="B95" s="9" t="s">
        <v>115</v>
      </c>
      <c r="C95" s="4" t="s">
        <v>26</v>
      </c>
      <c r="D95" s="4" t="s">
        <v>27</v>
      </c>
      <c r="E95" s="4" t="s">
        <v>16</v>
      </c>
      <c r="F95" s="10">
        <v>0</v>
      </c>
      <c r="G95" s="10">
        <v>0</v>
      </c>
      <c r="H95" s="10">
        <v>0</v>
      </c>
      <c r="I95" s="10">
        <v>0</v>
      </c>
      <c r="J95" s="10">
        <v>0</v>
      </c>
      <c r="K95" s="10">
        <v>0</v>
      </c>
      <c r="L95" s="10">
        <v>0</v>
      </c>
      <c r="M95" s="10">
        <v>280340</v>
      </c>
      <c r="N95" s="10">
        <v>359860</v>
      </c>
      <c r="O95" s="10">
        <v>375038</v>
      </c>
      <c r="P95" s="4">
        <v>366522</v>
      </c>
      <c r="Q95" s="4">
        <v>298678</v>
      </c>
      <c r="R95" s="4">
        <v>157404</v>
      </c>
      <c r="S95" s="24">
        <f>SUM(tblSalesData[[#This Row],[FY 2000]:[FY 2012]])</f>
        <v>1837842</v>
      </c>
      <c r="T95" s="11">
        <v>11.99</v>
      </c>
      <c r="U95" s="12">
        <f>tblSalesData[[#This Row],[Total Units 
to Date]]*tblSalesData[[#This Row],[Sell Price]]</f>
        <v>22035725.580000002</v>
      </c>
      <c r="V95" s="3"/>
      <c r="W95" s="4"/>
    </row>
    <row r="96" spans="1:23" x14ac:dyDescent="0.2">
      <c r="A96" s="4">
        <v>1014</v>
      </c>
      <c r="B96" s="9" t="s">
        <v>116</v>
      </c>
      <c r="C96" s="4" t="s">
        <v>15</v>
      </c>
      <c r="D96" s="4" t="s">
        <v>28</v>
      </c>
      <c r="E96" s="4" t="s">
        <v>18</v>
      </c>
      <c r="F96" s="10">
        <v>0</v>
      </c>
      <c r="G96" s="10">
        <v>0</v>
      </c>
      <c r="H96" s="10">
        <v>0</v>
      </c>
      <c r="I96" s="10">
        <v>0</v>
      </c>
      <c r="J96" s="10">
        <v>0</v>
      </c>
      <c r="K96" s="10">
        <v>0</v>
      </c>
      <c r="L96" s="10">
        <v>0</v>
      </c>
      <c r="M96" s="10">
        <v>0</v>
      </c>
      <c r="N96" s="10">
        <v>548041</v>
      </c>
      <c r="O96" s="10">
        <v>590496</v>
      </c>
      <c r="P96" s="4">
        <v>770128</v>
      </c>
      <c r="Q96" s="4">
        <v>1424044</v>
      </c>
      <c r="R96" s="10">
        <v>2233964</v>
      </c>
      <c r="S96" s="24">
        <f>SUM(tblSalesData[[#This Row],[FY 2000]:[FY 2012]])</f>
        <v>5566673</v>
      </c>
      <c r="T96" s="11">
        <v>0.99</v>
      </c>
      <c r="U96" s="12">
        <f>tblSalesData[[#This Row],[Total Units 
to Date]]*tblSalesData[[#This Row],[Sell Price]]</f>
        <v>5511006.2699999996</v>
      </c>
      <c r="V96" s="3"/>
      <c r="W96" s="4"/>
    </row>
    <row r="97" spans="1:23" x14ac:dyDescent="0.2">
      <c r="A97" s="4">
        <v>1015</v>
      </c>
      <c r="B97" s="9" t="s">
        <v>117</v>
      </c>
      <c r="C97" s="4" t="s">
        <v>15</v>
      </c>
      <c r="D97" s="4" t="s">
        <v>28</v>
      </c>
      <c r="E97" s="4" t="s">
        <v>16</v>
      </c>
      <c r="F97" s="10">
        <v>0</v>
      </c>
      <c r="G97" s="10">
        <v>0</v>
      </c>
      <c r="H97" s="10">
        <v>0</v>
      </c>
      <c r="I97" s="10">
        <v>0</v>
      </c>
      <c r="J97" s="10">
        <v>0</v>
      </c>
      <c r="K97" s="10">
        <v>0</v>
      </c>
      <c r="L97" s="10">
        <v>0</v>
      </c>
      <c r="M97" s="10">
        <v>0</v>
      </c>
      <c r="N97" s="10">
        <v>0</v>
      </c>
      <c r="O97" s="10">
        <v>0</v>
      </c>
      <c r="P97" s="4">
        <v>0</v>
      </c>
      <c r="Q97" s="4">
        <v>4465</v>
      </c>
      <c r="R97" s="10">
        <v>5347</v>
      </c>
      <c r="S97" s="24">
        <f>SUM(tblSalesData[[#This Row],[FY 2000]:[FY 2012]])</f>
        <v>9812</v>
      </c>
      <c r="T97" s="11">
        <v>1.49</v>
      </c>
      <c r="U97" s="12">
        <f>tblSalesData[[#This Row],[Total Units 
to Date]]*tblSalesData[[#This Row],[Sell Price]]</f>
        <v>14619.88</v>
      </c>
      <c r="V97" s="3"/>
      <c r="W97" s="4"/>
    </row>
    <row r="98" spans="1:23" x14ac:dyDescent="0.2">
      <c r="A98" s="4">
        <v>1015</v>
      </c>
      <c r="B98" s="9" t="s">
        <v>118</v>
      </c>
      <c r="C98" s="4" t="s">
        <v>15</v>
      </c>
      <c r="D98" s="4" t="s">
        <v>27</v>
      </c>
      <c r="E98" s="4" t="s">
        <v>16</v>
      </c>
      <c r="F98" s="10">
        <v>0</v>
      </c>
      <c r="G98" s="10">
        <v>0</v>
      </c>
      <c r="H98" s="10">
        <v>0</v>
      </c>
      <c r="I98" s="10">
        <v>0</v>
      </c>
      <c r="J98" s="10">
        <v>0</v>
      </c>
      <c r="K98" s="10">
        <v>0</v>
      </c>
      <c r="L98" s="10">
        <v>0</v>
      </c>
      <c r="M98" s="10">
        <v>0</v>
      </c>
      <c r="N98" s="10">
        <v>0</v>
      </c>
      <c r="O98" s="10">
        <v>0</v>
      </c>
      <c r="P98" s="4">
        <v>68243</v>
      </c>
      <c r="Q98" s="4">
        <v>166494</v>
      </c>
      <c r="R98" s="4">
        <v>165975</v>
      </c>
      <c r="S98" s="24">
        <f>SUM(tblSalesData[[#This Row],[FY 2000]:[FY 2012]])</f>
        <v>400712</v>
      </c>
      <c r="T98" s="11">
        <v>11.99</v>
      </c>
      <c r="U98" s="12">
        <f>tblSalesData[[#This Row],[Total Units 
to Date]]*tblSalesData[[#This Row],[Sell Price]]</f>
        <v>4804536.88</v>
      </c>
      <c r="V98" s="3"/>
      <c r="W98" s="4"/>
    </row>
    <row r="99" spans="1:23" x14ac:dyDescent="0.2">
      <c r="A99" s="4">
        <v>1015</v>
      </c>
      <c r="B99" s="9" t="s">
        <v>118</v>
      </c>
      <c r="C99" s="4" t="s">
        <v>15</v>
      </c>
      <c r="D99" s="4" t="s">
        <v>28</v>
      </c>
      <c r="E99" s="4" t="s">
        <v>16</v>
      </c>
      <c r="F99" s="10">
        <v>0</v>
      </c>
      <c r="G99" s="10">
        <v>0</v>
      </c>
      <c r="H99" s="10">
        <v>0</v>
      </c>
      <c r="I99" s="10">
        <v>0</v>
      </c>
      <c r="J99" s="10">
        <v>0</v>
      </c>
      <c r="K99" s="10">
        <v>0</v>
      </c>
      <c r="L99" s="10">
        <v>0</v>
      </c>
      <c r="M99" s="10">
        <v>0</v>
      </c>
      <c r="N99" s="10">
        <v>0</v>
      </c>
      <c r="O99" s="10">
        <v>0</v>
      </c>
      <c r="P99" s="4">
        <v>0</v>
      </c>
      <c r="Q99" s="4">
        <v>0</v>
      </c>
      <c r="R99" s="10">
        <v>760465</v>
      </c>
      <c r="S99" s="24">
        <f>SUM(tblSalesData[[#This Row],[FY 2000]:[FY 2012]])</f>
        <v>760465</v>
      </c>
      <c r="T99" s="11">
        <v>1.49</v>
      </c>
      <c r="U99" s="12">
        <f>tblSalesData[[#This Row],[Total Units 
to Date]]*tblSalesData[[#This Row],[Sell Price]]</f>
        <v>1133092.8500000001</v>
      </c>
      <c r="V99" s="3"/>
      <c r="W99" s="4"/>
    </row>
    <row r="100" spans="1:23" x14ac:dyDescent="0.2">
      <c r="A100" s="4">
        <v>1015</v>
      </c>
      <c r="B100" s="9" t="s">
        <v>118</v>
      </c>
      <c r="C100" s="4" t="s">
        <v>15</v>
      </c>
      <c r="D100" s="4" t="s">
        <v>28</v>
      </c>
      <c r="E100" s="4" t="s">
        <v>19</v>
      </c>
      <c r="F100" s="10">
        <v>0</v>
      </c>
      <c r="G100" s="10">
        <v>0</v>
      </c>
      <c r="H100" s="10">
        <v>0</v>
      </c>
      <c r="I100" s="10">
        <v>0</v>
      </c>
      <c r="J100" s="10">
        <v>0</v>
      </c>
      <c r="K100" s="10">
        <v>0</v>
      </c>
      <c r="L100" s="10">
        <v>0</v>
      </c>
      <c r="M100" s="10">
        <v>0</v>
      </c>
      <c r="N100" s="10">
        <v>0</v>
      </c>
      <c r="O100" s="10">
        <v>0</v>
      </c>
      <c r="P100" s="4">
        <v>0</v>
      </c>
      <c r="Q100" s="4">
        <v>464920</v>
      </c>
      <c r="R100" s="10">
        <v>568013</v>
      </c>
      <c r="S100" s="24">
        <f>SUM(tblSalesData[[#This Row],[FY 2000]:[FY 2012]])</f>
        <v>1032933</v>
      </c>
      <c r="T100" s="11">
        <v>3.99</v>
      </c>
      <c r="U100" s="12">
        <f>tblSalesData[[#This Row],[Total Units 
to Date]]*tblSalesData[[#This Row],[Sell Price]]</f>
        <v>4121402.6700000004</v>
      </c>
      <c r="V100" s="3"/>
      <c r="W100" s="4"/>
    </row>
    <row r="101" spans="1:23" x14ac:dyDescent="0.2">
      <c r="A101" s="4">
        <v>1015</v>
      </c>
      <c r="B101" s="9" t="s">
        <v>119</v>
      </c>
      <c r="C101" s="4" t="s">
        <v>13</v>
      </c>
      <c r="D101" s="4" t="s">
        <v>28</v>
      </c>
      <c r="E101" s="4" t="s">
        <v>18</v>
      </c>
      <c r="F101" s="10">
        <v>0</v>
      </c>
      <c r="G101" s="10">
        <v>0</v>
      </c>
      <c r="H101" s="10">
        <v>0</v>
      </c>
      <c r="I101" s="10">
        <v>0</v>
      </c>
      <c r="J101" s="10">
        <v>0</v>
      </c>
      <c r="K101" s="10">
        <v>0</v>
      </c>
      <c r="L101" s="10">
        <v>0</v>
      </c>
      <c r="M101" s="10">
        <v>0</v>
      </c>
      <c r="N101" s="10">
        <v>0</v>
      </c>
      <c r="O101" s="10">
        <v>0</v>
      </c>
      <c r="P101" s="4">
        <v>204</v>
      </c>
      <c r="Q101" s="4">
        <v>200</v>
      </c>
      <c r="R101" s="10">
        <v>29</v>
      </c>
      <c r="S101" s="24">
        <f>SUM(tblSalesData[[#This Row],[FY 2000]:[FY 2012]])</f>
        <v>433</v>
      </c>
      <c r="T101" s="11">
        <v>0.99</v>
      </c>
      <c r="U101" s="12">
        <f>tblSalesData[[#This Row],[Total Units 
to Date]]*tblSalesData[[#This Row],[Sell Price]]</f>
        <v>428.67</v>
      </c>
      <c r="V101" s="3"/>
      <c r="W101" s="4"/>
    </row>
    <row r="102" spans="1:23" x14ac:dyDescent="0.2">
      <c r="A102" s="4">
        <v>1015</v>
      </c>
      <c r="B102" s="9" t="s">
        <v>119</v>
      </c>
      <c r="C102" s="4" t="s">
        <v>13</v>
      </c>
      <c r="D102" s="4" t="s">
        <v>28</v>
      </c>
      <c r="E102" s="4" t="s">
        <v>19</v>
      </c>
      <c r="F102" s="10">
        <v>0</v>
      </c>
      <c r="G102" s="10">
        <v>0</v>
      </c>
      <c r="H102" s="10">
        <v>0</v>
      </c>
      <c r="I102" s="10">
        <v>0</v>
      </c>
      <c r="J102" s="10">
        <v>0</v>
      </c>
      <c r="K102" s="10">
        <v>0</v>
      </c>
      <c r="L102" s="10">
        <v>0</v>
      </c>
      <c r="M102" s="10">
        <v>0</v>
      </c>
      <c r="N102" s="10">
        <v>0</v>
      </c>
      <c r="O102" s="10">
        <v>0</v>
      </c>
      <c r="P102" s="4">
        <v>96</v>
      </c>
      <c r="Q102" s="4">
        <v>62</v>
      </c>
      <c r="R102" s="10">
        <v>42</v>
      </c>
      <c r="S102" s="24">
        <f>SUM(tblSalesData[[#This Row],[FY 2000]:[FY 2012]])</f>
        <v>200</v>
      </c>
      <c r="T102" s="11">
        <v>3.99</v>
      </c>
      <c r="U102" s="12">
        <f>tblSalesData[[#This Row],[Total Units 
to Date]]*tblSalesData[[#This Row],[Sell Price]]</f>
        <v>798</v>
      </c>
      <c r="V102" s="3"/>
      <c r="W102" s="4"/>
    </row>
    <row r="103" spans="1:23" x14ac:dyDescent="0.2">
      <c r="A103" s="4">
        <v>1015</v>
      </c>
      <c r="B103" s="9" t="s">
        <v>120</v>
      </c>
      <c r="C103" s="4" t="s">
        <v>26</v>
      </c>
      <c r="D103" s="4" t="s">
        <v>28</v>
      </c>
      <c r="E103" s="4" t="s">
        <v>18</v>
      </c>
      <c r="F103" s="10">
        <v>0</v>
      </c>
      <c r="G103" s="10">
        <v>0</v>
      </c>
      <c r="H103" s="10">
        <v>0</v>
      </c>
      <c r="I103" s="10">
        <v>0</v>
      </c>
      <c r="J103" s="10">
        <v>0</v>
      </c>
      <c r="K103" s="10">
        <v>0</v>
      </c>
      <c r="L103" s="10">
        <v>0</v>
      </c>
      <c r="M103" s="10">
        <v>0</v>
      </c>
      <c r="N103" s="10">
        <v>0</v>
      </c>
      <c r="O103" s="10">
        <v>0</v>
      </c>
      <c r="P103" s="4">
        <v>3423</v>
      </c>
      <c r="Q103" s="4">
        <v>4552</v>
      </c>
      <c r="R103" s="10">
        <v>6257</v>
      </c>
      <c r="S103" s="24">
        <f>SUM(tblSalesData[[#This Row],[FY 2000]:[FY 2012]])</f>
        <v>14232</v>
      </c>
      <c r="T103" s="11">
        <v>0.99</v>
      </c>
      <c r="U103" s="12">
        <f>tblSalesData[[#This Row],[Total Units 
to Date]]*tblSalesData[[#This Row],[Sell Price]]</f>
        <v>14089.68</v>
      </c>
      <c r="V103" s="3"/>
      <c r="W103" s="4"/>
    </row>
    <row r="104" spans="1:23" x14ac:dyDescent="0.2">
      <c r="A104" s="4">
        <v>1015</v>
      </c>
      <c r="B104" s="9" t="s">
        <v>121</v>
      </c>
      <c r="C104" s="4" t="s">
        <v>14</v>
      </c>
      <c r="D104" s="4" t="s">
        <v>28</v>
      </c>
      <c r="E104" s="4" t="s">
        <v>17</v>
      </c>
      <c r="F104" s="10">
        <v>0</v>
      </c>
      <c r="G104" s="10">
        <v>0</v>
      </c>
      <c r="H104" s="10">
        <v>0</v>
      </c>
      <c r="I104" s="10">
        <v>0</v>
      </c>
      <c r="J104" s="10">
        <v>0</v>
      </c>
      <c r="K104" s="10">
        <v>0</v>
      </c>
      <c r="L104" s="10">
        <v>0</v>
      </c>
      <c r="M104" s="10">
        <v>0</v>
      </c>
      <c r="N104" s="10">
        <v>0</v>
      </c>
      <c r="O104" s="10">
        <v>0</v>
      </c>
      <c r="P104" s="4">
        <v>3561</v>
      </c>
      <c r="Q104" s="4">
        <v>4346</v>
      </c>
      <c r="R104" s="10">
        <v>5036</v>
      </c>
      <c r="S104" s="24">
        <f>SUM(tblSalesData[[#This Row],[FY 2000]:[FY 2012]])</f>
        <v>12943</v>
      </c>
      <c r="T104" s="11">
        <v>1.99</v>
      </c>
      <c r="U104" s="12">
        <f>tblSalesData[[#This Row],[Total Units 
to Date]]*tblSalesData[[#This Row],[Sell Price]]</f>
        <v>25756.57</v>
      </c>
      <c r="V104" s="3"/>
      <c r="W104" s="4"/>
    </row>
    <row r="105" spans="1:23" x14ac:dyDescent="0.2">
      <c r="A105" s="4">
        <v>1015</v>
      </c>
      <c r="B105" s="9" t="s">
        <v>122</v>
      </c>
      <c r="C105" s="4" t="s">
        <v>26</v>
      </c>
      <c r="D105" s="4" t="s">
        <v>28</v>
      </c>
      <c r="E105" s="4" t="s">
        <v>16</v>
      </c>
      <c r="F105" s="10">
        <v>0</v>
      </c>
      <c r="G105" s="10">
        <v>0</v>
      </c>
      <c r="H105" s="10">
        <v>0</v>
      </c>
      <c r="I105" s="10">
        <v>0</v>
      </c>
      <c r="J105" s="10">
        <v>0</v>
      </c>
      <c r="K105" s="10">
        <v>0</v>
      </c>
      <c r="L105" s="10">
        <v>0</v>
      </c>
      <c r="M105" s="10">
        <v>0</v>
      </c>
      <c r="N105" s="10">
        <v>0</v>
      </c>
      <c r="O105" s="10">
        <v>0</v>
      </c>
      <c r="P105" s="4">
        <v>0</v>
      </c>
      <c r="Q105" s="4">
        <v>56833</v>
      </c>
      <c r="R105" s="10">
        <v>31063</v>
      </c>
      <c r="S105" s="24">
        <f>SUM(tblSalesData[[#This Row],[FY 2000]:[FY 2012]])</f>
        <v>87896</v>
      </c>
      <c r="T105" s="11">
        <v>1.49</v>
      </c>
      <c r="U105" s="12">
        <f>tblSalesData[[#This Row],[Total Units 
to Date]]*tblSalesData[[#This Row],[Sell Price]]</f>
        <v>130965.04</v>
      </c>
      <c r="V105" s="3"/>
      <c r="W105" s="4"/>
    </row>
    <row r="106" spans="1:23" x14ac:dyDescent="0.2">
      <c r="A106" s="4">
        <v>1015</v>
      </c>
      <c r="B106" s="9" t="s">
        <v>123</v>
      </c>
      <c r="C106" s="4" t="s">
        <v>15</v>
      </c>
      <c r="D106" s="4" t="s">
        <v>27</v>
      </c>
      <c r="E106" s="4" t="s">
        <v>18</v>
      </c>
      <c r="F106" s="10">
        <v>0</v>
      </c>
      <c r="G106" s="10">
        <v>0</v>
      </c>
      <c r="H106" s="10">
        <v>0</v>
      </c>
      <c r="I106" s="10">
        <v>0</v>
      </c>
      <c r="J106" s="10">
        <v>0</v>
      </c>
      <c r="K106" s="10">
        <v>0</v>
      </c>
      <c r="L106" s="10">
        <v>0</v>
      </c>
      <c r="M106" s="10">
        <v>0</v>
      </c>
      <c r="N106" s="10">
        <v>0</v>
      </c>
      <c r="O106" s="10">
        <v>0</v>
      </c>
      <c r="P106" s="4">
        <v>0</v>
      </c>
      <c r="Q106" s="4">
        <v>0</v>
      </c>
      <c r="R106" s="4">
        <v>186314</v>
      </c>
      <c r="S106" s="24">
        <f>SUM(tblSalesData[[#This Row],[FY 2000]:[FY 2012]])</f>
        <v>186314</v>
      </c>
      <c r="T106" s="11">
        <v>9.99</v>
      </c>
      <c r="U106" s="12">
        <f>tblSalesData[[#This Row],[Total Units 
to Date]]*tblSalesData[[#This Row],[Sell Price]]</f>
        <v>1861276.86</v>
      </c>
      <c r="V106" s="3"/>
      <c r="W106" s="4"/>
    </row>
    <row r="107" spans="1:23" x14ac:dyDescent="0.2">
      <c r="A107" s="4">
        <v>1015</v>
      </c>
      <c r="B107" s="9" t="s">
        <v>124</v>
      </c>
      <c r="C107" s="4" t="s">
        <v>13</v>
      </c>
      <c r="D107" s="4" t="s">
        <v>27</v>
      </c>
      <c r="E107" s="4" t="s">
        <v>17</v>
      </c>
      <c r="F107" s="10">
        <v>0</v>
      </c>
      <c r="G107" s="10">
        <v>0</v>
      </c>
      <c r="H107" s="10">
        <v>0</v>
      </c>
      <c r="I107" s="10">
        <v>0</v>
      </c>
      <c r="J107" s="10">
        <v>0</v>
      </c>
      <c r="K107" s="10">
        <v>0</v>
      </c>
      <c r="L107" s="10">
        <v>0</v>
      </c>
      <c r="M107" s="10">
        <v>0</v>
      </c>
      <c r="N107" s="10">
        <v>0</v>
      </c>
      <c r="O107" s="10">
        <v>114</v>
      </c>
      <c r="P107" s="4">
        <v>349</v>
      </c>
      <c r="Q107" s="4">
        <v>559</v>
      </c>
      <c r="R107" s="4">
        <v>363</v>
      </c>
      <c r="S107" s="24">
        <f>SUM(tblSalesData[[#This Row],[FY 2000]:[FY 2012]])</f>
        <v>1385</v>
      </c>
      <c r="T107" s="11">
        <v>12.99</v>
      </c>
      <c r="U107" s="12">
        <f>tblSalesData[[#This Row],[Total Units 
to Date]]*tblSalesData[[#This Row],[Sell Price]]</f>
        <v>17991.150000000001</v>
      </c>
      <c r="V107" s="3"/>
      <c r="W107" s="4"/>
    </row>
    <row r="108" spans="1:23" x14ac:dyDescent="0.2">
      <c r="A108" s="4">
        <v>1015</v>
      </c>
      <c r="B108" s="9" t="s">
        <v>124</v>
      </c>
      <c r="C108" s="4" t="s">
        <v>13</v>
      </c>
      <c r="D108" s="4" t="s">
        <v>27</v>
      </c>
      <c r="E108" s="4" t="s">
        <v>19</v>
      </c>
      <c r="F108" s="10">
        <v>0</v>
      </c>
      <c r="G108" s="10">
        <v>0</v>
      </c>
      <c r="H108" s="10">
        <v>0</v>
      </c>
      <c r="I108" s="10">
        <v>0</v>
      </c>
      <c r="J108" s="10">
        <v>0</v>
      </c>
      <c r="K108" s="10">
        <v>0</v>
      </c>
      <c r="L108" s="10">
        <v>0</v>
      </c>
      <c r="M108" s="10">
        <v>0</v>
      </c>
      <c r="N108" s="10">
        <v>0</v>
      </c>
      <c r="O108" s="10">
        <v>66</v>
      </c>
      <c r="P108" s="4">
        <v>409</v>
      </c>
      <c r="Q108" s="4">
        <v>372</v>
      </c>
      <c r="R108" s="4">
        <v>609</v>
      </c>
      <c r="S108" s="24">
        <f>SUM(tblSalesData[[#This Row],[FY 2000]:[FY 2012]])</f>
        <v>1456</v>
      </c>
      <c r="T108" s="11">
        <v>15.99</v>
      </c>
      <c r="U108" s="12">
        <f>tblSalesData[[#This Row],[Total Units 
to Date]]*tblSalesData[[#This Row],[Sell Price]]</f>
        <v>23281.439999999999</v>
      </c>
      <c r="V108" s="3"/>
      <c r="W108" s="4"/>
    </row>
    <row r="109" spans="1:23" x14ac:dyDescent="0.2">
      <c r="A109" s="4">
        <v>1015</v>
      </c>
      <c r="B109" s="9" t="s">
        <v>124</v>
      </c>
      <c r="C109" s="4" t="s">
        <v>13</v>
      </c>
      <c r="D109" s="4" t="s">
        <v>27</v>
      </c>
      <c r="E109" s="4" t="s">
        <v>18</v>
      </c>
      <c r="F109" s="10">
        <v>0</v>
      </c>
      <c r="G109" s="10">
        <v>0</v>
      </c>
      <c r="H109" s="10">
        <v>0</v>
      </c>
      <c r="I109" s="10">
        <v>0</v>
      </c>
      <c r="J109" s="10">
        <v>0</v>
      </c>
      <c r="K109" s="10">
        <v>0</v>
      </c>
      <c r="L109" s="10">
        <v>0</v>
      </c>
      <c r="M109" s="10">
        <v>0</v>
      </c>
      <c r="N109" s="10">
        <v>0</v>
      </c>
      <c r="O109" s="10">
        <v>205</v>
      </c>
      <c r="P109" s="4">
        <v>375</v>
      </c>
      <c r="Q109" s="4">
        <v>435</v>
      </c>
      <c r="R109" s="4">
        <v>504</v>
      </c>
      <c r="S109" s="24">
        <f>SUM(tblSalesData[[#This Row],[FY 2000]:[FY 2012]])</f>
        <v>1519</v>
      </c>
      <c r="T109" s="11">
        <v>9.99</v>
      </c>
      <c r="U109" s="12">
        <f>tblSalesData[[#This Row],[Total Units 
to Date]]*tblSalesData[[#This Row],[Sell Price]]</f>
        <v>15174.81</v>
      </c>
      <c r="V109" s="3"/>
      <c r="W109" s="4"/>
    </row>
    <row r="110" spans="1:23" x14ac:dyDescent="0.2">
      <c r="A110" s="4">
        <v>1015</v>
      </c>
      <c r="B110" s="9" t="s">
        <v>125</v>
      </c>
      <c r="C110" s="4" t="s">
        <v>26</v>
      </c>
      <c r="D110" s="4" t="s">
        <v>27</v>
      </c>
      <c r="E110" s="4" t="s">
        <v>16</v>
      </c>
      <c r="F110" s="10">
        <v>0</v>
      </c>
      <c r="G110" s="10">
        <v>0</v>
      </c>
      <c r="H110" s="10">
        <v>0</v>
      </c>
      <c r="I110" s="10">
        <v>0</v>
      </c>
      <c r="J110" s="10">
        <v>0</v>
      </c>
      <c r="K110" s="10">
        <v>0</v>
      </c>
      <c r="L110" s="10">
        <v>0</v>
      </c>
      <c r="M110" s="10">
        <v>0</v>
      </c>
      <c r="N110" s="10">
        <v>0</v>
      </c>
      <c r="O110" s="10">
        <v>61</v>
      </c>
      <c r="P110" s="4">
        <v>297</v>
      </c>
      <c r="Q110" s="4">
        <v>477</v>
      </c>
      <c r="R110" s="4">
        <v>582</v>
      </c>
      <c r="S110" s="24">
        <f>SUM(tblSalesData[[#This Row],[FY 2000]:[FY 2012]])</f>
        <v>1417</v>
      </c>
      <c r="T110" s="11">
        <v>11.99</v>
      </c>
      <c r="U110" s="12">
        <f>tblSalesData[[#This Row],[Total Units 
to Date]]*tblSalesData[[#This Row],[Sell Price]]</f>
        <v>16989.830000000002</v>
      </c>
      <c r="V110" s="3"/>
      <c r="W110" s="4"/>
    </row>
    <row r="111" spans="1:23" x14ac:dyDescent="0.2">
      <c r="A111" s="4">
        <v>1016</v>
      </c>
      <c r="B111" s="9" t="s">
        <v>126</v>
      </c>
      <c r="C111" s="4" t="s">
        <v>26</v>
      </c>
      <c r="D111" s="4" t="s">
        <v>28</v>
      </c>
      <c r="E111" s="4" t="s">
        <v>18</v>
      </c>
      <c r="F111" s="10">
        <v>95</v>
      </c>
      <c r="G111" s="10">
        <v>107</v>
      </c>
      <c r="H111" s="10">
        <v>1195</v>
      </c>
      <c r="I111" s="10">
        <v>3362</v>
      </c>
      <c r="J111" s="10">
        <v>4939</v>
      </c>
      <c r="K111" s="10">
        <v>10938</v>
      </c>
      <c r="L111" s="10">
        <v>14223</v>
      </c>
      <c r="M111" s="10">
        <v>17633</v>
      </c>
      <c r="N111" s="10">
        <v>32860</v>
      </c>
      <c r="O111" s="10">
        <v>57407</v>
      </c>
      <c r="P111" s="4">
        <v>103227</v>
      </c>
      <c r="Q111" s="4">
        <v>283367</v>
      </c>
      <c r="R111" s="10">
        <v>544166</v>
      </c>
      <c r="S111" s="24">
        <f>SUM(tblSalesData[[#This Row],[FY 2000]:[FY 2012]])</f>
        <v>1073519</v>
      </c>
      <c r="T111" s="11">
        <v>0.99</v>
      </c>
      <c r="U111" s="12">
        <f>tblSalesData[[#This Row],[Total Units 
to Date]]*tblSalesData[[#This Row],[Sell Price]]</f>
        <v>1062783.81</v>
      </c>
      <c r="V111" s="3"/>
      <c r="W111" s="4"/>
    </row>
    <row r="112" spans="1:23" x14ac:dyDescent="0.2">
      <c r="A112" s="4">
        <v>1016</v>
      </c>
      <c r="B112" s="9" t="s">
        <v>127</v>
      </c>
      <c r="C112" s="4" t="s">
        <v>26</v>
      </c>
      <c r="D112" s="4" t="s">
        <v>28</v>
      </c>
      <c r="E112" s="4" t="s">
        <v>17</v>
      </c>
      <c r="F112" s="10">
        <v>0</v>
      </c>
      <c r="G112" s="10">
        <v>0</v>
      </c>
      <c r="H112" s="10">
        <v>1321</v>
      </c>
      <c r="I112" s="10">
        <v>2857</v>
      </c>
      <c r="J112" s="10">
        <v>6911</v>
      </c>
      <c r="K112" s="10">
        <v>9803</v>
      </c>
      <c r="L112" s="10">
        <v>11474</v>
      </c>
      <c r="M112" s="10">
        <v>17403</v>
      </c>
      <c r="N112" s="10">
        <v>41885</v>
      </c>
      <c r="O112" s="10">
        <v>68039</v>
      </c>
      <c r="P112" s="4">
        <v>87367</v>
      </c>
      <c r="Q112" s="4">
        <v>186408</v>
      </c>
      <c r="R112" s="10">
        <v>646451</v>
      </c>
      <c r="S112" s="24">
        <f>SUM(tblSalesData[[#This Row],[FY 2000]:[FY 2012]])</f>
        <v>1079919</v>
      </c>
      <c r="T112" s="11">
        <v>1.99</v>
      </c>
      <c r="U112" s="12">
        <f>tblSalesData[[#This Row],[Total Units 
to Date]]*tblSalesData[[#This Row],[Sell Price]]</f>
        <v>2149038.81</v>
      </c>
      <c r="V112" s="3"/>
      <c r="W112" s="4"/>
    </row>
    <row r="113" spans="1:23" x14ac:dyDescent="0.2">
      <c r="A113" s="4">
        <v>1016</v>
      </c>
      <c r="B113" s="9" t="s">
        <v>128</v>
      </c>
      <c r="C113" s="4" t="s">
        <v>26</v>
      </c>
      <c r="D113" s="4" t="s">
        <v>27</v>
      </c>
      <c r="E113" s="4" t="s">
        <v>17</v>
      </c>
      <c r="F113" s="10">
        <v>0</v>
      </c>
      <c r="G113" s="10">
        <v>0</v>
      </c>
      <c r="H113" s="10">
        <v>0</v>
      </c>
      <c r="I113" s="10">
        <v>3052</v>
      </c>
      <c r="J113" s="10">
        <v>5094</v>
      </c>
      <c r="K113" s="10">
        <v>7205</v>
      </c>
      <c r="L113" s="10">
        <v>13180</v>
      </c>
      <c r="M113" s="10">
        <v>20897</v>
      </c>
      <c r="N113" s="10">
        <v>42078</v>
      </c>
      <c r="O113" s="10">
        <v>71796</v>
      </c>
      <c r="P113" s="4">
        <v>88883</v>
      </c>
      <c r="Q113" s="4">
        <v>110086</v>
      </c>
      <c r="R113" s="4">
        <v>259598</v>
      </c>
      <c r="S113" s="24">
        <f>SUM(tblSalesData[[#This Row],[FY 2000]:[FY 2012]])</f>
        <v>621869</v>
      </c>
      <c r="T113" s="11">
        <v>12.99</v>
      </c>
      <c r="U113" s="12">
        <f>tblSalesData[[#This Row],[Total Units 
to Date]]*tblSalesData[[#This Row],[Sell Price]]</f>
        <v>8078078.3100000005</v>
      </c>
      <c r="V113" s="3"/>
      <c r="W113" s="4"/>
    </row>
    <row r="114" spans="1:23" x14ac:dyDescent="0.2">
      <c r="A114" s="4">
        <v>1016</v>
      </c>
      <c r="B114" s="9" t="s">
        <v>129</v>
      </c>
      <c r="C114" s="4" t="s">
        <v>26</v>
      </c>
      <c r="D114" s="4" t="s">
        <v>28</v>
      </c>
      <c r="E114" s="4" t="s">
        <v>18</v>
      </c>
      <c r="F114" s="10">
        <v>0</v>
      </c>
      <c r="G114" s="10">
        <v>0</v>
      </c>
      <c r="H114" s="10">
        <v>0</v>
      </c>
      <c r="I114" s="10">
        <v>0</v>
      </c>
      <c r="J114" s="10">
        <v>4404</v>
      </c>
      <c r="K114" s="10">
        <v>10069</v>
      </c>
      <c r="L114" s="10">
        <v>12311</v>
      </c>
      <c r="M114" s="10">
        <v>20224</v>
      </c>
      <c r="N114" s="10">
        <v>38941</v>
      </c>
      <c r="O114" s="10">
        <v>50741</v>
      </c>
      <c r="P114" s="4">
        <v>106658</v>
      </c>
      <c r="Q114" s="4">
        <v>261233</v>
      </c>
      <c r="R114" s="10">
        <v>869685</v>
      </c>
      <c r="S114" s="24">
        <f>SUM(tblSalesData[[#This Row],[FY 2000]:[FY 2012]])</f>
        <v>1374266</v>
      </c>
      <c r="T114" s="11">
        <v>0.99</v>
      </c>
      <c r="U114" s="12">
        <f>tblSalesData[[#This Row],[Total Units 
to Date]]*tblSalesData[[#This Row],[Sell Price]]</f>
        <v>1360523.34</v>
      </c>
      <c r="V114" s="3"/>
      <c r="W114" s="4"/>
    </row>
    <row r="115" spans="1:23" x14ac:dyDescent="0.2">
      <c r="A115" s="4">
        <v>1016</v>
      </c>
      <c r="B115" s="9" t="s">
        <v>130</v>
      </c>
      <c r="C115" s="4" t="s">
        <v>26</v>
      </c>
      <c r="D115" s="4" t="s">
        <v>28</v>
      </c>
      <c r="E115" s="4" t="s">
        <v>18</v>
      </c>
      <c r="F115" s="10">
        <v>0</v>
      </c>
      <c r="G115" s="10">
        <v>0</v>
      </c>
      <c r="H115" s="10">
        <v>0</v>
      </c>
      <c r="I115" s="10">
        <v>0</v>
      </c>
      <c r="J115" s="10">
        <v>4662</v>
      </c>
      <c r="K115" s="10">
        <v>9478</v>
      </c>
      <c r="L115" s="10">
        <v>12207</v>
      </c>
      <c r="M115" s="10">
        <v>23454</v>
      </c>
      <c r="N115" s="10">
        <v>27979</v>
      </c>
      <c r="O115" s="10">
        <v>48865</v>
      </c>
      <c r="P115" s="4">
        <v>103954</v>
      </c>
      <c r="Q115" s="4">
        <v>278512</v>
      </c>
      <c r="R115" s="10">
        <v>533990</v>
      </c>
      <c r="S115" s="24">
        <f>SUM(tblSalesData[[#This Row],[FY 2000]:[FY 2012]])</f>
        <v>1043101</v>
      </c>
      <c r="T115" s="11">
        <v>0.99</v>
      </c>
      <c r="U115" s="12">
        <f>tblSalesData[[#This Row],[Total Units 
to Date]]*tblSalesData[[#This Row],[Sell Price]]</f>
        <v>1032669.99</v>
      </c>
      <c r="V115" s="3"/>
      <c r="W115" s="4"/>
    </row>
    <row r="116" spans="1:23" x14ac:dyDescent="0.2">
      <c r="A116" s="4">
        <v>1016</v>
      </c>
      <c r="B116" s="9" t="s">
        <v>131</v>
      </c>
      <c r="C116" s="4" t="s">
        <v>26</v>
      </c>
      <c r="D116" s="4" t="s">
        <v>28</v>
      </c>
      <c r="E116" s="4" t="s">
        <v>19</v>
      </c>
      <c r="F116" s="10">
        <v>0</v>
      </c>
      <c r="G116" s="10">
        <v>0</v>
      </c>
      <c r="H116" s="10">
        <v>0</v>
      </c>
      <c r="I116" s="10">
        <v>0</v>
      </c>
      <c r="J116" s="10">
        <v>0</v>
      </c>
      <c r="K116" s="10">
        <v>10257</v>
      </c>
      <c r="L116" s="10">
        <v>12506</v>
      </c>
      <c r="M116" s="10">
        <v>22667</v>
      </c>
      <c r="N116" s="10">
        <v>36344</v>
      </c>
      <c r="O116" s="10">
        <v>62704</v>
      </c>
      <c r="P116" s="4">
        <v>98539</v>
      </c>
      <c r="Q116" s="4">
        <v>216129</v>
      </c>
      <c r="R116" s="10">
        <v>850598</v>
      </c>
      <c r="S116" s="24">
        <f>SUM(tblSalesData[[#This Row],[FY 2000]:[FY 2012]])</f>
        <v>1309744</v>
      </c>
      <c r="T116" s="11">
        <v>3.99</v>
      </c>
      <c r="U116" s="12">
        <f>tblSalesData[[#This Row],[Total Units 
to Date]]*tblSalesData[[#This Row],[Sell Price]]</f>
        <v>5225878.5600000005</v>
      </c>
      <c r="V116" s="3"/>
      <c r="W116" s="4"/>
    </row>
    <row r="117" spans="1:23" x14ac:dyDescent="0.2">
      <c r="A117" s="4">
        <v>1016</v>
      </c>
      <c r="B117" s="9" t="s">
        <v>132</v>
      </c>
      <c r="C117" s="4" t="s">
        <v>26</v>
      </c>
      <c r="D117" s="4" t="s">
        <v>27</v>
      </c>
      <c r="E117" s="4" t="s">
        <v>18</v>
      </c>
      <c r="F117" s="10">
        <v>0</v>
      </c>
      <c r="G117" s="10">
        <v>0</v>
      </c>
      <c r="H117" s="10">
        <v>0</v>
      </c>
      <c r="I117" s="10">
        <v>0</v>
      </c>
      <c r="J117" s="10">
        <v>0</v>
      </c>
      <c r="K117" s="10">
        <v>9076</v>
      </c>
      <c r="L117" s="10">
        <v>13165</v>
      </c>
      <c r="M117" s="10">
        <v>18101</v>
      </c>
      <c r="N117" s="10">
        <v>36634</v>
      </c>
      <c r="O117" s="10">
        <v>70360</v>
      </c>
      <c r="P117" s="4">
        <v>68133</v>
      </c>
      <c r="Q117" s="4">
        <v>169271</v>
      </c>
      <c r="R117" s="4">
        <v>220212</v>
      </c>
      <c r="S117" s="24">
        <f>SUM(tblSalesData[[#This Row],[FY 2000]:[FY 2012]])</f>
        <v>604952</v>
      </c>
      <c r="T117" s="11">
        <v>9.99</v>
      </c>
      <c r="U117" s="12">
        <f>tblSalesData[[#This Row],[Total Units 
to Date]]*tblSalesData[[#This Row],[Sell Price]]</f>
        <v>6043470.4800000004</v>
      </c>
      <c r="V117" s="3"/>
      <c r="W117" s="4"/>
    </row>
    <row r="118" spans="1:23" x14ac:dyDescent="0.2">
      <c r="A118" s="4">
        <v>1016</v>
      </c>
      <c r="B118" s="9" t="s">
        <v>133</v>
      </c>
      <c r="C118" s="4" t="s">
        <v>26</v>
      </c>
      <c r="D118" s="4" t="s">
        <v>28</v>
      </c>
      <c r="E118" s="4" t="s">
        <v>19</v>
      </c>
      <c r="F118" s="10">
        <v>0</v>
      </c>
      <c r="G118" s="10">
        <v>0</v>
      </c>
      <c r="H118" s="10">
        <v>0</v>
      </c>
      <c r="I118" s="10">
        <v>0</v>
      </c>
      <c r="J118" s="10">
        <v>0</v>
      </c>
      <c r="K118" s="10">
        <v>0</v>
      </c>
      <c r="L118" s="10">
        <v>12904</v>
      </c>
      <c r="M118" s="10">
        <v>17816</v>
      </c>
      <c r="N118" s="10">
        <v>27234</v>
      </c>
      <c r="O118" s="10">
        <v>65954</v>
      </c>
      <c r="P118" s="4">
        <v>92622</v>
      </c>
      <c r="Q118" s="4">
        <v>207343</v>
      </c>
      <c r="R118" s="10">
        <v>327854</v>
      </c>
      <c r="S118" s="24">
        <f>SUM(tblSalesData[[#This Row],[FY 2000]:[FY 2012]])</f>
        <v>751727</v>
      </c>
      <c r="T118" s="11">
        <v>3.99</v>
      </c>
      <c r="U118" s="12">
        <f>tblSalesData[[#This Row],[Total Units 
to Date]]*tblSalesData[[#This Row],[Sell Price]]</f>
        <v>2999390.73</v>
      </c>
      <c r="V118" s="3"/>
      <c r="W118" s="4"/>
    </row>
    <row r="119" spans="1:23" x14ac:dyDescent="0.2">
      <c r="A119" s="4">
        <v>1016</v>
      </c>
      <c r="B119" s="9" t="s">
        <v>134</v>
      </c>
      <c r="C119" s="4" t="s">
        <v>26</v>
      </c>
      <c r="D119" s="4" t="s">
        <v>28</v>
      </c>
      <c r="E119" s="4" t="s">
        <v>19</v>
      </c>
      <c r="F119" s="10">
        <v>0</v>
      </c>
      <c r="G119" s="10">
        <v>0</v>
      </c>
      <c r="H119" s="10">
        <v>0</v>
      </c>
      <c r="I119" s="10">
        <v>0</v>
      </c>
      <c r="J119" s="10">
        <v>0</v>
      </c>
      <c r="K119" s="10">
        <v>0</v>
      </c>
      <c r="L119" s="10">
        <v>0</v>
      </c>
      <c r="M119" s="10">
        <v>16348</v>
      </c>
      <c r="N119" s="10">
        <v>41673</v>
      </c>
      <c r="O119" s="10">
        <v>57070</v>
      </c>
      <c r="P119" s="4">
        <v>98772</v>
      </c>
      <c r="Q119" s="4">
        <v>199364</v>
      </c>
      <c r="R119" s="10">
        <v>201632</v>
      </c>
      <c r="S119" s="24">
        <f>SUM(tblSalesData[[#This Row],[FY 2000]:[FY 2012]])</f>
        <v>614859</v>
      </c>
      <c r="T119" s="11">
        <v>3.99</v>
      </c>
      <c r="U119" s="12">
        <f>tblSalesData[[#This Row],[Total Units 
to Date]]*tblSalesData[[#This Row],[Sell Price]]</f>
        <v>2453287.41</v>
      </c>
      <c r="V119" s="3"/>
      <c r="W119" s="4"/>
    </row>
    <row r="120" spans="1:23" x14ac:dyDescent="0.2">
      <c r="A120" s="4">
        <v>1016</v>
      </c>
      <c r="B120" s="9" t="s">
        <v>135</v>
      </c>
      <c r="C120" s="4" t="s">
        <v>26</v>
      </c>
      <c r="D120" s="4" t="s">
        <v>27</v>
      </c>
      <c r="E120" s="4" t="s">
        <v>19</v>
      </c>
      <c r="F120" s="10">
        <v>0</v>
      </c>
      <c r="G120" s="10">
        <v>0</v>
      </c>
      <c r="H120" s="10">
        <v>0</v>
      </c>
      <c r="I120" s="10">
        <v>0</v>
      </c>
      <c r="J120" s="10">
        <v>0</v>
      </c>
      <c r="K120" s="10">
        <v>0</v>
      </c>
      <c r="L120" s="10">
        <v>0</v>
      </c>
      <c r="M120" s="10">
        <v>17718</v>
      </c>
      <c r="N120" s="10">
        <v>25620</v>
      </c>
      <c r="O120" s="10">
        <v>61747</v>
      </c>
      <c r="P120" s="4">
        <v>81403</v>
      </c>
      <c r="Q120" s="4">
        <v>130390</v>
      </c>
      <c r="R120" s="4">
        <v>284083</v>
      </c>
      <c r="S120" s="24">
        <f>SUM(tblSalesData[[#This Row],[FY 2000]:[FY 2012]])</f>
        <v>600961</v>
      </c>
      <c r="T120" s="11">
        <v>15.99</v>
      </c>
      <c r="U120" s="12">
        <f>tblSalesData[[#This Row],[Total Units 
to Date]]*tblSalesData[[#This Row],[Sell Price]]</f>
        <v>9609366.3900000006</v>
      </c>
      <c r="V120" s="3"/>
      <c r="W120" s="4"/>
    </row>
    <row r="121" spans="1:23" x14ac:dyDescent="0.2">
      <c r="A121" s="4">
        <v>1016</v>
      </c>
      <c r="B121" s="9" t="s">
        <v>136</v>
      </c>
      <c r="C121" s="4" t="s">
        <v>26</v>
      </c>
      <c r="D121" s="4" t="s">
        <v>27</v>
      </c>
      <c r="E121" s="4" t="s">
        <v>17</v>
      </c>
      <c r="F121" s="10">
        <v>0</v>
      </c>
      <c r="G121" s="10">
        <v>0</v>
      </c>
      <c r="H121" s="10">
        <v>0</v>
      </c>
      <c r="I121" s="10">
        <v>0</v>
      </c>
      <c r="J121" s="10">
        <v>0</v>
      </c>
      <c r="K121" s="10">
        <v>0</v>
      </c>
      <c r="L121" s="10">
        <v>0</v>
      </c>
      <c r="M121" s="10">
        <v>0</v>
      </c>
      <c r="N121" s="10">
        <v>27813</v>
      </c>
      <c r="O121" s="10">
        <v>50507</v>
      </c>
      <c r="P121" s="4">
        <v>88325</v>
      </c>
      <c r="Q121" s="4">
        <v>152209</v>
      </c>
      <c r="R121" s="4">
        <v>296293</v>
      </c>
      <c r="S121" s="24">
        <f>SUM(tblSalesData[[#This Row],[FY 2000]:[FY 2012]])</f>
        <v>615147</v>
      </c>
      <c r="T121" s="11">
        <v>12.99</v>
      </c>
      <c r="U121" s="12">
        <f>tblSalesData[[#This Row],[Total Units 
to Date]]*tblSalesData[[#This Row],[Sell Price]]</f>
        <v>7990759.5300000003</v>
      </c>
      <c r="V121" s="3"/>
      <c r="W121" s="4"/>
    </row>
    <row r="122" spans="1:23" x14ac:dyDescent="0.2">
      <c r="A122" s="4">
        <v>1016</v>
      </c>
      <c r="B122" s="9" t="s">
        <v>137</v>
      </c>
      <c r="C122" s="4" t="s">
        <v>26</v>
      </c>
      <c r="D122" s="4" t="s">
        <v>27</v>
      </c>
      <c r="E122" s="4" t="s">
        <v>16</v>
      </c>
      <c r="F122" s="10">
        <v>0</v>
      </c>
      <c r="G122" s="10">
        <v>0</v>
      </c>
      <c r="H122" s="10">
        <v>0</v>
      </c>
      <c r="I122" s="10">
        <v>0</v>
      </c>
      <c r="J122" s="10">
        <v>0</v>
      </c>
      <c r="K122" s="10">
        <v>0</v>
      </c>
      <c r="L122" s="10">
        <v>0</v>
      </c>
      <c r="M122" s="10">
        <v>0</v>
      </c>
      <c r="N122" s="10">
        <v>34746</v>
      </c>
      <c r="O122" s="10">
        <v>71901</v>
      </c>
      <c r="P122" s="4">
        <v>89096</v>
      </c>
      <c r="Q122" s="4">
        <v>138957</v>
      </c>
      <c r="R122" s="4">
        <v>191215</v>
      </c>
      <c r="S122" s="24">
        <f>SUM(tblSalesData[[#This Row],[FY 2000]:[FY 2012]])</f>
        <v>525915</v>
      </c>
      <c r="T122" s="11">
        <v>11.99</v>
      </c>
      <c r="U122" s="12">
        <f>tblSalesData[[#This Row],[Total Units 
to Date]]*tblSalesData[[#This Row],[Sell Price]]</f>
        <v>6305720.8500000006</v>
      </c>
      <c r="V122" s="3"/>
      <c r="W122" s="4"/>
    </row>
    <row r="123" spans="1:23" x14ac:dyDescent="0.2">
      <c r="A123" s="4">
        <v>1016</v>
      </c>
      <c r="B123" s="9" t="s">
        <v>138</v>
      </c>
      <c r="C123" s="4" t="s">
        <v>26</v>
      </c>
      <c r="D123" s="4" t="s">
        <v>28</v>
      </c>
      <c r="E123" s="4" t="s">
        <v>17</v>
      </c>
      <c r="F123" s="10">
        <v>0</v>
      </c>
      <c r="G123" s="10">
        <v>0</v>
      </c>
      <c r="H123" s="10">
        <v>0</v>
      </c>
      <c r="I123" s="10">
        <v>0</v>
      </c>
      <c r="J123" s="10">
        <v>0</v>
      </c>
      <c r="K123" s="10">
        <v>0</v>
      </c>
      <c r="L123" s="10">
        <v>0</v>
      </c>
      <c r="M123" s="10">
        <v>0</v>
      </c>
      <c r="N123" s="10">
        <v>0</v>
      </c>
      <c r="O123" s="10">
        <v>71039</v>
      </c>
      <c r="P123" s="4">
        <v>103757</v>
      </c>
      <c r="Q123" s="4">
        <v>225359</v>
      </c>
      <c r="R123" s="10">
        <v>293938</v>
      </c>
      <c r="S123" s="24">
        <f>SUM(tblSalesData[[#This Row],[FY 2000]:[FY 2012]])</f>
        <v>694093</v>
      </c>
      <c r="T123" s="11">
        <v>1.99</v>
      </c>
      <c r="U123" s="12">
        <f>tblSalesData[[#This Row],[Total Units 
to Date]]*tblSalesData[[#This Row],[Sell Price]]</f>
        <v>1381245.07</v>
      </c>
      <c r="V123" s="3"/>
      <c r="W123" s="4"/>
    </row>
    <row r="124" spans="1:23" x14ac:dyDescent="0.2">
      <c r="A124" s="4">
        <v>1016</v>
      </c>
      <c r="B124" s="9" t="s">
        <v>139</v>
      </c>
      <c r="C124" s="4" t="s">
        <v>26</v>
      </c>
      <c r="D124" s="4" t="s">
        <v>28</v>
      </c>
      <c r="E124" s="4" t="s">
        <v>18</v>
      </c>
      <c r="F124" s="10">
        <v>0</v>
      </c>
      <c r="G124" s="10">
        <v>0</v>
      </c>
      <c r="H124" s="10">
        <v>0</v>
      </c>
      <c r="I124" s="10">
        <v>0</v>
      </c>
      <c r="J124" s="10">
        <v>0</v>
      </c>
      <c r="K124" s="10">
        <v>0</v>
      </c>
      <c r="L124" s="10">
        <v>0</v>
      </c>
      <c r="M124" s="10">
        <v>0</v>
      </c>
      <c r="N124" s="10">
        <v>0</v>
      </c>
      <c r="O124" s="10">
        <v>0</v>
      </c>
      <c r="P124" s="4">
        <v>86247</v>
      </c>
      <c r="Q124" s="4">
        <v>176450</v>
      </c>
      <c r="R124" s="10">
        <v>517115</v>
      </c>
      <c r="S124" s="24">
        <f>SUM(tblSalesData[[#This Row],[FY 2000]:[FY 2012]])</f>
        <v>779812</v>
      </c>
      <c r="T124" s="11">
        <v>0.99</v>
      </c>
      <c r="U124" s="12">
        <f>tblSalesData[[#This Row],[Total Units 
to Date]]*tblSalesData[[#This Row],[Sell Price]]</f>
        <v>772013.88</v>
      </c>
      <c r="V124" s="3"/>
      <c r="W124" s="4"/>
    </row>
    <row r="125" spans="1:23" x14ac:dyDescent="0.2">
      <c r="A125" s="4">
        <v>1016</v>
      </c>
      <c r="B125" s="9" t="s">
        <v>140</v>
      </c>
      <c r="C125" s="4" t="s">
        <v>26</v>
      </c>
      <c r="D125" s="4" t="s">
        <v>27</v>
      </c>
      <c r="E125" s="4" t="s">
        <v>19</v>
      </c>
      <c r="F125" s="10">
        <v>0</v>
      </c>
      <c r="G125" s="10">
        <v>0</v>
      </c>
      <c r="H125" s="10">
        <v>0</v>
      </c>
      <c r="I125" s="10">
        <v>0</v>
      </c>
      <c r="J125" s="10">
        <v>0</v>
      </c>
      <c r="K125" s="10">
        <v>0</v>
      </c>
      <c r="L125" s="10">
        <v>0</v>
      </c>
      <c r="M125" s="10">
        <v>0</v>
      </c>
      <c r="N125" s="10">
        <v>0</v>
      </c>
      <c r="O125" s="10">
        <v>0</v>
      </c>
      <c r="P125" s="4">
        <v>0</v>
      </c>
      <c r="Q125" s="4">
        <v>142825</v>
      </c>
      <c r="R125" s="4">
        <v>170219</v>
      </c>
      <c r="S125" s="24">
        <f>SUM(tblSalesData[[#This Row],[FY 2000]:[FY 2012]])</f>
        <v>313044</v>
      </c>
      <c r="T125" s="11">
        <v>15.99</v>
      </c>
      <c r="U125" s="12">
        <f>tblSalesData[[#This Row],[Total Units 
to Date]]*tblSalesData[[#This Row],[Sell Price]]</f>
        <v>5005573.5600000005</v>
      </c>
      <c r="V125" s="3"/>
      <c r="W125" s="4"/>
    </row>
    <row r="126" spans="1:23" x14ac:dyDescent="0.2">
      <c r="A126" s="4">
        <v>1016</v>
      </c>
      <c r="B126" s="9" t="s">
        <v>141</v>
      </c>
      <c r="C126" s="4" t="s">
        <v>26</v>
      </c>
      <c r="D126" s="4" t="s">
        <v>27</v>
      </c>
      <c r="E126" s="4" t="s">
        <v>18</v>
      </c>
      <c r="F126" s="10">
        <v>0</v>
      </c>
      <c r="G126" s="10">
        <v>0</v>
      </c>
      <c r="H126" s="10">
        <v>0</v>
      </c>
      <c r="I126" s="10">
        <v>0</v>
      </c>
      <c r="J126" s="10">
        <v>0</v>
      </c>
      <c r="K126" s="10">
        <v>0</v>
      </c>
      <c r="L126" s="10">
        <v>0</v>
      </c>
      <c r="M126" s="10">
        <v>0</v>
      </c>
      <c r="N126" s="10">
        <v>0</v>
      </c>
      <c r="O126" s="10">
        <v>0</v>
      </c>
      <c r="P126" s="4">
        <v>0</v>
      </c>
      <c r="Q126" s="4">
        <v>0</v>
      </c>
      <c r="R126" s="4">
        <v>276930</v>
      </c>
      <c r="S126" s="24">
        <f>SUM(tblSalesData[[#This Row],[FY 2000]:[FY 2012]])</f>
        <v>276930</v>
      </c>
      <c r="T126" s="11">
        <v>9.99</v>
      </c>
      <c r="U126" s="12">
        <f>tblSalesData[[#This Row],[Total Units 
to Date]]*tblSalesData[[#This Row],[Sell Price]]</f>
        <v>2766530.7</v>
      </c>
      <c r="V126" s="3"/>
      <c r="W126" s="4"/>
    </row>
    <row r="127" spans="1:23" x14ac:dyDescent="0.2">
      <c r="A127" s="4">
        <v>1017</v>
      </c>
      <c r="B127" s="9" t="s">
        <v>142</v>
      </c>
      <c r="C127" s="4" t="s">
        <v>15</v>
      </c>
      <c r="D127" s="4" t="s">
        <v>28</v>
      </c>
      <c r="E127" s="4" t="s">
        <v>18</v>
      </c>
      <c r="F127" s="10">
        <v>0</v>
      </c>
      <c r="G127" s="10">
        <v>0</v>
      </c>
      <c r="H127" s="10">
        <v>0</v>
      </c>
      <c r="I127" s="10">
        <v>0</v>
      </c>
      <c r="J127" s="10">
        <v>0</v>
      </c>
      <c r="K127" s="10">
        <v>0</v>
      </c>
      <c r="L127" s="10">
        <v>0</v>
      </c>
      <c r="M127" s="10">
        <v>0</v>
      </c>
      <c r="N127" s="10">
        <v>0</v>
      </c>
      <c r="O127" s="10">
        <v>0</v>
      </c>
      <c r="P127" s="4">
        <v>0</v>
      </c>
      <c r="Q127" s="4">
        <v>84172</v>
      </c>
      <c r="R127" s="10">
        <v>43731</v>
      </c>
      <c r="S127" s="24">
        <f>SUM(tblSalesData[[#This Row],[FY 2000]:[FY 2012]])</f>
        <v>127903</v>
      </c>
      <c r="T127" s="11">
        <v>0.99</v>
      </c>
      <c r="U127" s="12">
        <f>tblSalesData[[#This Row],[Total Units 
to Date]]*tblSalesData[[#This Row],[Sell Price]]</f>
        <v>126623.97</v>
      </c>
      <c r="V127" s="3"/>
      <c r="W127" s="4"/>
    </row>
    <row r="128" spans="1:23" x14ac:dyDescent="0.2">
      <c r="A128" s="4">
        <v>1017</v>
      </c>
      <c r="B128" s="9" t="s">
        <v>143</v>
      </c>
      <c r="C128" s="4" t="s">
        <v>26</v>
      </c>
      <c r="D128" s="4" t="s">
        <v>28</v>
      </c>
      <c r="E128" s="4" t="s">
        <v>17</v>
      </c>
      <c r="F128" s="10">
        <v>0</v>
      </c>
      <c r="G128" s="10">
        <v>0</v>
      </c>
      <c r="H128" s="10">
        <v>0</v>
      </c>
      <c r="I128" s="10">
        <v>0</v>
      </c>
      <c r="J128" s="10">
        <v>0</v>
      </c>
      <c r="K128" s="10">
        <v>0</v>
      </c>
      <c r="L128" s="10">
        <v>0</v>
      </c>
      <c r="M128" s="10">
        <v>0</v>
      </c>
      <c r="N128" s="10">
        <v>0</v>
      </c>
      <c r="O128" s="10">
        <v>0</v>
      </c>
      <c r="P128" s="4">
        <v>0</v>
      </c>
      <c r="Q128" s="4">
        <v>103487</v>
      </c>
      <c r="R128" s="10">
        <v>71345</v>
      </c>
      <c r="S128" s="24">
        <f>SUM(tblSalesData[[#This Row],[FY 2000]:[FY 2012]])</f>
        <v>174832</v>
      </c>
      <c r="T128" s="11">
        <v>1.99</v>
      </c>
      <c r="U128" s="12">
        <f>tblSalesData[[#This Row],[Total Units 
to Date]]*tblSalesData[[#This Row],[Sell Price]]</f>
        <v>347915.68</v>
      </c>
      <c r="V128" s="3"/>
      <c r="W128" s="4"/>
    </row>
    <row r="129" spans="1:23" x14ac:dyDescent="0.2">
      <c r="A129" s="4">
        <v>1017</v>
      </c>
      <c r="B129" s="9" t="s">
        <v>144</v>
      </c>
      <c r="C129" s="4" t="s">
        <v>26</v>
      </c>
      <c r="D129" s="4" t="s">
        <v>27</v>
      </c>
      <c r="E129" s="4" t="s">
        <v>16</v>
      </c>
      <c r="F129" s="10">
        <v>0</v>
      </c>
      <c r="G129" s="10">
        <v>0</v>
      </c>
      <c r="H129" s="10">
        <v>0</v>
      </c>
      <c r="I129" s="10">
        <v>0</v>
      </c>
      <c r="J129" s="10">
        <v>0</v>
      </c>
      <c r="K129" s="10">
        <v>0</v>
      </c>
      <c r="L129" s="10">
        <v>0</v>
      </c>
      <c r="M129" s="10">
        <v>0</v>
      </c>
      <c r="N129" s="10">
        <v>0</v>
      </c>
      <c r="O129" s="10">
        <v>0</v>
      </c>
      <c r="P129" s="4">
        <v>0</v>
      </c>
      <c r="Q129" s="4">
        <v>65797</v>
      </c>
      <c r="R129" s="4">
        <v>6188</v>
      </c>
      <c r="S129" s="24">
        <f>SUM(tblSalesData[[#This Row],[FY 2000]:[FY 2012]])</f>
        <v>71985</v>
      </c>
      <c r="T129" s="11">
        <v>11.99</v>
      </c>
      <c r="U129" s="12">
        <f>tblSalesData[[#This Row],[Total Units 
to Date]]*tblSalesData[[#This Row],[Sell Price]]</f>
        <v>863100.15</v>
      </c>
      <c r="V129" s="3"/>
      <c r="W129" s="4"/>
    </row>
    <row r="130" spans="1:23" x14ac:dyDescent="0.2">
      <c r="A130" s="4">
        <v>1017</v>
      </c>
      <c r="B130" s="9" t="s">
        <v>145</v>
      </c>
      <c r="C130" s="4" t="s">
        <v>26</v>
      </c>
      <c r="D130" s="4" t="s">
        <v>27</v>
      </c>
      <c r="E130" s="4" t="s">
        <v>16</v>
      </c>
      <c r="F130" s="10">
        <v>0</v>
      </c>
      <c r="G130" s="10">
        <v>0</v>
      </c>
      <c r="H130" s="10">
        <v>0</v>
      </c>
      <c r="I130" s="10">
        <v>0</v>
      </c>
      <c r="J130" s="10">
        <v>0</v>
      </c>
      <c r="K130" s="10">
        <v>0</v>
      </c>
      <c r="L130" s="10">
        <v>0</v>
      </c>
      <c r="M130" s="10">
        <v>0</v>
      </c>
      <c r="N130" s="10">
        <v>0</v>
      </c>
      <c r="O130" s="10">
        <v>0</v>
      </c>
      <c r="P130" s="4">
        <v>0</v>
      </c>
      <c r="Q130" s="4">
        <v>50278</v>
      </c>
      <c r="R130" s="4">
        <v>16757</v>
      </c>
      <c r="S130" s="24">
        <f>SUM(tblSalesData[[#This Row],[FY 2000]:[FY 2012]])</f>
        <v>67035</v>
      </c>
      <c r="T130" s="11">
        <v>11.99</v>
      </c>
      <c r="U130" s="12">
        <f>tblSalesData[[#This Row],[Total Units 
to Date]]*tblSalesData[[#This Row],[Sell Price]]</f>
        <v>803749.65</v>
      </c>
      <c r="V130" s="3"/>
      <c r="W130" s="4"/>
    </row>
    <row r="131" spans="1:23" x14ac:dyDescent="0.2">
      <c r="A131" s="4">
        <v>1017</v>
      </c>
      <c r="B131" s="9" t="s">
        <v>146</v>
      </c>
      <c r="C131" s="4" t="s">
        <v>13</v>
      </c>
      <c r="D131" s="4" t="s">
        <v>28</v>
      </c>
      <c r="E131" s="4" t="s">
        <v>16</v>
      </c>
      <c r="F131" s="10">
        <v>0</v>
      </c>
      <c r="G131" s="10">
        <v>0</v>
      </c>
      <c r="H131" s="10">
        <v>0</v>
      </c>
      <c r="I131" s="10">
        <v>0</v>
      </c>
      <c r="J131" s="10">
        <v>0</v>
      </c>
      <c r="K131" s="10">
        <v>0</v>
      </c>
      <c r="L131" s="10">
        <v>0</v>
      </c>
      <c r="M131" s="10">
        <v>0</v>
      </c>
      <c r="N131" s="10">
        <v>0</v>
      </c>
      <c r="O131" s="10">
        <v>0</v>
      </c>
      <c r="P131" s="4">
        <v>0</v>
      </c>
      <c r="Q131" s="4">
        <v>75200</v>
      </c>
      <c r="R131" s="10">
        <v>77111</v>
      </c>
      <c r="S131" s="24">
        <f>SUM(tblSalesData[[#This Row],[FY 2000]:[FY 2012]])</f>
        <v>152311</v>
      </c>
      <c r="T131" s="11">
        <v>1.49</v>
      </c>
      <c r="U131" s="12">
        <f>tblSalesData[[#This Row],[Total Units 
to Date]]*tblSalesData[[#This Row],[Sell Price]]</f>
        <v>226943.38999999998</v>
      </c>
      <c r="V131" s="3"/>
      <c r="W131" s="4"/>
    </row>
    <row r="132" spans="1:23" x14ac:dyDescent="0.2">
      <c r="A132" s="4">
        <v>1017</v>
      </c>
      <c r="B132" s="9" t="s">
        <v>147</v>
      </c>
      <c r="C132" s="4" t="s">
        <v>14</v>
      </c>
      <c r="D132" s="4" t="s">
        <v>27</v>
      </c>
      <c r="E132" s="4" t="s">
        <v>16</v>
      </c>
      <c r="F132" s="10">
        <v>0</v>
      </c>
      <c r="G132" s="10">
        <v>0</v>
      </c>
      <c r="H132" s="10">
        <v>0</v>
      </c>
      <c r="I132" s="10">
        <v>0</v>
      </c>
      <c r="J132" s="10">
        <v>0</v>
      </c>
      <c r="K132" s="10">
        <v>0</v>
      </c>
      <c r="L132" s="10">
        <v>0</v>
      </c>
      <c r="M132" s="10">
        <v>0</v>
      </c>
      <c r="N132" s="10">
        <v>0</v>
      </c>
      <c r="O132" s="10">
        <v>0</v>
      </c>
      <c r="P132" s="4">
        <v>0</v>
      </c>
      <c r="Q132" s="4">
        <v>19209</v>
      </c>
      <c r="R132" s="4">
        <v>22317</v>
      </c>
      <c r="S132" s="24">
        <f>SUM(tblSalesData[[#This Row],[FY 2000]:[FY 2012]])</f>
        <v>41526</v>
      </c>
      <c r="T132" s="11">
        <v>11.99</v>
      </c>
      <c r="U132" s="12">
        <f>tblSalesData[[#This Row],[Total Units 
to Date]]*tblSalesData[[#This Row],[Sell Price]]</f>
        <v>497896.74</v>
      </c>
      <c r="V132" s="3"/>
      <c r="W132" s="4"/>
    </row>
    <row r="133" spans="1:23" x14ac:dyDescent="0.2">
      <c r="A133" s="4">
        <v>1017</v>
      </c>
      <c r="B133" s="9" t="s">
        <v>147</v>
      </c>
      <c r="C133" s="4" t="s">
        <v>14</v>
      </c>
      <c r="D133" s="4" t="s">
        <v>27</v>
      </c>
      <c r="E133" s="4" t="s">
        <v>17</v>
      </c>
      <c r="F133" s="10">
        <v>0</v>
      </c>
      <c r="G133" s="10">
        <v>0</v>
      </c>
      <c r="H133" s="10">
        <v>0</v>
      </c>
      <c r="I133" s="10">
        <v>0</v>
      </c>
      <c r="J133" s="10">
        <v>0</v>
      </c>
      <c r="K133" s="10">
        <v>0</v>
      </c>
      <c r="L133" s="10">
        <v>0</v>
      </c>
      <c r="M133" s="10">
        <v>0</v>
      </c>
      <c r="N133" s="10">
        <v>0</v>
      </c>
      <c r="O133" s="10">
        <v>0</v>
      </c>
      <c r="P133" s="4">
        <v>0</v>
      </c>
      <c r="Q133" s="4">
        <v>68536</v>
      </c>
      <c r="R133" s="4">
        <v>15109</v>
      </c>
      <c r="S133" s="24">
        <f>SUM(tblSalesData[[#This Row],[FY 2000]:[FY 2012]])</f>
        <v>83645</v>
      </c>
      <c r="T133" s="11">
        <v>12.99</v>
      </c>
      <c r="U133" s="12">
        <f>tblSalesData[[#This Row],[Total Units 
to Date]]*tblSalesData[[#This Row],[Sell Price]]</f>
        <v>1086548.55</v>
      </c>
      <c r="V133" s="3"/>
      <c r="W133" s="4"/>
    </row>
    <row r="134" spans="1:23" x14ac:dyDescent="0.2">
      <c r="A134" s="4">
        <v>1017</v>
      </c>
      <c r="B134" s="9" t="s">
        <v>147</v>
      </c>
      <c r="C134" s="4" t="s">
        <v>14</v>
      </c>
      <c r="D134" s="4" t="s">
        <v>27</v>
      </c>
      <c r="E134" s="4" t="s">
        <v>18</v>
      </c>
      <c r="F134" s="10">
        <v>0</v>
      </c>
      <c r="G134" s="10">
        <v>0</v>
      </c>
      <c r="H134" s="10">
        <v>0</v>
      </c>
      <c r="I134" s="10">
        <v>0</v>
      </c>
      <c r="J134" s="10">
        <v>0</v>
      </c>
      <c r="K134" s="10">
        <v>0</v>
      </c>
      <c r="L134" s="10">
        <v>0</v>
      </c>
      <c r="M134" s="10">
        <v>0</v>
      </c>
      <c r="N134" s="10">
        <v>0</v>
      </c>
      <c r="O134" s="10">
        <v>0</v>
      </c>
      <c r="P134" s="4">
        <v>0</v>
      </c>
      <c r="Q134" s="4">
        <v>60559</v>
      </c>
      <c r="R134" s="4">
        <v>1397</v>
      </c>
      <c r="S134" s="24">
        <f>SUM(tblSalesData[[#This Row],[FY 2000]:[FY 2012]])</f>
        <v>61956</v>
      </c>
      <c r="T134" s="11">
        <v>9.99</v>
      </c>
      <c r="U134" s="12">
        <f>tblSalesData[[#This Row],[Total Units 
to Date]]*tblSalesData[[#This Row],[Sell Price]]</f>
        <v>618940.44000000006</v>
      </c>
      <c r="V134" s="3"/>
      <c r="W134" s="4"/>
    </row>
    <row r="135" spans="1:23" x14ac:dyDescent="0.2">
      <c r="A135" s="4">
        <v>1017</v>
      </c>
      <c r="B135" s="9" t="s">
        <v>147</v>
      </c>
      <c r="C135" s="4" t="s">
        <v>14</v>
      </c>
      <c r="D135" s="4" t="s">
        <v>28</v>
      </c>
      <c r="E135" s="4" t="s">
        <v>18</v>
      </c>
      <c r="F135" s="10">
        <v>0</v>
      </c>
      <c r="G135" s="10">
        <v>0</v>
      </c>
      <c r="H135" s="10">
        <v>0</v>
      </c>
      <c r="I135" s="10">
        <v>0</v>
      </c>
      <c r="J135" s="10">
        <v>0</v>
      </c>
      <c r="K135" s="10">
        <v>0</v>
      </c>
      <c r="L135" s="10">
        <v>0</v>
      </c>
      <c r="M135" s="10">
        <v>0</v>
      </c>
      <c r="N135" s="10">
        <v>0</v>
      </c>
      <c r="O135" s="10">
        <v>0</v>
      </c>
      <c r="P135" s="4">
        <v>0</v>
      </c>
      <c r="Q135" s="4">
        <v>114616</v>
      </c>
      <c r="R135" s="10">
        <v>74409</v>
      </c>
      <c r="S135" s="24">
        <f>SUM(tblSalesData[[#This Row],[FY 2000]:[FY 2012]])</f>
        <v>189025</v>
      </c>
      <c r="T135" s="11">
        <v>0.99</v>
      </c>
      <c r="U135" s="12">
        <f>tblSalesData[[#This Row],[Total Units 
to Date]]*tblSalesData[[#This Row],[Sell Price]]</f>
        <v>187134.75</v>
      </c>
      <c r="V135" s="3"/>
      <c r="W135" s="4"/>
    </row>
    <row r="136" spans="1:23" x14ac:dyDescent="0.2">
      <c r="A136" s="4">
        <v>1029</v>
      </c>
      <c r="B136" s="9" t="s">
        <v>148</v>
      </c>
      <c r="C136" s="4" t="s">
        <v>26</v>
      </c>
      <c r="D136" s="4" t="s">
        <v>28</v>
      </c>
      <c r="E136" s="4" t="s">
        <v>19</v>
      </c>
      <c r="F136" s="10">
        <v>0</v>
      </c>
      <c r="G136" s="10">
        <v>0</v>
      </c>
      <c r="H136" s="10">
        <v>79945</v>
      </c>
      <c r="I136" s="10">
        <v>15647</v>
      </c>
      <c r="J136" s="10">
        <v>66705</v>
      </c>
      <c r="K136" s="10">
        <v>42157</v>
      </c>
      <c r="L136" s="10">
        <v>69162</v>
      </c>
      <c r="M136" s="10">
        <v>88104</v>
      </c>
      <c r="N136" s="10">
        <v>90289</v>
      </c>
      <c r="O136" s="10">
        <v>84541</v>
      </c>
      <c r="P136" s="4">
        <v>2396</v>
      </c>
      <c r="Q136" s="4">
        <v>32140</v>
      </c>
      <c r="R136" s="10">
        <v>76673</v>
      </c>
      <c r="S136" s="24">
        <f>SUM(tblSalesData[[#This Row],[FY 2000]:[FY 2012]])</f>
        <v>647759</v>
      </c>
      <c r="T136" s="11">
        <v>3.99</v>
      </c>
      <c r="U136" s="12">
        <f>tblSalesData[[#This Row],[Total Units 
to Date]]*tblSalesData[[#This Row],[Sell Price]]</f>
        <v>2584558.41</v>
      </c>
      <c r="V136" s="3"/>
      <c r="W136" s="4"/>
    </row>
    <row r="137" spans="1:23" x14ac:dyDescent="0.2">
      <c r="A137" s="4">
        <v>1029</v>
      </c>
      <c r="B137" s="9" t="s">
        <v>149</v>
      </c>
      <c r="C137" s="4" t="s">
        <v>26</v>
      </c>
      <c r="D137" s="4" t="s">
        <v>27</v>
      </c>
      <c r="E137" s="4" t="s">
        <v>16</v>
      </c>
      <c r="F137" s="10">
        <v>0</v>
      </c>
      <c r="G137" s="10">
        <v>0</v>
      </c>
      <c r="H137" s="10">
        <v>0</v>
      </c>
      <c r="I137" s="10">
        <v>0</v>
      </c>
      <c r="J137" s="10">
        <v>0</v>
      </c>
      <c r="K137" s="10">
        <v>0</v>
      </c>
      <c r="L137" s="10">
        <v>72670</v>
      </c>
      <c r="M137" s="10">
        <v>96351</v>
      </c>
      <c r="N137" s="10">
        <v>4915</v>
      </c>
      <c r="O137" s="10">
        <v>62917</v>
      </c>
      <c r="P137" s="4">
        <v>60974</v>
      </c>
      <c r="Q137" s="4">
        <v>58227</v>
      </c>
      <c r="R137" s="4">
        <v>14915</v>
      </c>
      <c r="S137" s="24">
        <f>SUM(tblSalesData[[#This Row],[FY 2000]:[FY 2012]])</f>
        <v>370969</v>
      </c>
      <c r="T137" s="11">
        <v>11.99</v>
      </c>
      <c r="U137" s="12">
        <f>tblSalesData[[#This Row],[Total Units 
to Date]]*tblSalesData[[#This Row],[Sell Price]]</f>
        <v>4447918.3100000005</v>
      </c>
      <c r="V137" s="3"/>
      <c r="W137" s="4"/>
    </row>
    <row r="138" spans="1:23" x14ac:dyDescent="0.2">
      <c r="A138" s="4">
        <v>1029</v>
      </c>
      <c r="B138" s="9" t="s">
        <v>150</v>
      </c>
      <c r="C138" s="4" t="s">
        <v>13</v>
      </c>
      <c r="D138" s="4" t="s">
        <v>28</v>
      </c>
      <c r="E138" s="4" t="s">
        <v>16</v>
      </c>
      <c r="F138" s="10">
        <v>0</v>
      </c>
      <c r="G138" s="10">
        <v>0</v>
      </c>
      <c r="H138" s="10">
        <v>26879</v>
      </c>
      <c r="I138" s="10">
        <v>27698</v>
      </c>
      <c r="J138" s="10">
        <v>32822</v>
      </c>
      <c r="K138" s="10">
        <v>38924</v>
      </c>
      <c r="L138" s="10">
        <v>77141</v>
      </c>
      <c r="M138" s="10">
        <v>78069</v>
      </c>
      <c r="N138" s="10">
        <v>20159</v>
      </c>
      <c r="O138" s="10">
        <v>87667</v>
      </c>
      <c r="P138" s="4">
        <v>10058</v>
      </c>
      <c r="Q138" s="4">
        <v>92022</v>
      </c>
      <c r="R138" s="10">
        <v>97171</v>
      </c>
      <c r="S138" s="24">
        <f>SUM(tblSalesData[[#This Row],[FY 2000]:[FY 2012]])</f>
        <v>588610</v>
      </c>
      <c r="T138" s="11">
        <v>1.49</v>
      </c>
      <c r="U138" s="12">
        <f>tblSalesData[[#This Row],[Total Units 
to Date]]*tblSalesData[[#This Row],[Sell Price]]</f>
        <v>877028.9</v>
      </c>
      <c r="V138" s="3"/>
      <c r="W138" s="4"/>
    </row>
    <row r="139" spans="1:23" x14ac:dyDescent="0.2">
      <c r="A139" s="4">
        <v>1029</v>
      </c>
      <c r="B139" s="9" t="s">
        <v>150</v>
      </c>
      <c r="C139" s="4" t="s">
        <v>13</v>
      </c>
      <c r="D139" s="4" t="s">
        <v>28</v>
      </c>
      <c r="E139" s="4" t="s">
        <v>19</v>
      </c>
      <c r="F139" s="10">
        <v>0</v>
      </c>
      <c r="G139" s="10">
        <v>0</v>
      </c>
      <c r="H139" s="10">
        <v>0</v>
      </c>
      <c r="I139" s="10">
        <v>0</v>
      </c>
      <c r="J139" s="10">
        <v>0</v>
      </c>
      <c r="K139" s="10">
        <v>0</v>
      </c>
      <c r="L139" s="10">
        <v>89830</v>
      </c>
      <c r="M139" s="10">
        <v>14047</v>
      </c>
      <c r="N139" s="10">
        <v>28385</v>
      </c>
      <c r="O139" s="10">
        <v>74230</v>
      </c>
      <c r="P139" s="4">
        <v>101559</v>
      </c>
      <c r="Q139" s="4">
        <v>83743</v>
      </c>
      <c r="R139" s="10">
        <v>34827</v>
      </c>
      <c r="S139" s="24">
        <f>SUM(tblSalesData[[#This Row],[FY 2000]:[FY 2012]])</f>
        <v>426621</v>
      </c>
      <c r="T139" s="11">
        <v>3.99</v>
      </c>
      <c r="U139" s="12">
        <f>tblSalesData[[#This Row],[Total Units 
to Date]]*tblSalesData[[#This Row],[Sell Price]]</f>
        <v>1702217.79</v>
      </c>
      <c r="V139" s="3"/>
      <c r="W139" s="4"/>
    </row>
    <row r="140" spans="1:23" x14ac:dyDescent="0.2">
      <c r="A140" s="4">
        <v>1029</v>
      </c>
      <c r="B140" s="9" t="s">
        <v>151</v>
      </c>
      <c r="C140" s="4" t="s">
        <v>14</v>
      </c>
      <c r="D140" s="4" t="s">
        <v>27</v>
      </c>
      <c r="E140" s="4" t="s">
        <v>18</v>
      </c>
      <c r="F140" s="10">
        <v>0</v>
      </c>
      <c r="G140" s="10">
        <v>0</v>
      </c>
      <c r="H140" s="10">
        <v>32750</v>
      </c>
      <c r="I140" s="10">
        <v>47834</v>
      </c>
      <c r="J140" s="10">
        <v>77447</v>
      </c>
      <c r="K140" s="10">
        <v>93338</v>
      </c>
      <c r="L140" s="10">
        <v>2808</v>
      </c>
      <c r="M140" s="10">
        <v>86496</v>
      </c>
      <c r="N140" s="10">
        <v>25149</v>
      </c>
      <c r="O140" s="10">
        <v>13026</v>
      </c>
      <c r="P140" s="4">
        <v>8507</v>
      </c>
      <c r="Q140" s="4">
        <v>22422</v>
      </c>
      <c r="R140" s="4">
        <v>12644</v>
      </c>
      <c r="S140" s="24">
        <f>SUM(tblSalesData[[#This Row],[FY 2000]:[FY 2012]])</f>
        <v>422421</v>
      </c>
      <c r="T140" s="11">
        <v>9.99</v>
      </c>
      <c r="U140" s="12">
        <f>tblSalesData[[#This Row],[Total Units 
to Date]]*tblSalesData[[#This Row],[Sell Price]]</f>
        <v>4219985.79</v>
      </c>
      <c r="V140" s="3"/>
      <c r="W140" s="4"/>
    </row>
    <row r="141" spans="1:23" x14ac:dyDescent="0.2">
      <c r="A141" s="4">
        <v>1029</v>
      </c>
      <c r="B141" s="9" t="s">
        <v>152</v>
      </c>
      <c r="C141" s="4" t="s">
        <v>26</v>
      </c>
      <c r="D141" s="4" t="s">
        <v>28</v>
      </c>
      <c r="E141" s="4" t="s">
        <v>18</v>
      </c>
      <c r="F141" s="10">
        <v>0</v>
      </c>
      <c r="G141" s="10">
        <v>0</v>
      </c>
      <c r="H141" s="10">
        <v>39700</v>
      </c>
      <c r="I141" s="10">
        <v>55875</v>
      </c>
      <c r="J141" s="10">
        <v>55169</v>
      </c>
      <c r="K141" s="10">
        <v>33705</v>
      </c>
      <c r="L141" s="10">
        <v>66210</v>
      </c>
      <c r="M141" s="10">
        <v>17406</v>
      </c>
      <c r="N141" s="10">
        <v>88602</v>
      </c>
      <c r="O141" s="10">
        <v>87707</v>
      </c>
      <c r="P141" s="4">
        <v>27006</v>
      </c>
      <c r="Q141" s="4">
        <v>56513</v>
      </c>
      <c r="R141" s="10">
        <v>55155</v>
      </c>
      <c r="S141" s="24">
        <f>SUM(tblSalesData[[#This Row],[FY 2000]:[FY 2012]])</f>
        <v>583048</v>
      </c>
      <c r="T141" s="11">
        <v>0.99</v>
      </c>
      <c r="U141" s="12">
        <f>tblSalesData[[#This Row],[Total Units 
to Date]]*tblSalesData[[#This Row],[Sell Price]]</f>
        <v>577217.52</v>
      </c>
      <c r="V141" s="3"/>
      <c r="W141" s="4"/>
    </row>
    <row r="142" spans="1:23" x14ac:dyDescent="0.2">
      <c r="A142" s="4">
        <v>1029</v>
      </c>
      <c r="B142" s="9" t="s">
        <v>153</v>
      </c>
      <c r="C142" s="4" t="s">
        <v>13</v>
      </c>
      <c r="D142" s="4" t="s">
        <v>27</v>
      </c>
      <c r="E142" s="4" t="s">
        <v>16</v>
      </c>
      <c r="F142" s="10">
        <v>0</v>
      </c>
      <c r="G142" s="10">
        <v>0</v>
      </c>
      <c r="H142" s="10">
        <v>0</v>
      </c>
      <c r="I142" s="10">
        <v>0</v>
      </c>
      <c r="J142" s="10">
        <v>0</v>
      </c>
      <c r="K142" s="10">
        <v>0</v>
      </c>
      <c r="L142" s="10">
        <v>0</v>
      </c>
      <c r="M142" s="10">
        <v>78853</v>
      </c>
      <c r="N142" s="10">
        <v>25699</v>
      </c>
      <c r="O142" s="10">
        <v>58903</v>
      </c>
      <c r="P142" s="4">
        <v>28543</v>
      </c>
      <c r="Q142" s="4">
        <v>40076</v>
      </c>
      <c r="R142" s="4">
        <v>19987</v>
      </c>
      <c r="S142" s="24">
        <f>SUM(tblSalesData[[#This Row],[FY 2000]:[FY 2012]])</f>
        <v>252061</v>
      </c>
      <c r="T142" s="11">
        <v>11.99</v>
      </c>
      <c r="U142" s="12">
        <f>tblSalesData[[#This Row],[Total Units 
to Date]]*tblSalesData[[#This Row],[Sell Price]]</f>
        <v>3022211.39</v>
      </c>
      <c r="V142" s="3"/>
      <c r="W142" s="4"/>
    </row>
    <row r="143" spans="1:23" x14ac:dyDescent="0.2">
      <c r="A143" s="4">
        <v>1029</v>
      </c>
      <c r="B143" s="9" t="s">
        <v>154</v>
      </c>
      <c r="C143" s="4" t="s">
        <v>26</v>
      </c>
      <c r="D143" s="4" t="s">
        <v>27</v>
      </c>
      <c r="E143" s="4" t="s">
        <v>19</v>
      </c>
      <c r="F143" s="10">
        <v>0</v>
      </c>
      <c r="G143" s="10">
        <v>0</v>
      </c>
      <c r="H143" s="10">
        <v>44155</v>
      </c>
      <c r="I143" s="10">
        <v>57665</v>
      </c>
      <c r="J143" s="10">
        <v>59776</v>
      </c>
      <c r="K143" s="10">
        <v>43316</v>
      </c>
      <c r="L143" s="10">
        <v>67509</v>
      </c>
      <c r="M143" s="10">
        <v>93328</v>
      </c>
      <c r="N143" s="10">
        <v>65571</v>
      </c>
      <c r="O143" s="10">
        <v>84151</v>
      </c>
      <c r="P143" s="4">
        <v>51764</v>
      </c>
      <c r="Q143" s="4">
        <v>17276</v>
      </c>
      <c r="R143" s="4">
        <v>32339</v>
      </c>
      <c r="S143" s="24">
        <f>SUM(tblSalesData[[#This Row],[FY 2000]:[FY 2012]])</f>
        <v>616850</v>
      </c>
      <c r="T143" s="11">
        <v>15.99</v>
      </c>
      <c r="U143" s="12">
        <f>tblSalesData[[#This Row],[Total Units 
to Date]]*tblSalesData[[#This Row],[Sell Price]]</f>
        <v>9863431.5</v>
      </c>
      <c r="V143" s="3"/>
      <c r="W143" s="4"/>
    </row>
    <row r="144" spans="1:23" x14ac:dyDescent="0.2">
      <c r="A144" s="4">
        <v>1029</v>
      </c>
      <c r="B144" s="9" t="s">
        <v>155</v>
      </c>
      <c r="C144" s="4" t="s">
        <v>13</v>
      </c>
      <c r="D144" s="4" t="s">
        <v>27</v>
      </c>
      <c r="E144" s="4" t="s">
        <v>19</v>
      </c>
      <c r="F144" s="10">
        <v>0</v>
      </c>
      <c r="G144" s="10">
        <v>0</v>
      </c>
      <c r="H144" s="10">
        <v>0</v>
      </c>
      <c r="I144" s="10">
        <v>0</v>
      </c>
      <c r="J144" s="10">
        <v>0</v>
      </c>
      <c r="K144" s="10">
        <v>0</v>
      </c>
      <c r="L144" s="10">
        <v>0</v>
      </c>
      <c r="M144" s="10">
        <v>0</v>
      </c>
      <c r="N144" s="10">
        <v>0</v>
      </c>
      <c r="O144" s="10">
        <v>0</v>
      </c>
      <c r="P144" s="4">
        <v>5164</v>
      </c>
      <c r="Q144" s="4">
        <v>22593</v>
      </c>
      <c r="R144" s="4">
        <v>31254</v>
      </c>
      <c r="S144" s="24">
        <f>SUM(tblSalesData[[#This Row],[FY 2000]:[FY 2012]])</f>
        <v>59011</v>
      </c>
      <c r="T144" s="11">
        <v>15.99</v>
      </c>
      <c r="U144" s="12">
        <f>tblSalesData[[#This Row],[Total Units 
to Date]]*tblSalesData[[#This Row],[Sell Price]]</f>
        <v>943585.89</v>
      </c>
      <c r="V144" s="3"/>
      <c r="W144" s="4"/>
    </row>
    <row r="145" spans="1:23" x14ac:dyDescent="0.2">
      <c r="A145" s="4">
        <v>1032</v>
      </c>
      <c r="B145" s="9" t="s">
        <v>156</v>
      </c>
      <c r="C145" s="4" t="s">
        <v>15</v>
      </c>
      <c r="D145" s="4" t="s">
        <v>28</v>
      </c>
      <c r="E145" s="4" t="s">
        <v>17</v>
      </c>
      <c r="F145" s="10">
        <v>0</v>
      </c>
      <c r="G145" s="10">
        <v>0</v>
      </c>
      <c r="H145" s="10">
        <v>0</v>
      </c>
      <c r="I145" s="10">
        <v>0</v>
      </c>
      <c r="J145" s="10">
        <v>0</v>
      </c>
      <c r="K145" s="10">
        <v>0</v>
      </c>
      <c r="L145" s="10">
        <v>68990</v>
      </c>
      <c r="M145" s="10">
        <v>11327</v>
      </c>
      <c r="N145" s="10">
        <v>8467</v>
      </c>
      <c r="O145" s="10">
        <v>57582</v>
      </c>
      <c r="P145" s="4">
        <v>80334</v>
      </c>
      <c r="Q145" s="4">
        <v>26641</v>
      </c>
      <c r="R145" s="10">
        <v>27160</v>
      </c>
      <c r="S145" s="24">
        <f>SUM(tblSalesData[[#This Row],[FY 2000]:[FY 2012]])</f>
        <v>280501</v>
      </c>
      <c r="T145" s="11">
        <v>1.99</v>
      </c>
      <c r="U145" s="12">
        <f>tblSalesData[[#This Row],[Total Units 
to Date]]*tblSalesData[[#This Row],[Sell Price]]</f>
        <v>558196.99</v>
      </c>
      <c r="V145" s="3"/>
      <c r="W145" s="4"/>
    </row>
    <row r="146" spans="1:23" x14ac:dyDescent="0.2">
      <c r="A146" s="4">
        <v>1032</v>
      </c>
      <c r="B146" s="9" t="s">
        <v>157</v>
      </c>
      <c r="C146" s="4" t="s">
        <v>13</v>
      </c>
      <c r="D146" s="4" t="s">
        <v>28</v>
      </c>
      <c r="E146" s="4" t="s">
        <v>17</v>
      </c>
      <c r="F146" s="10">
        <v>0</v>
      </c>
      <c r="G146" s="10">
        <v>0</v>
      </c>
      <c r="H146" s="10">
        <v>0</v>
      </c>
      <c r="I146" s="10">
        <v>0</v>
      </c>
      <c r="J146" s="10">
        <v>0</v>
      </c>
      <c r="K146" s="10">
        <v>0</v>
      </c>
      <c r="L146" s="10">
        <v>91919</v>
      </c>
      <c r="M146" s="10">
        <v>58524</v>
      </c>
      <c r="N146" s="10">
        <v>45061</v>
      </c>
      <c r="O146" s="10">
        <v>80018</v>
      </c>
      <c r="P146" s="4">
        <v>58831</v>
      </c>
      <c r="Q146" s="4">
        <v>66666</v>
      </c>
      <c r="R146" s="10">
        <v>33377</v>
      </c>
      <c r="S146" s="24">
        <f>SUM(tblSalesData[[#This Row],[FY 2000]:[FY 2012]])</f>
        <v>434396</v>
      </c>
      <c r="T146" s="11">
        <v>1.99</v>
      </c>
      <c r="U146" s="12">
        <f>tblSalesData[[#This Row],[Total Units 
to Date]]*tblSalesData[[#This Row],[Sell Price]]</f>
        <v>864448.04</v>
      </c>
      <c r="V146" s="3"/>
      <c r="W146" s="4"/>
    </row>
    <row r="147" spans="1:23" x14ac:dyDescent="0.2">
      <c r="A147" s="4">
        <v>1032</v>
      </c>
      <c r="B147" s="9" t="s">
        <v>158</v>
      </c>
      <c r="C147" s="4" t="s">
        <v>13</v>
      </c>
      <c r="D147" s="4" t="s">
        <v>27</v>
      </c>
      <c r="E147" s="4" t="s">
        <v>16</v>
      </c>
      <c r="F147" s="10">
        <v>0</v>
      </c>
      <c r="G147" s="10">
        <v>0</v>
      </c>
      <c r="H147" s="10">
        <v>0</v>
      </c>
      <c r="I147" s="10">
        <v>0</v>
      </c>
      <c r="J147" s="10">
        <v>0</v>
      </c>
      <c r="K147" s="10">
        <v>0</v>
      </c>
      <c r="L147" s="10">
        <v>73781</v>
      </c>
      <c r="M147" s="10">
        <v>83663</v>
      </c>
      <c r="N147" s="10">
        <v>9603</v>
      </c>
      <c r="O147" s="10">
        <v>35164</v>
      </c>
      <c r="P147" s="4">
        <v>64947</v>
      </c>
      <c r="Q147" s="4">
        <v>23341</v>
      </c>
      <c r="R147" s="4">
        <v>17334</v>
      </c>
      <c r="S147" s="24">
        <f>SUM(tblSalesData[[#This Row],[FY 2000]:[FY 2012]])</f>
        <v>307833</v>
      </c>
      <c r="T147" s="11">
        <v>11.99</v>
      </c>
      <c r="U147" s="12">
        <f>tblSalesData[[#This Row],[Total Units 
to Date]]*tblSalesData[[#This Row],[Sell Price]]</f>
        <v>3690917.67</v>
      </c>
      <c r="V147" s="3"/>
      <c r="W147" s="4"/>
    </row>
    <row r="148" spans="1:23" x14ac:dyDescent="0.2">
      <c r="A148" s="4">
        <v>1032</v>
      </c>
      <c r="B148" s="9" t="s">
        <v>159</v>
      </c>
      <c r="C148" s="4" t="s">
        <v>13</v>
      </c>
      <c r="D148" s="4" t="s">
        <v>28</v>
      </c>
      <c r="E148" s="4" t="s">
        <v>18</v>
      </c>
      <c r="F148" s="10">
        <v>0</v>
      </c>
      <c r="G148" s="10">
        <v>0</v>
      </c>
      <c r="H148" s="10">
        <v>0</v>
      </c>
      <c r="I148" s="10">
        <v>0</v>
      </c>
      <c r="J148" s="10">
        <v>0</v>
      </c>
      <c r="K148" s="10">
        <v>0</v>
      </c>
      <c r="L148" s="10">
        <v>80719</v>
      </c>
      <c r="M148" s="10">
        <v>45080</v>
      </c>
      <c r="N148" s="10">
        <v>18957</v>
      </c>
      <c r="O148" s="10">
        <v>13365</v>
      </c>
      <c r="P148" s="4">
        <v>2484</v>
      </c>
      <c r="Q148" s="4">
        <v>113817</v>
      </c>
      <c r="R148" s="10">
        <v>39643</v>
      </c>
      <c r="S148" s="24">
        <f>SUM(tblSalesData[[#This Row],[FY 2000]:[FY 2012]])</f>
        <v>314065</v>
      </c>
      <c r="T148" s="11">
        <v>0.99</v>
      </c>
      <c r="U148" s="12">
        <f>tblSalesData[[#This Row],[Total Units 
to Date]]*tblSalesData[[#This Row],[Sell Price]]</f>
        <v>310924.34999999998</v>
      </c>
      <c r="V148" s="3"/>
      <c r="W148" s="4"/>
    </row>
    <row r="149" spans="1:23" x14ac:dyDescent="0.2">
      <c r="A149" s="4">
        <v>1032</v>
      </c>
      <c r="B149" s="9" t="s">
        <v>160</v>
      </c>
      <c r="C149" s="4" t="s">
        <v>13</v>
      </c>
      <c r="D149" s="4" t="s">
        <v>28</v>
      </c>
      <c r="E149" s="4" t="s">
        <v>18</v>
      </c>
      <c r="F149" s="10">
        <v>0</v>
      </c>
      <c r="G149" s="10">
        <v>0</v>
      </c>
      <c r="H149" s="10">
        <v>0</v>
      </c>
      <c r="I149" s="10">
        <v>0</v>
      </c>
      <c r="J149" s="10">
        <v>0</v>
      </c>
      <c r="K149" s="10">
        <v>0</v>
      </c>
      <c r="L149" s="10">
        <v>91743</v>
      </c>
      <c r="M149" s="10">
        <v>71807</v>
      </c>
      <c r="N149" s="10">
        <v>10844</v>
      </c>
      <c r="O149" s="10">
        <v>63295</v>
      </c>
      <c r="P149" s="4">
        <v>103279</v>
      </c>
      <c r="Q149" s="4">
        <v>36000</v>
      </c>
      <c r="R149" s="10">
        <v>92427</v>
      </c>
      <c r="S149" s="24">
        <f>SUM(tblSalesData[[#This Row],[FY 2000]:[FY 2012]])</f>
        <v>469395</v>
      </c>
      <c r="T149" s="11">
        <v>0.99</v>
      </c>
      <c r="U149" s="12">
        <f>tblSalesData[[#This Row],[Total Units 
to Date]]*tblSalesData[[#This Row],[Sell Price]]</f>
        <v>464701.05</v>
      </c>
      <c r="V149" s="3"/>
      <c r="W149" s="4"/>
    </row>
    <row r="150" spans="1:23" x14ac:dyDescent="0.2">
      <c r="A150" s="4">
        <v>1032</v>
      </c>
      <c r="B150" s="9" t="s">
        <v>161</v>
      </c>
      <c r="C150" s="4" t="s">
        <v>13</v>
      </c>
      <c r="D150" s="4" t="s">
        <v>28</v>
      </c>
      <c r="E150" s="4" t="s">
        <v>17</v>
      </c>
      <c r="F150" s="10">
        <v>0</v>
      </c>
      <c r="G150" s="10">
        <v>0</v>
      </c>
      <c r="H150" s="10">
        <v>0</v>
      </c>
      <c r="I150" s="10">
        <v>0</v>
      </c>
      <c r="J150" s="10">
        <v>0</v>
      </c>
      <c r="K150" s="10">
        <v>0</v>
      </c>
      <c r="L150" s="10">
        <v>26332</v>
      </c>
      <c r="M150" s="10">
        <v>1613</v>
      </c>
      <c r="N150" s="10">
        <v>71488</v>
      </c>
      <c r="O150" s="10">
        <v>46267</v>
      </c>
      <c r="P150" s="4">
        <v>84489</v>
      </c>
      <c r="Q150" s="4">
        <v>33510</v>
      </c>
      <c r="R150" s="10">
        <v>22786</v>
      </c>
      <c r="S150" s="24">
        <f>SUM(tblSalesData[[#This Row],[FY 2000]:[FY 2012]])</f>
        <v>286485</v>
      </c>
      <c r="T150" s="11">
        <v>1.99</v>
      </c>
      <c r="U150" s="12">
        <f>tblSalesData[[#This Row],[Total Units 
to Date]]*tblSalesData[[#This Row],[Sell Price]]</f>
        <v>570105.15</v>
      </c>
      <c r="V150" s="3"/>
      <c r="W150" s="4"/>
    </row>
    <row r="151" spans="1:23" x14ac:dyDescent="0.2">
      <c r="A151" s="4">
        <v>1032</v>
      </c>
      <c r="B151" s="9" t="s">
        <v>162</v>
      </c>
      <c r="C151" s="4" t="s">
        <v>13</v>
      </c>
      <c r="D151" s="4" t="s">
        <v>27</v>
      </c>
      <c r="E151" s="4" t="s">
        <v>16</v>
      </c>
      <c r="F151" s="10">
        <v>0</v>
      </c>
      <c r="G151" s="10">
        <v>0</v>
      </c>
      <c r="H151" s="10">
        <v>0</v>
      </c>
      <c r="I151" s="10">
        <v>0</v>
      </c>
      <c r="J151" s="10">
        <v>0</v>
      </c>
      <c r="K151" s="10">
        <v>0</v>
      </c>
      <c r="L151" s="10">
        <v>37960</v>
      </c>
      <c r="M151" s="10">
        <v>28783</v>
      </c>
      <c r="N151" s="10">
        <v>24813</v>
      </c>
      <c r="O151" s="10">
        <v>87542</v>
      </c>
      <c r="P151" s="4">
        <v>73763</v>
      </c>
      <c r="Q151" s="4">
        <v>54739</v>
      </c>
      <c r="R151" s="4">
        <v>24941</v>
      </c>
      <c r="S151" s="24">
        <f>SUM(tblSalesData[[#This Row],[FY 2000]:[FY 2012]])</f>
        <v>332541</v>
      </c>
      <c r="T151" s="11">
        <v>11.99</v>
      </c>
      <c r="U151" s="12">
        <f>tblSalesData[[#This Row],[Total Units 
to Date]]*tblSalesData[[#This Row],[Sell Price]]</f>
        <v>3987166.59</v>
      </c>
      <c r="V151" s="3"/>
      <c r="W151" s="4"/>
    </row>
    <row r="152" spans="1:23" x14ac:dyDescent="0.2">
      <c r="A152" s="4">
        <v>1032</v>
      </c>
      <c r="B152" s="9" t="s">
        <v>163</v>
      </c>
      <c r="C152" s="4" t="s">
        <v>13</v>
      </c>
      <c r="D152" s="4" t="s">
        <v>28</v>
      </c>
      <c r="E152" s="4" t="s">
        <v>17</v>
      </c>
      <c r="F152" s="10">
        <v>0</v>
      </c>
      <c r="G152" s="10">
        <v>0</v>
      </c>
      <c r="H152" s="10">
        <v>0</v>
      </c>
      <c r="I152" s="10">
        <v>0</v>
      </c>
      <c r="J152" s="10">
        <v>0</v>
      </c>
      <c r="K152" s="10">
        <v>0</v>
      </c>
      <c r="L152" s="10">
        <v>41493</v>
      </c>
      <c r="M152" s="10">
        <v>94075</v>
      </c>
      <c r="N152" s="10">
        <v>16134</v>
      </c>
      <c r="O152" s="10">
        <v>87712</v>
      </c>
      <c r="P152" s="4">
        <v>102373</v>
      </c>
      <c r="Q152" s="4">
        <v>100308</v>
      </c>
      <c r="R152" s="10">
        <v>63501</v>
      </c>
      <c r="S152" s="24">
        <f>SUM(tblSalesData[[#This Row],[FY 2000]:[FY 2012]])</f>
        <v>505596</v>
      </c>
      <c r="T152" s="11">
        <v>1.99</v>
      </c>
      <c r="U152" s="12">
        <f>tblSalesData[[#This Row],[Total Units 
to Date]]*tblSalesData[[#This Row],[Sell Price]]</f>
        <v>1006136.04</v>
      </c>
      <c r="V152" s="3"/>
      <c r="W152" s="4"/>
    </row>
    <row r="153" spans="1:23" x14ac:dyDescent="0.2">
      <c r="A153" s="4">
        <v>1033</v>
      </c>
      <c r="B153" s="9" t="s">
        <v>164</v>
      </c>
      <c r="C153" s="4" t="s">
        <v>14</v>
      </c>
      <c r="D153" s="4" t="s">
        <v>27</v>
      </c>
      <c r="E153" s="4" t="s">
        <v>19</v>
      </c>
      <c r="F153" s="10">
        <v>7628</v>
      </c>
      <c r="G153" s="10">
        <v>1570</v>
      </c>
      <c r="H153" s="10">
        <v>2999</v>
      </c>
      <c r="I153" s="10">
        <v>4531</v>
      </c>
      <c r="J153" s="10">
        <v>5140</v>
      </c>
      <c r="K153" s="10">
        <v>8229</v>
      </c>
      <c r="L153" s="10">
        <v>11145</v>
      </c>
      <c r="M153" s="10">
        <v>16019</v>
      </c>
      <c r="N153" s="10">
        <v>18929</v>
      </c>
      <c r="O153" s="10">
        <v>25288</v>
      </c>
      <c r="P153" s="4">
        <v>33516</v>
      </c>
      <c r="Q153" s="4">
        <v>38217</v>
      </c>
      <c r="R153" s="4">
        <v>20791</v>
      </c>
      <c r="S153" s="24">
        <f>SUM(tblSalesData[[#This Row],[FY 2000]:[FY 2012]])</f>
        <v>194002</v>
      </c>
      <c r="T153" s="11">
        <v>15.99</v>
      </c>
      <c r="U153" s="12">
        <f>tblSalesData[[#This Row],[Total Units 
to Date]]*tblSalesData[[#This Row],[Sell Price]]</f>
        <v>3102091.98</v>
      </c>
      <c r="V153" s="3"/>
      <c r="W153" s="4"/>
    </row>
    <row r="154" spans="1:23" x14ac:dyDescent="0.2">
      <c r="A154" s="4">
        <v>1033</v>
      </c>
      <c r="B154" s="9" t="s">
        <v>165</v>
      </c>
      <c r="C154" s="4" t="s">
        <v>15</v>
      </c>
      <c r="D154" s="4" t="s">
        <v>27</v>
      </c>
      <c r="E154" s="4" t="s">
        <v>16</v>
      </c>
      <c r="F154" s="10">
        <v>0</v>
      </c>
      <c r="G154" s="10">
        <v>2986</v>
      </c>
      <c r="H154" s="10">
        <v>3386</v>
      </c>
      <c r="I154" s="10">
        <v>4168</v>
      </c>
      <c r="J154" s="10">
        <v>5431</v>
      </c>
      <c r="K154" s="10">
        <v>8773</v>
      </c>
      <c r="L154" s="10">
        <v>11678</v>
      </c>
      <c r="M154" s="10">
        <v>15449</v>
      </c>
      <c r="N154" s="10">
        <v>17664</v>
      </c>
      <c r="O154" s="10">
        <v>28933</v>
      </c>
      <c r="P154" s="4">
        <v>27743</v>
      </c>
      <c r="Q154" s="4">
        <v>35111</v>
      </c>
      <c r="R154" s="4">
        <v>20629</v>
      </c>
      <c r="S154" s="24">
        <f>SUM(tblSalesData[[#This Row],[FY 2000]:[FY 2012]])</f>
        <v>181951</v>
      </c>
      <c r="T154" s="11">
        <v>11.99</v>
      </c>
      <c r="U154" s="12">
        <f>tblSalesData[[#This Row],[Total Units 
to Date]]*tblSalesData[[#This Row],[Sell Price]]</f>
        <v>2181592.4900000002</v>
      </c>
      <c r="V154" s="3"/>
      <c r="W154" s="4"/>
    </row>
    <row r="155" spans="1:23" x14ac:dyDescent="0.2">
      <c r="A155" s="4">
        <v>1033</v>
      </c>
      <c r="B155" s="9" t="s">
        <v>166</v>
      </c>
      <c r="C155" s="4" t="s">
        <v>26</v>
      </c>
      <c r="D155" s="4" t="s">
        <v>28</v>
      </c>
      <c r="E155" s="4" t="s">
        <v>16</v>
      </c>
      <c r="F155" s="10">
        <v>0</v>
      </c>
      <c r="G155" s="10">
        <v>0</v>
      </c>
      <c r="H155" s="10">
        <v>0</v>
      </c>
      <c r="I155" s="10">
        <v>4689</v>
      </c>
      <c r="J155" s="10">
        <v>5574</v>
      </c>
      <c r="K155" s="10">
        <v>9926</v>
      </c>
      <c r="L155" s="10">
        <v>14173</v>
      </c>
      <c r="M155" s="10">
        <v>16302</v>
      </c>
      <c r="N155" s="10">
        <v>19609</v>
      </c>
      <c r="O155" s="10">
        <v>29950</v>
      </c>
      <c r="P155" s="4">
        <v>37525</v>
      </c>
      <c r="Q155" s="4">
        <v>59263</v>
      </c>
      <c r="R155" s="10">
        <v>71167</v>
      </c>
      <c r="S155" s="24">
        <f>SUM(tblSalesData[[#This Row],[FY 2000]:[FY 2012]])</f>
        <v>268178</v>
      </c>
      <c r="T155" s="11">
        <v>1.49</v>
      </c>
      <c r="U155" s="12">
        <f>tblSalesData[[#This Row],[Total Units 
to Date]]*tblSalesData[[#This Row],[Sell Price]]</f>
        <v>399585.22</v>
      </c>
      <c r="V155" s="3"/>
      <c r="W155" s="4"/>
    </row>
    <row r="156" spans="1:23" x14ac:dyDescent="0.2">
      <c r="A156" s="4">
        <v>1033</v>
      </c>
      <c r="B156" s="9" t="s">
        <v>167</v>
      </c>
      <c r="C156" s="4" t="s">
        <v>13</v>
      </c>
      <c r="D156" s="4" t="s">
        <v>27</v>
      </c>
      <c r="E156" s="4" t="s">
        <v>19</v>
      </c>
      <c r="F156" s="10">
        <v>0</v>
      </c>
      <c r="G156" s="10">
        <v>0</v>
      </c>
      <c r="H156" s="10">
        <v>0</v>
      </c>
      <c r="I156" s="10">
        <v>4014</v>
      </c>
      <c r="J156" s="10">
        <v>5593</v>
      </c>
      <c r="K156" s="10">
        <v>8476</v>
      </c>
      <c r="L156" s="10">
        <v>12038</v>
      </c>
      <c r="M156" s="10">
        <v>16174</v>
      </c>
      <c r="N156" s="10">
        <v>18098</v>
      </c>
      <c r="O156" s="10">
        <v>28304</v>
      </c>
      <c r="P156" s="4">
        <v>28692</v>
      </c>
      <c r="Q156" s="4">
        <v>41705</v>
      </c>
      <c r="R156" s="4">
        <v>24239</v>
      </c>
      <c r="S156" s="24">
        <f>SUM(tblSalesData[[#This Row],[FY 2000]:[FY 2012]])</f>
        <v>187333</v>
      </c>
      <c r="T156" s="11">
        <v>15.99</v>
      </c>
      <c r="U156" s="12">
        <f>tblSalesData[[#This Row],[Total Units 
to Date]]*tblSalesData[[#This Row],[Sell Price]]</f>
        <v>2995454.67</v>
      </c>
      <c r="V156" s="3"/>
      <c r="W156" s="4"/>
    </row>
    <row r="157" spans="1:23" x14ac:dyDescent="0.2">
      <c r="A157" s="4">
        <v>1033</v>
      </c>
      <c r="B157" s="9" t="s">
        <v>168</v>
      </c>
      <c r="C157" s="4" t="s">
        <v>15</v>
      </c>
      <c r="D157" s="4" t="s">
        <v>28</v>
      </c>
      <c r="E157" s="4" t="s">
        <v>19</v>
      </c>
      <c r="F157" s="10">
        <v>0</v>
      </c>
      <c r="G157" s="10">
        <v>0</v>
      </c>
      <c r="H157" s="10">
        <v>0</v>
      </c>
      <c r="I157" s="10">
        <v>4136</v>
      </c>
      <c r="J157" s="10">
        <v>5902</v>
      </c>
      <c r="K157" s="10">
        <v>9285</v>
      </c>
      <c r="L157" s="10">
        <v>10051</v>
      </c>
      <c r="M157" s="10">
        <v>15925</v>
      </c>
      <c r="N157" s="10">
        <v>19311</v>
      </c>
      <c r="O157" s="10">
        <v>26245</v>
      </c>
      <c r="P157" s="4">
        <v>40403</v>
      </c>
      <c r="Q157" s="4">
        <v>55140</v>
      </c>
      <c r="R157" s="10">
        <v>64891</v>
      </c>
      <c r="S157" s="24">
        <f>SUM(tblSalesData[[#This Row],[FY 2000]:[FY 2012]])</f>
        <v>251289</v>
      </c>
      <c r="T157" s="11">
        <v>3.99</v>
      </c>
      <c r="U157" s="12">
        <f>tblSalesData[[#This Row],[Total Units 
to Date]]*tblSalesData[[#This Row],[Sell Price]]</f>
        <v>1002643.1100000001</v>
      </c>
      <c r="V157" s="3"/>
      <c r="W157" s="4"/>
    </row>
    <row r="158" spans="1:23" x14ac:dyDescent="0.2">
      <c r="A158" s="4">
        <v>1033</v>
      </c>
      <c r="B158" s="9" t="s">
        <v>169</v>
      </c>
      <c r="C158" s="4" t="s">
        <v>26</v>
      </c>
      <c r="D158" s="4" t="s">
        <v>27</v>
      </c>
      <c r="E158" s="4" t="s">
        <v>19</v>
      </c>
      <c r="F158" s="10">
        <v>0</v>
      </c>
      <c r="G158" s="10">
        <v>0</v>
      </c>
      <c r="H158" s="10">
        <v>0</v>
      </c>
      <c r="I158" s="10">
        <v>0</v>
      </c>
      <c r="J158" s="10">
        <v>5941</v>
      </c>
      <c r="K158" s="10">
        <v>7613</v>
      </c>
      <c r="L158" s="10">
        <v>12419</v>
      </c>
      <c r="M158" s="10">
        <v>15377</v>
      </c>
      <c r="N158" s="10">
        <v>19133</v>
      </c>
      <c r="O158" s="10">
        <v>29472</v>
      </c>
      <c r="P158" s="4">
        <v>33983</v>
      </c>
      <c r="Q158" s="4">
        <v>36885</v>
      </c>
      <c r="R158" s="4">
        <v>24746</v>
      </c>
      <c r="S158" s="24">
        <f>SUM(tblSalesData[[#This Row],[FY 2000]:[FY 2012]])</f>
        <v>185569</v>
      </c>
      <c r="T158" s="11">
        <v>15.99</v>
      </c>
      <c r="U158" s="12">
        <f>tblSalesData[[#This Row],[Total Units 
to Date]]*tblSalesData[[#This Row],[Sell Price]]</f>
        <v>2967248.31</v>
      </c>
      <c r="V158" s="3"/>
      <c r="W158" s="4"/>
    </row>
    <row r="159" spans="1:23" x14ac:dyDescent="0.2">
      <c r="A159" s="4">
        <v>1033</v>
      </c>
      <c r="B159" s="9" t="s">
        <v>170</v>
      </c>
      <c r="C159" s="4" t="s">
        <v>13</v>
      </c>
      <c r="D159" s="4" t="s">
        <v>28</v>
      </c>
      <c r="E159" s="4" t="s">
        <v>19</v>
      </c>
      <c r="F159" s="10">
        <v>0</v>
      </c>
      <c r="G159" s="10">
        <v>0</v>
      </c>
      <c r="H159" s="10">
        <v>0</v>
      </c>
      <c r="I159" s="10">
        <v>0</v>
      </c>
      <c r="J159" s="10">
        <v>5951</v>
      </c>
      <c r="K159" s="10">
        <v>9276</v>
      </c>
      <c r="L159" s="10">
        <v>12254</v>
      </c>
      <c r="M159" s="10">
        <v>16140</v>
      </c>
      <c r="N159" s="10">
        <v>18543</v>
      </c>
      <c r="O159" s="10">
        <v>25037</v>
      </c>
      <c r="P159" s="4">
        <v>38614</v>
      </c>
      <c r="Q159" s="4">
        <v>51691</v>
      </c>
      <c r="R159" s="10">
        <v>64237</v>
      </c>
      <c r="S159" s="24">
        <f>SUM(tblSalesData[[#This Row],[FY 2000]:[FY 2012]])</f>
        <v>241743</v>
      </c>
      <c r="T159" s="11">
        <v>3.99</v>
      </c>
      <c r="U159" s="12">
        <f>tblSalesData[[#This Row],[Total Units 
to Date]]*tblSalesData[[#This Row],[Sell Price]]</f>
        <v>964554.57000000007</v>
      </c>
      <c r="V159" s="3"/>
      <c r="W159" s="4"/>
    </row>
    <row r="160" spans="1:23" x14ac:dyDescent="0.2">
      <c r="A160" s="4">
        <v>1033</v>
      </c>
      <c r="B160" s="9" t="s">
        <v>171</v>
      </c>
      <c r="C160" s="4" t="s">
        <v>26</v>
      </c>
      <c r="D160" s="4" t="s">
        <v>28</v>
      </c>
      <c r="E160" s="4" t="s">
        <v>19</v>
      </c>
      <c r="F160" s="10">
        <v>0</v>
      </c>
      <c r="G160" s="10">
        <v>0</v>
      </c>
      <c r="H160" s="10">
        <v>0</v>
      </c>
      <c r="I160" s="10">
        <v>0</v>
      </c>
      <c r="J160" s="10">
        <v>0</v>
      </c>
      <c r="K160" s="10">
        <v>9021</v>
      </c>
      <c r="L160" s="10">
        <v>13148</v>
      </c>
      <c r="M160" s="10">
        <v>15187</v>
      </c>
      <c r="N160" s="10">
        <v>18205</v>
      </c>
      <c r="O160" s="10">
        <v>26326</v>
      </c>
      <c r="P160" s="4">
        <v>36762</v>
      </c>
      <c r="Q160" s="4">
        <v>66209</v>
      </c>
      <c r="R160" s="10">
        <v>60325</v>
      </c>
      <c r="S160" s="24">
        <f>SUM(tblSalesData[[#This Row],[FY 2000]:[FY 2012]])</f>
        <v>245183</v>
      </c>
      <c r="T160" s="11">
        <v>3.99</v>
      </c>
      <c r="U160" s="12">
        <f>tblSalesData[[#This Row],[Total Units 
to Date]]*tblSalesData[[#This Row],[Sell Price]]</f>
        <v>978280.17</v>
      </c>
      <c r="V160" s="3"/>
      <c r="W160" s="4"/>
    </row>
    <row r="161" spans="1:23" x14ac:dyDescent="0.2">
      <c r="A161" s="4">
        <v>1033</v>
      </c>
      <c r="B161" s="9" t="s">
        <v>172</v>
      </c>
      <c r="C161" s="4" t="s">
        <v>15</v>
      </c>
      <c r="D161" s="4" t="s">
        <v>28</v>
      </c>
      <c r="E161" s="4" t="s">
        <v>17</v>
      </c>
      <c r="F161" s="10">
        <v>0</v>
      </c>
      <c r="G161" s="10">
        <v>0</v>
      </c>
      <c r="H161" s="10">
        <v>0</v>
      </c>
      <c r="I161" s="10">
        <v>0</v>
      </c>
      <c r="J161" s="10">
        <v>0</v>
      </c>
      <c r="K161" s="10">
        <v>9007</v>
      </c>
      <c r="L161" s="10">
        <v>11459</v>
      </c>
      <c r="M161" s="10">
        <v>16581</v>
      </c>
      <c r="N161" s="10">
        <v>17716</v>
      </c>
      <c r="O161" s="10">
        <v>26215</v>
      </c>
      <c r="P161" s="4">
        <v>35130</v>
      </c>
      <c r="Q161" s="4">
        <v>66519</v>
      </c>
      <c r="R161" s="10">
        <v>72571</v>
      </c>
      <c r="S161" s="24">
        <f>SUM(tblSalesData[[#This Row],[FY 2000]:[FY 2012]])</f>
        <v>255198</v>
      </c>
      <c r="T161" s="11">
        <v>1.99</v>
      </c>
      <c r="U161" s="12">
        <f>tblSalesData[[#This Row],[Total Units 
to Date]]*tblSalesData[[#This Row],[Sell Price]]</f>
        <v>507844.02</v>
      </c>
      <c r="V161" s="3"/>
      <c r="W161" s="4"/>
    </row>
    <row r="162" spans="1:23" x14ac:dyDescent="0.2">
      <c r="A162" s="4">
        <v>1033</v>
      </c>
      <c r="B162" s="9" t="s">
        <v>173</v>
      </c>
      <c r="C162" s="4" t="s">
        <v>26</v>
      </c>
      <c r="D162" s="4" t="s">
        <v>28</v>
      </c>
      <c r="E162" s="4" t="s">
        <v>18</v>
      </c>
      <c r="F162" s="10">
        <v>0</v>
      </c>
      <c r="G162" s="10">
        <v>0</v>
      </c>
      <c r="H162" s="10">
        <v>0</v>
      </c>
      <c r="I162" s="10">
        <v>0</v>
      </c>
      <c r="J162" s="10">
        <v>0</v>
      </c>
      <c r="K162" s="10">
        <v>0</v>
      </c>
      <c r="L162" s="10">
        <v>10062</v>
      </c>
      <c r="M162" s="10">
        <v>15425</v>
      </c>
      <c r="N162" s="10">
        <v>17304</v>
      </c>
      <c r="O162" s="10">
        <v>25440</v>
      </c>
      <c r="P162" s="4">
        <v>37480</v>
      </c>
      <c r="Q162" s="4">
        <v>60833</v>
      </c>
      <c r="R162" s="10">
        <v>69629</v>
      </c>
      <c r="S162" s="24">
        <f>SUM(tblSalesData[[#This Row],[FY 2000]:[FY 2012]])</f>
        <v>236173</v>
      </c>
      <c r="T162" s="11">
        <v>0.99</v>
      </c>
      <c r="U162" s="12">
        <f>tblSalesData[[#This Row],[Total Units 
to Date]]*tblSalesData[[#This Row],[Sell Price]]</f>
        <v>233811.27</v>
      </c>
      <c r="V162" s="3"/>
      <c r="W162" s="4"/>
    </row>
    <row r="163" spans="1:23" x14ac:dyDescent="0.2">
      <c r="A163" s="4">
        <v>1033</v>
      </c>
      <c r="B163" s="9" t="s">
        <v>174</v>
      </c>
      <c r="C163" s="4" t="s">
        <v>26</v>
      </c>
      <c r="D163" s="4" t="s">
        <v>28</v>
      </c>
      <c r="E163" s="4" t="s">
        <v>16</v>
      </c>
      <c r="F163" s="10">
        <v>0</v>
      </c>
      <c r="G163" s="10">
        <v>0</v>
      </c>
      <c r="H163" s="10">
        <v>0</v>
      </c>
      <c r="I163" s="10">
        <v>0</v>
      </c>
      <c r="J163" s="10">
        <v>0</v>
      </c>
      <c r="K163" s="10">
        <v>0</v>
      </c>
      <c r="L163" s="10">
        <v>12492</v>
      </c>
      <c r="M163" s="10">
        <v>15818</v>
      </c>
      <c r="N163" s="10">
        <v>17484</v>
      </c>
      <c r="O163" s="10">
        <v>29841</v>
      </c>
      <c r="P163" s="4">
        <v>40700</v>
      </c>
      <c r="Q163" s="4">
        <v>56286</v>
      </c>
      <c r="R163" s="10">
        <v>60912</v>
      </c>
      <c r="S163" s="24">
        <f>SUM(tblSalesData[[#This Row],[FY 2000]:[FY 2012]])</f>
        <v>233533</v>
      </c>
      <c r="T163" s="11">
        <v>1.49</v>
      </c>
      <c r="U163" s="12">
        <f>tblSalesData[[#This Row],[Total Units 
to Date]]*tblSalesData[[#This Row],[Sell Price]]</f>
        <v>347964.17</v>
      </c>
      <c r="V163" s="3"/>
      <c r="W163" s="4"/>
    </row>
    <row r="164" spans="1:23" x14ac:dyDescent="0.2">
      <c r="A164" s="4">
        <v>1033</v>
      </c>
      <c r="B164" s="9" t="s">
        <v>175</v>
      </c>
      <c r="C164" s="4" t="s">
        <v>13</v>
      </c>
      <c r="D164" s="4" t="s">
        <v>28</v>
      </c>
      <c r="E164" s="4" t="s">
        <v>16</v>
      </c>
      <c r="F164" s="10">
        <v>0</v>
      </c>
      <c r="G164" s="10">
        <v>0</v>
      </c>
      <c r="H164" s="10">
        <v>0</v>
      </c>
      <c r="I164" s="10">
        <v>0</v>
      </c>
      <c r="J164" s="10">
        <v>0</v>
      </c>
      <c r="K164" s="10">
        <v>0</v>
      </c>
      <c r="L164" s="10">
        <v>12255</v>
      </c>
      <c r="M164" s="10">
        <v>16542</v>
      </c>
      <c r="N164" s="10">
        <v>18867</v>
      </c>
      <c r="O164" s="10">
        <v>27431</v>
      </c>
      <c r="P164" s="4">
        <v>42484</v>
      </c>
      <c r="Q164" s="4">
        <v>52979</v>
      </c>
      <c r="R164" s="10">
        <v>64934</v>
      </c>
      <c r="S164" s="24">
        <f>SUM(tblSalesData[[#This Row],[FY 2000]:[FY 2012]])</f>
        <v>235492</v>
      </c>
      <c r="T164" s="11">
        <v>1.49</v>
      </c>
      <c r="U164" s="12">
        <f>tblSalesData[[#This Row],[Total Units 
to Date]]*tblSalesData[[#This Row],[Sell Price]]</f>
        <v>350883.08</v>
      </c>
      <c r="V164" s="3"/>
      <c r="W164" s="4"/>
    </row>
    <row r="165" spans="1:23" x14ac:dyDescent="0.2">
      <c r="A165" s="4">
        <v>1033</v>
      </c>
      <c r="B165" s="9" t="s">
        <v>176</v>
      </c>
      <c r="C165" s="4" t="s">
        <v>14</v>
      </c>
      <c r="D165" s="4" t="s">
        <v>27</v>
      </c>
      <c r="E165" s="4" t="s">
        <v>17</v>
      </c>
      <c r="F165" s="10">
        <v>0</v>
      </c>
      <c r="G165" s="10">
        <v>0</v>
      </c>
      <c r="H165" s="10">
        <v>0</v>
      </c>
      <c r="I165" s="10">
        <v>0</v>
      </c>
      <c r="J165" s="10">
        <v>0</v>
      </c>
      <c r="K165" s="10">
        <v>0</v>
      </c>
      <c r="L165" s="10">
        <v>14698</v>
      </c>
      <c r="M165" s="10">
        <v>15914</v>
      </c>
      <c r="N165" s="10">
        <v>19443</v>
      </c>
      <c r="O165" s="10">
        <v>27888</v>
      </c>
      <c r="P165" s="4">
        <v>27685</v>
      </c>
      <c r="Q165" s="4">
        <v>37471</v>
      </c>
      <c r="R165" s="4">
        <v>23231</v>
      </c>
      <c r="S165" s="24">
        <f>SUM(tblSalesData[[#This Row],[FY 2000]:[FY 2012]])</f>
        <v>166330</v>
      </c>
      <c r="T165" s="11">
        <v>12.99</v>
      </c>
      <c r="U165" s="12">
        <f>tblSalesData[[#This Row],[Total Units 
to Date]]*tblSalesData[[#This Row],[Sell Price]]</f>
        <v>2160626.7000000002</v>
      </c>
      <c r="V165" s="3"/>
      <c r="W165" s="4"/>
    </row>
    <row r="166" spans="1:23" x14ac:dyDescent="0.2">
      <c r="A166" s="4">
        <v>1033</v>
      </c>
      <c r="B166" s="9" t="s">
        <v>177</v>
      </c>
      <c r="C166" s="4" t="s">
        <v>26</v>
      </c>
      <c r="D166" s="4" t="s">
        <v>27</v>
      </c>
      <c r="E166" s="4" t="s">
        <v>16</v>
      </c>
      <c r="F166" s="10">
        <v>0</v>
      </c>
      <c r="G166" s="10">
        <v>0</v>
      </c>
      <c r="H166" s="10">
        <v>0</v>
      </c>
      <c r="I166" s="10">
        <v>0</v>
      </c>
      <c r="J166" s="10">
        <v>0</v>
      </c>
      <c r="K166" s="10">
        <v>0</v>
      </c>
      <c r="L166" s="10">
        <v>13160</v>
      </c>
      <c r="M166" s="10">
        <v>16435</v>
      </c>
      <c r="N166" s="10">
        <v>18119</v>
      </c>
      <c r="O166" s="10">
        <v>28041</v>
      </c>
      <c r="P166" s="4">
        <v>30253</v>
      </c>
      <c r="Q166" s="4">
        <v>29021</v>
      </c>
      <c r="R166" s="4">
        <v>23121</v>
      </c>
      <c r="S166" s="24">
        <f>SUM(tblSalesData[[#This Row],[FY 2000]:[FY 2012]])</f>
        <v>158150</v>
      </c>
      <c r="T166" s="11">
        <v>11.99</v>
      </c>
      <c r="U166" s="12">
        <f>tblSalesData[[#This Row],[Total Units 
to Date]]*tblSalesData[[#This Row],[Sell Price]]</f>
        <v>1896218.5</v>
      </c>
      <c r="V166" s="3"/>
      <c r="W166" s="4"/>
    </row>
    <row r="167" spans="1:23" x14ac:dyDescent="0.2">
      <c r="A167" s="4">
        <v>1033</v>
      </c>
      <c r="B167" s="9" t="s">
        <v>178</v>
      </c>
      <c r="C167" s="4" t="s">
        <v>15</v>
      </c>
      <c r="D167" s="4" t="s">
        <v>27</v>
      </c>
      <c r="E167" s="4" t="s">
        <v>16</v>
      </c>
      <c r="F167" s="10">
        <v>0</v>
      </c>
      <c r="G167" s="10">
        <v>0</v>
      </c>
      <c r="H167" s="10">
        <v>0</v>
      </c>
      <c r="I167" s="10">
        <v>0</v>
      </c>
      <c r="J167" s="10">
        <v>0</v>
      </c>
      <c r="K167" s="10">
        <v>0</v>
      </c>
      <c r="L167" s="10">
        <v>0</v>
      </c>
      <c r="M167" s="10">
        <v>16714</v>
      </c>
      <c r="N167" s="10">
        <v>19064</v>
      </c>
      <c r="O167" s="10">
        <v>29361</v>
      </c>
      <c r="P167" s="4">
        <v>28966</v>
      </c>
      <c r="Q167" s="4">
        <v>40796</v>
      </c>
      <c r="R167" s="4">
        <v>25019</v>
      </c>
      <c r="S167" s="24">
        <f>SUM(tblSalesData[[#This Row],[FY 2000]:[FY 2012]])</f>
        <v>159920</v>
      </c>
      <c r="T167" s="11">
        <v>11.99</v>
      </c>
      <c r="U167" s="12">
        <f>tblSalesData[[#This Row],[Total Units 
to Date]]*tblSalesData[[#This Row],[Sell Price]]</f>
        <v>1917440.8</v>
      </c>
      <c r="V167" s="3"/>
      <c r="W167" s="4"/>
    </row>
    <row r="168" spans="1:23" x14ac:dyDescent="0.2">
      <c r="A168" s="4">
        <v>1033</v>
      </c>
      <c r="B168" s="9" t="s">
        <v>179</v>
      </c>
      <c r="C168" s="4" t="s">
        <v>26</v>
      </c>
      <c r="D168" s="4" t="s">
        <v>28</v>
      </c>
      <c r="E168" s="4" t="s">
        <v>16</v>
      </c>
      <c r="F168" s="10">
        <v>0</v>
      </c>
      <c r="G168" s="10">
        <v>0</v>
      </c>
      <c r="H168" s="10">
        <v>0</v>
      </c>
      <c r="I168" s="10">
        <v>0</v>
      </c>
      <c r="J168" s="10">
        <v>0</v>
      </c>
      <c r="K168" s="10">
        <v>0</v>
      </c>
      <c r="L168" s="10">
        <v>0</v>
      </c>
      <c r="M168" s="10">
        <v>0</v>
      </c>
      <c r="N168" s="10">
        <v>18398</v>
      </c>
      <c r="O168" s="10">
        <v>28403</v>
      </c>
      <c r="P168" s="4">
        <v>43804</v>
      </c>
      <c r="Q168" s="4">
        <v>51534</v>
      </c>
      <c r="R168" s="10">
        <v>70316</v>
      </c>
      <c r="S168" s="24">
        <f>SUM(tblSalesData[[#This Row],[FY 2000]:[FY 2012]])</f>
        <v>212455</v>
      </c>
      <c r="T168" s="11">
        <v>1.49</v>
      </c>
      <c r="U168" s="12">
        <f>tblSalesData[[#This Row],[Total Units 
to Date]]*tblSalesData[[#This Row],[Sell Price]]</f>
        <v>316557.95</v>
      </c>
      <c r="V168" s="3"/>
      <c r="W168" s="4"/>
    </row>
    <row r="169" spans="1:23" x14ac:dyDescent="0.2">
      <c r="A169" s="4">
        <v>1033</v>
      </c>
      <c r="B169" s="9" t="s">
        <v>179</v>
      </c>
      <c r="C169" s="4" t="s">
        <v>26</v>
      </c>
      <c r="D169" s="4" t="s">
        <v>28</v>
      </c>
      <c r="E169" s="4" t="s">
        <v>18</v>
      </c>
      <c r="F169" s="10">
        <v>0</v>
      </c>
      <c r="G169" s="10">
        <v>0</v>
      </c>
      <c r="H169" s="10">
        <v>0</v>
      </c>
      <c r="I169" s="10">
        <v>0</v>
      </c>
      <c r="J169" s="10">
        <v>0</v>
      </c>
      <c r="K169" s="10">
        <v>0</v>
      </c>
      <c r="L169" s="10">
        <v>0</v>
      </c>
      <c r="M169" s="10">
        <v>15404</v>
      </c>
      <c r="N169" s="10">
        <v>19588</v>
      </c>
      <c r="O169" s="10">
        <v>26779</v>
      </c>
      <c r="P169" s="4">
        <v>41409</v>
      </c>
      <c r="Q169" s="4">
        <v>64098</v>
      </c>
      <c r="R169" s="10">
        <v>69657</v>
      </c>
      <c r="S169" s="24">
        <f>SUM(tblSalesData[[#This Row],[FY 2000]:[FY 2012]])</f>
        <v>236935</v>
      </c>
      <c r="T169" s="11">
        <v>0.99</v>
      </c>
      <c r="U169" s="12">
        <f>tblSalesData[[#This Row],[Total Units 
to Date]]*tblSalesData[[#This Row],[Sell Price]]</f>
        <v>234565.65</v>
      </c>
      <c r="V169" s="3"/>
      <c r="W169" s="4"/>
    </row>
    <row r="170" spans="1:23" x14ac:dyDescent="0.2">
      <c r="A170" s="4">
        <v>1033</v>
      </c>
      <c r="B170" s="9" t="s">
        <v>179</v>
      </c>
      <c r="C170" s="4" t="s">
        <v>26</v>
      </c>
      <c r="D170" s="4" t="s">
        <v>28</v>
      </c>
      <c r="E170" s="4" t="s">
        <v>17</v>
      </c>
      <c r="F170" s="10">
        <v>0</v>
      </c>
      <c r="G170" s="10">
        <v>0</v>
      </c>
      <c r="H170" s="10">
        <v>0</v>
      </c>
      <c r="I170" s="10">
        <v>0</v>
      </c>
      <c r="J170" s="10">
        <v>0</v>
      </c>
      <c r="K170" s="10">
        <v>0</v>
      </c>
      <c r="L170" s="10">
        <v>0</v>
      </c>
      <c r="M170" s="10">
        <v>16117</v>
      </c>
      <c r="N170" s="10">
        <v>17432</v>
      </c>
      <c r="O170" s="10">
        <v>27953</v>
      </c>
      <c r="P170" s="4">
        <v>38243</v>
      </c>
      <c r="Q170" s="4">
        <v>65757</v>
      </c>
      <c r="R170" s="10">
        <v>67076</v>
      </c>
      <c r="S170" s="24">
        <f>SUM(tblSalesData[[#This Row],[FY 2000]:[FY 2012]])</f>
        <v>232578</v>
      </c>
      <c r="T170" s="11">
        <v>1.99</v>
      </c>
      <c r="U170" s="12">
        <f>tblSalesData[[#This Row],[Total Units 
to Date]]*tblSalesData[[#This Row],[Sell Price]]</f>
        <v>462830.22</v>
      </c>
      <c r="V170" s="3"/>
      <c r="W170" s="4"/>
    </row>
    <row r="171" spans="1:23" x14ac:dyDescent="0.2">
      <c r="A171" s="4">
        <v>1033</v>
      </c>
      <c r="B171" s="9" t="s">
        <v>180</v>
      </c>
      <c r="C171" s="4" t="s">
        <v>14</v>
      </c>
      <c r="D171" s="4" t="s">
        <v>27</v>
      </c>
      <c r="E171" s="4" t="s">
        <v>18</v>
      </c>
      <c r="F171" s="10">
        <v>0</v>
      </c>
      <c r="G171" s="10">
        <v>0</v>
      </c>
      <c r="H171" s="10">
        <v>0</v>
      </c>
      <c r="I171" s="10">
        <v>0</v>
      </c>
      <c r="J171" s="10">
        <v>0</v>
      </c>
      <c r="K171" s="10">
        <v>0</v>
      </c>
      <c r="L171" s="10">
        <v>0</v>
      </c>
      <c r="M171" s="10">
        <v>0</v>
      </c>
      <c r="N171" s="10">
        <v>17487</v>
      </c>
      <c r="O171" s="10">
        <v>27781</v>
      </c>
      <c r="P171" s="4">
        <v>29981</v>
      </c>
      <c r="Q171" s="4">
        <v>36472</v>
      </c>
      <c r="R171" s="4">
        <v>25206</v>
      </c>
      <c r="S171" s="24">
        <f>SUM(tblSalesData[[#This Row],[FY 2000]:[FY 2012]])</f>
        <v>136927</v>
      </c>
      <c r="T171" s="11">
        <v>9.99</v>
      </c>
      <c r="U171" s="12">
        <f>tblSalesData[[#This Row],[Total Units 
to Date]]*tblSalesData[[#This Row],[Sell Price]]</f>
        <v>1367900.73</v>
      </c>
      <c r="V171" s="3"/>
      <c r="W171" s="4"/>
    </row>
    <row r="172" spans="1:23" x14ac:dyDescent="0.2">
      <c r="A172" s="4">
        <v>1033</v>
      </c>
      <c r="B172" s="9" t="s">
        <v>181</v>
      </c>
      <c r="C172" s="4" t="s">
        <v>26</v>
      </c>
      <c r="D172" s="4" t="s">
        <v>28</v>
      </c>
      <c r="E172" s="4" t="s">
        <v>19</v>
      </c>
      <c r="F172" s="10">
        <v>0</v>
      </c>
      <c r="G172" s="10">
        <v>0</v>
      </c>
      <c r="H172" s="10">
        <v>0</v>
      </c>
      <c r="I172" s="10">
        <v>0</v>
      </c>
      <c r="J172" s="10">
        <v>0</v>
      </c>
      <c r="K172" s="10">
        <v>0</v>
      </c>
      <c r="L172" s="10">
        <v>0</v>
      </c>
      <c r="M172" s="10">
        <v>0</v>
      </c>
      <c r="N172" s="10">
        <v>18970</v>
      </c>
      <c r="O172" s="10">
        <v>27041</v>
      </c>
      <c r="P172" s="4">
        <v>43604</v>
      </c>
      <c r="Q172" s="4">
        <v>51218</v>
      </c>
      <c r="R172" s="10">
        <v>68416</v>
      </c>
      <c r="S172" s="24">
        <f>SUM(tblSalesData[[#This Row],[FY 2000]:[FY 2012]])</f>
        <v>209249</v>
      </c>
      <c r="T172" s="11">
        <v>3.99</v>
      </c>
      <c r="U172" s="12">
        <f>tblSalesData[[#This Row],[Total Units 
to Date]]*tblSalesData[[#This Row],[Sell Price]]</f>
        <v>834903.51</v>
      </c>
      <c r="V172" s="3"/>
      <c r="W172" s="4"/>
    </row>
    <row r="173" spans="1:23" x14ac:dyDescent="0.2">
      <c r="A173" s="4">
        <v>1033</v>
      </c>
      <c r="B173" s="9" t="s">
        <v>182</v>
      </c>
      <c r="C173" s="4" t="s">
        <v>14</v>
      </c>
      <c r="D173" s="4" t="s">
        <v>27</v>
      </c>
      <c r="E173" s="4" t="s">
        <v>16</v>
      </c>
      <c r="F173" s="10">
        <v>0</v>
      </c>
      <c r="G173" s="10">
        <v>0</v>
      </c>
      <c r="H173" s="10">
        <v>0</v>
      </c>
      <c r="I173" s="10">
        <v>0</v>
      </c>
      <c r="J173" s="10">
        <v>0</v>
      </c>
      <c r="K173" s="10">
        <v>0</v>
      </c>
      <c r="L173" s="10">
        <v>0</v>
      </c>
      <c r="M173" s="10">
        <v>0</v>
      </c>
      <c r="N173" s="10">
        <v>0</v>
      </c>
      <c r="O173" s="10">
        <v>27263</v>
      </c>
      <c r="P173" s="4">
        <v>28580</v>
      </c>
      <c r="Q173" s="4">
        <v>36026</v>
      </c>
      <c r="R173" s="4">
        <v>21648</v>
      </c>
      <c r="S173" s="24">
        <f>SUM(tblSalesData[[#This Row],[FY 2000]:[FY 2012]])</f>
        <v>113517</v>
      </c>
      <c r="T173" s="11">
        <v>11.99</v>
      </c>
      <c r="U173" s="12">
        <f>tblSalesData[[#This Row],[Total Units 
to Date]]*tblSalesData[[#This Row],[Sell Price]]</f>
        <v>1361068.83</v>
      </c>
      <c r="V173" s="3"/>
      <c r="W173" s="4"/>
    </row>
    <row r="174" spans="1:23" x14ac:dyDescent="0.2">
      <c r="A174" s="4">
        <v>1033</v>
      </c>
      <c r="B174" s="9" t="s">
        <v>182</v>
      </c>
      <c r="C174" s="4" t="s">
        <v>14</v>
      </c>
      <c r="D174" s="4" t="s">
        <v>27</v>
      </c>
      <c r="E174" s="4" t="s">
        <v>19</v>
      </c>
      <c r="F174" s="10">
        <v>0</v>
      </c>
      <c r="G174" s="10">
        <v>0</v>
      </c>
      <c r="H174" s="10">
        <v>0</v>
      </c>
      <c r="I174" s="10">
        <v>0</v>
      </c>
      <c r="J174" s="10">
        <v>0</v>
      </c>
      <c r="K174" s="10">
        <v>0</v>
      </c>
      <c r="L174" s="10">
        <v>0</v>
      </c>
      <c r="M174" s="10">
        <v>0</v>
      </c>
      <c r="N174" s="10">
        <v>0</v>
      </c>
      <c r="O174" s="10">
        <v>26944</v>
      </c>
      <c r="P174" s="4">
        <v>30229</v>
      </c>
      <c r="Q174" s="4">
        <v>36614</v>
      </c>
      <c r="R174" s="4">
        <v>22013</v>
      </c>
      <c r="S174" s="24">
        <f>SUM(tblSalesData[[#This Row],[FY 2000]:[FY 2012]])</f>
        <v>115800</v>
      </c>
      <c r="T174" s="11">
        <v>15.99</v>
      </c>
      <c r="U174" s="12">
        <f>tblSalesData[[#This Row],[Total Units 
to Date]]*tblSalesData[[#This Row],[Sell Price]]</f>
        <v>1851642</v>
      </c>
      <c r="V174" s="3"/>
      <c r="W174" s="4"/>
    </row>
    <row r="175" spans="1:23" x14ac:dyDescent="0.2">
      <c r="A175" s="4">
        <v>1033</v>
      </c>
      <c r="B175" s="9" t="s">
        <v>182</v>
      </c>
      <c r="C175" s="4" t="s">
        <v>14</v>
      </c>
      <c r="D175" s="4" t="s">
        <v>27</v>
      </c>
      <c r="E175" s="4" t="s">
        <v>18</v>
      </c>
      <c r="F175" s="10">
        <v>0</v>
      </c>
      <c r="G175" s="10">
        <v>0</v>
      </c>
      <c r="H175" s="10">
        <v>0</v>
      </c>
      <c r="I175" s="10">
        <v>0</v>
      </c>
      <c r="J175" s="10">
        <v>0</v>
      </c>
      <c r="K175" s="10">
        <v>0</v>
      </c>
      <c r="L175" s="10">
        <v>0</v>
      </c>
      <c r="M175" s="10">
        <v>0</v>
      </c>
      <c r="N175" s="10">
        <v>0</v>
      </c>
      <c r="O175" s="10">
        <v>25030</v>
      </c>
      <c r="P175" s="4">
        <v>33736</v>
      </c>
      <c r="Q175" s="4">
        <v>40403</v>
      </c>
      <c r="R175" s="4">
        <v>21537</v>
      </c>
      <c r="S175" s="24">
        <f>SUM(tblSalesData[[#This Row],[FY 2000]:[FY 2012]])</f>
        <v>120706</v>
      </c>
      <c r="T175" s="11">
        <v>9.99</v>
      </c>
      <c r="U175" s="12">
        <f>tblSalesData[[#This Row],[Total Units 
to Date]]*tblSalesData[[#This Row],[Sell Price]]</f>
        <v>1205852.94</v>
      </c>
      <c r="V175" s="3"/>
      <c r="W175" s="4"/>
    </row>
    <row r="176" spans="1:23" x14ac:dyDescent="0.2">
      <c r="A176" s="4">
        <v>1033</v>
      </c>
      <c r="B176" s="9" t="s">
        <v>182</v>
      </c>
      <c r="C176" s="4" t="s">
        <v>14</v>
      </c>
      <c r="D176" s="4" t="s">
        <v>28</v>
      </c>
      <c r="E176" s="4" t="s">
        <v>19</v>
      </c>
      <c r="F176" s="10">
        <v>0</v>
      </c>
      <c r="G176" s="10">
        <v>0</v>
      </c>
      <c r="H176" s="10">
        <v>0</v>
      </c>
      <c r="I176" s="10">
        <v>0</v>
      </c>
      <c r="J176" s="10">
        <v>0</v>
      </c>
      <c r="K176" s="10">
        <v>0</v>
      </c>
      <c r="L176" s="10">
        <v>0</v>
      </c>
      <c r="M176" s="10">
        <v>0</v>
      </c>
      <c r="N176" s="10">
        <v>19016</v>
      </c>
      <c r="O176" s="10">
        <v>28424</v>
      </c>
      <c r="P176" s="4">
        <v>40856</v>
      </c>
      <c r="Q176" s="4">
        <v>49007</v>
      </c>
      <c r="R176" s="10">
        <v>61197</v>
      </c>
      <c r="S176" s="24">
        <f>SUM(tblSalesData[[#This Row],[FY 2000]:[FY 2012]])</f>
        <v>198500</v>
      </c>
      <c r="T176" s="11">
        <v>3.99</v>
      </c>
      <c r="U176" s="12">
        <f>tblSalesData[[#This Row],[Total Units 
to Date]]*tblSalesData[[#This Row],[Sell Price]]</f>
        <v>792015</v>
      </c>
      <c r="V176" s="3"/>
      <c r="W176" s="4"/>
    </row>
    <row r="177" spans="1:23" x14ac:dyDescent="0.2">
      <c r="A177" s="4">
        <v>1033</v>
      </c>
      <c r="B177" s="9" t="s">
        <v>183</v>
      </c>
      <c r="C177" s="4" t="s">
        <v>13</v>
      </c>
      <c r="D177" s="4" t="s">
        <v>27</v>
      </c>
      <c r="E177" s="4" t="s">
        <v>18</v>
      </c>
      <c r="F177" s="10">
        <v>0</v>
      </c>
      <c r="G177" s="10">
        <v>0</v>
      </c>
      <c r="H177" s="10">
        <v>0</v>
      </c>
      <c r="I177" s="10">
        <v>0</v>
      </c>
      <c r="J177" s="10">
        <v>0</v>
      </c>
      <c r="K177" s="10">
        <v>0</v>
      </c>
      <c r="L177" s="10">
        <v>0</v>
      </c>
      <c r="M177" s="10">
        <v>0</v>
      </c>
      <c r="N177" s="10">
        <v>0</v>
      </c>
      <c r="O177" s="10">
        <v>26948</v>
      </c>
      <c r="P177" s="4">
        <v>27488</v>
      </c>
      <c r="Q177" s="4">
        <v>28494</v>
      </c>
      <c r="R177" s="4">
        <v>24875</v>
      </c>
      <c r="S177" s="24">
        <f>SUM(tblSalesData[[#This Row],[FY 2000]:[FY 2012]])</f>
        <v>107805</v>
      </c>
      <c r="T177" s="11">
        <v>9.99</v>
      </c>
      <c r="U177" s="12">
        <f>tblSalesData[[#This Row],[Total Units 
to Date]]*tblSalesData[[#This Row],[Sell Price]]</f>
        <v>1076971.95</v>
      </c>
      <c r="V177" s="3"/>
      <c r="W177" s="4"/>
    </row>
    <row r="178" spans="1:23" x14ac:dyDescent="0.2">
      <c r="A178" s="4">
        <v>1033</v>
      </c>
      <c r="B178" s="9" t="s">
        <v>184</v>
      </c>
      <c r="C178" s="4" t="s">
        <v>15</v>
      </c>
      <c r="D178" s="4" t="s">
        <v>28</v>
      </c>
      <c r="E178" s="4" t="s">
        <v>16</v>
      </c>
      <c r="F178" s="10">
        <v>0</v>
      </c>
      <c r="G178" s="10">
        <v>0</v>
      </c>
      <c r="H178" s="10">
        <v>0</v>
      </c>
      <c r="I178" s="10">
        <v>0</v>
      </c>
      <c r="J178" s="10">
        <v>0</v>
      </c>
      <c r="K178" s="10">
        <v>0</v>
      </c>
      <c r="L178" s="10">
        <v>0</v>
      </c>
      <c r="M178" s="10">
        <v>0</v>
      </c>
      <c r="N178" s="10">
        <v>0</v>
      </c>
      <c r="O178" s="10">
        <v>0</v>
      </c>
      <c r="P178" s="4">
        <v>43012</v>
      </c>
      <c r="Q178" s="4">
        <v>63861</v>
      </c>
      <c r="R178" s="10">
        <v>64833</v>
      </c>
      <c r="S178" s="24">
        <f>SUM(tblSalesData[[#This Row],[FY 2000]:[FY 2012]])</f>
        <v>171706</v>
      </c>
      <c r="T178" s="11">
        <v>1.49</v>
      </c>
      <c r="U178" s="12">
        <f>tblSalesData[[#This Row],[Total Units 
to Date]]*tblSalesData[[#This Row],[Sell Price]]</f>
        <v>255841.94</v>
      </c>
      <c r="V178" s="3"/>
      <c r="W178" s="4"/>
    </row>
    <row r="179" spans="1:23" x14ac:dyDescent="0.2">
      <c r="A179" s="4">
        <v>1033</v>
      </c>
      <c r="B179" s="9" t="s">
        <v>185</v>
      </c>
      <c r="C179" s="4" t="s">
        <v>15</v>
      </c>
      <c r="D179" s="4" t="s">
        <v>28</v>
      </c>
      <c r="E179" s="4" t="s">
        <v>18</v>
      </c>
      <c r="F179" s="10">
        <v>0</v>
      </c>
      <c r="G179" s="10">
        <v>0</v>
      </c>
      <c r="H179" s="10">
        <v>0</v>
      </c>
      <c r="I179" s="10">
        <v>0</v>
      </c>
      <c r="J179" s="10">
        <v>0</v>
      </c>
      <c r="K179" s="10">
        <v>0</v>
      </c>
      <c r="L179" s="10">
        <v>0</v>
      </c>
      <c r="M179" s="10">
        <v>0</v>
      </c>
      <c r="N179" s="10">
        <v>0</v>
      </c>
      <c r="O179" s="10">
        <v>0</v>
      </c>
      <c r="P179" s="4">
        <v>37581</v>
      </c>
      <c r="Q179" s="4">
        <v>62352</v>
      </c>
      <c r="R179" s="10">
        <v>69730</v>
      </c>
      <c r="S179" s="24">
        <f>SUM(tblSalesData[[#This Row],[FY 2000]:[FY 2012]])</f>
        <v>169663</v>
      </c>
      <c r="T179" s="11">
        <v>0.99</v>
      </c>
      <c r="U179" s="12">
        <f>tblSalesData[[#This Row],[Total Units 
to Date]]*tblSalesData[[#This Row],[Sell Price]]</f>
        <v>167966.37</v>
      </c>
      <c r="V179" s="3"/>
      <c r="W179" s="4"/>
    </row>
    <row r="180" spans="1:23" x14ac:dyDescent="0.2">
      <c r="A180" s="4">
        <v>1033</v>
      </c>
      <c r="B180" s="9" t="s">
        <v>186</v>
      </c>
      <c r="C180" s="4" t="s">
        <v>26</v>
      </c>
      <c r="D180" s="4" t="s">
        <v>27</v>
      </c>
      <c r="E180" s="4" t="s">
        <v>16</v>
      </c>
      <c r="F180" s="10">
        <v>0</v>
      </c>
      <c r="G180" s="10">
        <v>0</v>
      </c>
      <c r="H180" s="10">
        <v>0</v>
      </c>
      <c r="I180" s="10">
        <v>0</v>
      </c>
      <c r="J180" s="10">
        <v>0</v>
      </c>
      <c r="K180" s="10">
        <v>0</v>
      </c>
      <c r="L180" s="10">
        <v>0</v>
      </c>
      <c r="M180" s="10">
        <v>0</v>
      </c>
      <c r="N180" s="10">
        <v>0</v>
      </c>
      <c r="O180" s="10">
        <v>0</v>
      </c>
      <c r="P180" s="4">
        <v>28097</v>
      </c>
      <c r="Q180" s="4">
        <v>31133</v>
      </c>
      <c r="R180" s="4">
        <v>23561</v>
      </c>
      <c r="S180" s="24">
        <f>SUM(tblSalesData[[#This Row],[FY 2000]:[FY 2012]])</f>
        <v>82791</v>
      </c>
      <c r="T180" s="11">
        <v>11.99</v>
      </c>
      <c r="U180" s="12">
        <f>tblSalesData[[#This Row],[Total Units 
to Date]]*tblSalesData[[#This Row],[Sell Price]]</f>
        <v>992664.09</v>
      </c>
      <c r="V180" s="3"/>
      <c r="W180" s="4"/>
    </row>
    <row r="181" spans="1:23" x14ac:dyDescent="0.2">
      <c r="A181" s="4">
        <v>1033</v>
      </c>
      <c r="B181" s="9" t="s">
        <v>186</v>
      </c>
      <c r="C181" s="4" t="s">
        <v>26</v>
      </c>
      <c r="D181" s="4" t="s">
        <v>27</v>
      </c>
      <c r="E181" s="4" t="s">
        <v>17</v>
      </c>
      <c r="F181" s="10">
        <v>0</v>
      </c>
      <c r="G181" s="10">
        <v>0</v>
      </c>
      <c r="H181" s="10">
        <v>0</v>
      </c>
      <c r="I181" s="10">
        <v>0</v>
      </c>
      <c r="J181" s="10">
        <v>0</v>
      </c>
      <c r="K181" s="10">
        <v>0</v>
      </c>
      <c r="L181" s="10">
        <v>0</v>
      </c>
      <c r="M181" s="10">
        <v>0</v>
      </c>
      <c r="N181" s="10">
        <v>0</v>
      </c>
      <c r="O181" s="10">
        <v>0</v>
      </c>
      <c r="P181" s="4">
        <v>32839</v>
      </c>
      <c r="Q181" s="4">
        <v>32696</v>
      </c>
      <c r="R181" s="4">
        <v>22459</v>
      </c>
      <c r="S181" s="24">
        <f>SUM(tblSalesData[[#This Row],[FY 2000]:[FY 2012]])</f>
        <v>87994</v>
      </c>
      <c r="T181" s="11">
        <v>12.99</v>
      </c>
      <c r="U181" s="12">
        <f>tblSalesData[[#This Row],[Total Units 
to Date]]*tblSalesData[[#This Row],[Sell Price]]</f>
        <v>1143042.06</v>
      </c>
      <c r="V181" s="3"/>
      <c r="W181" s="4"/>
    </row>
    <row r="182" spans="1:23" x14ac:dyDescent="0.2">
      <c r="A182" s="4">
        <v>1033</v>
      </c>
      <c r="B182" s="9" t="s">
        <v>186</v>
      </c>
      <c r="C182" s="4" t="s">
        <v>26</v>
      </c>
      <c r="D182" s="4" t="s">
        <v>28</v>
      </c>
      <c r="E182" s="4" t="s">
        <v>16</v>
      </c>
      <c r="F182" s="10">
        <v>0</v>
      </c>
      <c r="G182" s="10">
        <v>0</v>
      </c>
      <c r="H182" s="10">
        <v>0</v>
      </c>
      <c r="I182" s="10">
        <v>0</v>
      </c>
      <c r="J182" s="10">
        <v>0</v>
      </c>
      <c r="K182" s="10">
        <v>0</v>
      </c>
      <c r="L182" s="10">
        <v>0</v>
      </c>
      <c r="M182" s="10">
        <v>0</v>
      </c>
      <c r="N182" s="10">
        <v>0</v>
      </c>
      <c r="O182" s="10">
        <v>0</v>
      </c>
      <c r="P182" s="4">
        <v>35847</v>
      </c>
      <c r="Q182" s="4">
        <v>53032</v>
      </c>
      <c r="R182" s="10">
        <v>65920</v>
      </c>
      <c r="S182" s="24">
        <f>SUM(tblSalesData[[#This Row],[FY 2000]:[FY 2012]])</f>
        <v>154799</v>
      </c>
      <c r="T182" s="11">
        <v>1.49</v>
      </c>
      <c r="U182" s="12">
        <f>tblSalesData[[#This Row],[Total Units 
to Date]]*tblSalesData[[#This Row],[Sell Price]]</f>
        <v>230650.51</v>
      </c>
      <c r="V182" s="3"/>
      <c r="W182" s="4"/>
    </row>
    <row r="183" spans="1:23" x14ac:dyDescent="0.2">
      <c r="A183" s="4">
        <v>1033</v>
      </c>
      <c r="B183" s="9" t="s">
        <v>186</v>
      </c>
      <c r="C183" s="4" t="s">
        <v>26</v>
      </c>
      <c r="D183" s="4" t="s">
        <v>28</v>
      </c>
      <c r="E183" s="4" t="s">
        <v>18</v>
      </c>
      <c r="F183" s="10">
        <v>0</v>
      </c>
      <c r="G183" s="10">
        <v>0</v>
      </c>
      <c r="H183" s="10">
        <v>0</v>
      </c>
      <c r="I183" s="10">
        <v>0</v>
      </c>
      <c r="J183" s="10">
        <v>0</v>
      </c>
      <c r="K183" s="10">
        <v>0</v>
      </c>
      <c r="L183" s="10">
        <v>0</v>
      </c>
      <c r="M183" s="10">
        <v>0</v>
      </c>
      <c r="N183" s="10">
        <v>0</v>
      </c>
      <c r="O183" s="10">
        <v>0</v>
      </c>
      <c r="P183" s="4">
        <v>36256</v>
      </c>
      <c r="Q183" s="4">
        <v>57192</v>
      </c>
      <c r="R183" s="10">
        <v>60963</v>
      </c>
      <c r="S183" s="24">
        <f>SUM(tblSalesData[[#This Row],[FY 2000]:[FY 2012]])</f>
        <v>154411</v>
      </c>
      <c r="T183" s="11">
        <v>0.99</v>
      </c>
      <c r="U183" s="12">
        <f>tblSalesData[[#This Row],[Total Units 
to Date]]*tblSalesData[[#This Row],[Sell Price]]</f>
        <v>152866.88999999998</v>
      </c>
      <c r="V183" s="3"/>
      <c r="W183" s="4"/>
    </row>
    <row r="184" spans="1:23" x14ac:dyDescent="0.2">
      <c r="A184" s="4">
        <v>1034</v>
      </c>
      <c r="B184" s="9" t="s">
        <v>187</v>
      </c>
      <c r="C184" s="4" t="s">
        <v>15</v>
      </c>
      <c r="D184" s="4" t="s">
        <v>27</v>
      </c>
      <c r="E184" s="4" t="s">
        <v>17</v>
      </c>
      <c r="F184" s="10">
        <v>0</v>
      </c>
      <c r="G184" s="10">
        <v>0</v>
      </c>
      <c r="H184" s="10">
        <v>694450</v>
      </c>
      <c r="I184" s="10">
        <v>753850</v>
      </c>
      <c r="J184" s="10">
        <v>762557</v>
      </c>
      <c r="K184" s="10">
        <v>776087</v>
      </c>
      <c r="L184" s="10">
        <v>786251</v>
      </c>
      <c r="M184" s="10">
        <v>820706</v>
      </c>
      <c r="N184" s="10">
        <v>826363</v>
      </c>
      <c r="O184" s="10">
        <v>893696</v>
      </c>
      <c r="P184" s="4">
        <v>863650</v>
      </c>
      <c r="Q184" s="4">
        <v>687546</v>
      </c>
      <c r="R184" s="4">
        <v>351642</v>
      </c>
      <c r="S184" s="24">
        <f>SUM(tblSalesData[[#This Row],[FY 2000]:[FY 2012]])</f>
        <v>8216798</v>
      </c>
      <c r="T184" s="11">
        <v>12.99</v>
      </c>
      <c r="U184" s="12">
        <f>tblSalesData[[#This Row],[Total Units 
to Date]]*tblSalesData[[#This Row],[Sell Price]]</f>
        <v>106736206.02</v>
      </c>
      <c r="V184" s="3"/>
      <c r="W184" s="4"/>
    </row>
    <row r="185" spans="1:23" x14ac:dyDescent="0.2">
      <c r="A185" s="4">
        <v>1034</v>
      </c>
      <c r="B185" s="9" t="s">
        <v>188</v>
      </c>
      <c r="C185" s="4" t="s">
        <v>15</v>
      </c>
      <c r="D185" s="4" t="s">
        <v>27</v>
      </c>
      <c r="E185" s="4" t="s">
        <v>19</v>
      </c>
      <c r="F185" s="10">
        <v>0</v>
      </c>
      <c r="G185" s="10">
        <v>0</v>
      </c>
      <c r="H185" s="10">
        <v>603229</v>
      </c>
      <c r="I185" s="10">
        <v>752809</v>
      </c>
      <c r="J185" s="10">
        <v>760729</v>
      </c>
      <c r="K185" s="10">
        <v>779695</v>
      </c>
      <c r="L185" s="10">
        <v>780761</v>
      </c>
      <c r="M185" s="10">
        <v>822764</v>
      </c>
      <c r="N185" s="10">
        <v>831377</v>
      </c>
      <c r="O185" s="10">
        <v>897819</v>
      </c>
      <c r="P185" s="4">
        <v>867515</v>
      </c>
      <c r="Q185" s="4">
        <v>687959</v>
      </c>
      <c r="R185" s="4">
        <v>570585</v>
      </c>
      <c r="S185" s="24">
        <f>SUM(tblSalesData[[#This Row],[FY 2000]:[FY 2012]])</f>
        <v>8355242</v>
      </c>
      <c r="T185" s="11">
        <v>15.99</v>
      </c>
      <c r="U185" s="12">
        <f>tblSalesData[[#This Row],[Total Units 
to Date]]*tblSalesData[[#This Row],[Sell Price]]</f>
        <v>133600319.58</v>
      </c>
      <c r="V185" s="3"/>
      <c r="W185" s="4"/>
    </row>
    <row r="186" spans="1:23" x14ac:dyDescent="0.2">
      <c r="A186" s="4">
        <v>1034</v>
      </c>
      <c r="B186" s="9" t="s">
        <v>189</v>
      </c>
      <c r="C186" s="4" t="s">
        <v>13</v>
      </c>
      <c r="D186" s="4" t="s">
        <v>28</v>
      </c>
      <c r="E186" s="4" t="s">
        <v>17</v>
      </c>
      <c r="F186" s="10">
        <v>0</v>
      </c>
      <c r="G186" s="10">
        <v>0</v>
      </c>
      <c r="H186" s="10">
        <v>1071</v>
      </c>
      <c r="I186" s="10">
        <v>2925</v>
      </c>
      <c r="J186" s="10">
        <v>3996</v>
      </c>
      <c r="K186" s="10">
        <v>4740</v>
      </c>
      <c r="L186" s="10">
        <v>5516</v>
      </c>
      <c r="M186" s="10">
        <v>7043</v>
      </c>
      <c r="N186" s="10">
        <v>9992</v>
      </c>
      <c r="O186" s="10">
        <v>17866</v>
      </c>
      <c r="P186" s="4">
        <v>24831</v>
      </c>
      <c r="Q186" s="4">
        <v>31991</v>
      </c>
      <c r="R186" s="10">
        <v>43200</v>
      </c>
      <c r="S186" s="24">
        <f>SUM(tblSalesData[[#This Row],[FY 2000]:[FY 2012]])</f>
        <v>153171</v>
      </c>
      <c r="T186" s="11">
        <v>1.99</v>
      </c>
      <c r="U186" s="12">
        <f>tblSalesData[[#This Row],[Total Units 
to Date]]*tblSalesData[[#This Row],[Sell Price]]</f>
        <v>304810.28999999998</v>
      </c>
      <c r="V186" s="3"/>
      <c r="W186" s="4"/>
    </row>
    <row r="187" spans="1:23" x14ac:dyDescent="0.2">
      <c r="A187" s="4">
        <v>1034</v>
      </c>
      <c r="B187" s="9" t="s">
        <v>190</v>
      </c>
      <c r="C187" s="4" t="s">
        <v>13</v>
      </c>
      <c r="D187" s="4" t="s">
        <v>27</v>
      </c>
      <c r="E187" s="4" t="s">
        <v>19</v>
      </c>
      <c r="F187" s="10">
        <v>0</v>
      </c>
      <c r="G187" s="10">
        <v>0</v>
      </c>
      <c r="H187" s="10">
        <v>0</v>
      </c>
      <c r="I187" s="10">
        <v>3423</v>
      </c>
      <c r="J187" s="10">
        <v>4270</v>
      </c>
      <c r="K187" s="10">
        <v>4590</v>
      </c>
      <c r="L187" s="10">
        <v>5202</v>
      </c>
      <c r="M187" s="10">
        <v>7915</v>
      </c>
      <c r="N187" s="10">
        <v>9791</v>
      </c>
      <c r="O187" s="10">
        <v>17518</v>
      </c>
      <c r="P187" s="4">
        <v>18539</v>
      </c>
      <c r="Q187" s="4">
        <v>19037</v>
      </c>
      <c r="R187" s="4">
        <v>13031</v>
      </c>
      <c r="S187" s="24">
        <f>SUM(tblSalesData[[#This Row],[FY 2000]:[FY 2012]])</f>
        <v>103316</v>
      </c>
      <c r="T187" s="11">
        <v>15.99</v>
      </c>
      <c r="U187" s="12">
        <f>tblSalesData[[#This Row],[Total Units 
to Date]]*tblSalesData[[#This Row],[Sell Price]]</f>
        <v>1652022.84</v>
      </c>
      <c r="V187" s="3"/>
      <c r="W187" s="4"/>
    </row>
    <row r="188" spans="1:23" x14ac:dyDescent="0.2">
      <c r="A188" s="4">
        <v>1034</v>
      </c>
      <c r="B188" s="9" t="s">
        <v>393</v>
      </c>
      <c r="C188" s="4" t="s">
        <v>14</v>
      </c>
      <c r="D188" s="4" t="s">
        <v>27</v>
      </c>
      <c r="E188" s="4" t="s">
        <v>17</v>
      </c>
      <c r="F188" s="10">
        <v>0</v>
      </c>
      <c r="G188" s="10">
        <v>0</v>
      </c>
      <c r="H188" s="10">
        <v>0</v>
      </c>
      <c r="I188" s="10">
        <v>0</v>
      </c>
      <c r="J188" s="10">
        <v>0</v>
      </c>
      <c r="K188" s="10">
        <v>0</v>
      </c>
      <c r="L188" s="10">
        <v>0</v>
      </c>
      <c r="M188" s="10">
        <v>7169</v>
      </c>
      <c r="N188" s="10">
        <v>9348</v>
      </c>
      <c r="O188" s="10">
        <v>16276</v>
      </c>
      <c r="P188" s="4">
        <v>19843</v>
      </c>
      <c r="Q188" s="4">
        <v>18504</v>
      </c>
      <c r="R188" s="4">
        <v>13672</v>
      </c>
      <c r="S188" s="24">
        <f>SUM(tblSalesData[[#This Row],[FY 2000]:[FY 2012]])</f>
        <v>84812</v>
      </c>
      <c r="T188" s="11">
        <v>12.99</v>
      </c>
      <c r="U188" s="12">
        <f>tblSalesData[[#This Row],[Total Units 
to Date]]*tblSalesData[[#This Row],[Sell Price]]</f>
        <v>1101707.8800000001</v>
      </c>
      <c r="V188" s="3"/>
      <c r="W188" s="4"/>
    </row>
    <row r="189" spans="1:23" x14ac:dyDescent="0.2">
      <c r="A189" s="4">
        <v>1034</v>
      </c>
      <c r="B189" s="9" t="s">
        <v>393</v>
      </c>
      <c r="C189" s="4" t="s">
        <v>14</v>
      </c>
      <c r="D189" s="4" t="s">
        <v>27</v>
      </c>
      <c r="E189" s="4" t="s">
        <v>19</v>
      </c>
      <c r="F189" s="10">
        <v>0</v>
      </c>
      <c r="G189" s="10">
        <v>0</v>
      </c>
      <c r="H189" s="10">
        <v>0</v>
      </c>
      <c r="I189" s="10">
        <v>0</v>
      </c>
      <c r="J189" s="10">
        <v>3683</v>
      </c>
      <c r="K189" s="10">
        <v>4910</v>
      </c>
      <c r="L189" s="10">
        <v>5368</v>
      </c>
      <c r="M189" s="10">
        <v>8858</v>
      </c>
      <c r="N189" s="10">
        <v>9128</v>
      </c>
      <c r="O189" s="10">
        <v>19525</v>
      </c>
      <c r="P189" s="4">
        <v>20137</v>
      </c>
      <c r="Q189" s="4">
        <v>18032</v>
      </c>
      <c r="R189" s="4">
        <v>11939</v>
      </c>
      <c r="S189" s="24">
        <f>SUM(tblSalesData[[#This Row],[FY 2000]:[FY 2012]])</f>
        <v>101580</v>
      </c>
      <c r="T189" s="11">
        <v>15.99</v>
      </c>
      <c r="U189" s="12">
        <f>tblSalesData[[#This Row],[Total Units 
to Date]]*tblSalesData[[#This Row],[Sell Price]]</f>
        <v>1624264.2</v>
      </c>
      <c r="V189" s="3"/>
      <c r="W189" s="4"/>
    </row>
    <row r="190" spans="1:23" x14ac:dyDescent="0.2">
      <c r="A190" s="4">
        <v>1034</v>
      </c>
      <c r="B190" s="9" t="s">
        <v>393</v>
      </c>
      <c r="C190" s="4" t="s">
        <v>14</v>
      </c>
      <c r="D190" s="4" t="s">
        <v>27</v>
      </c>
      <c r="E190" s="4" t="s">
        <v>18</v>
      </c>
      <c r="F190" s="10">
        <v>0</v>
      </c>
      <c r="G190" s="10">
        <v>0</v>
      </c>
      <c r="H190" s="10">
        <v>0</v>
      </c>
      <c r="I190" s="10">
        <v>0</v>
      </c>
      <c r="J190" s="10">
        <v>0</v>
      </c>
      <c r="K190" s="10">
        <v>0</v>
      </c>
      <c r="L190" s="10">
        <v>0</v>
      </c>
      <c r="M190" s="10">
        <v>0</v>
      </c>
      <c r="N190" s="10">
        <v>9834</v>
      </c>
      <c r="O190" s="10">
        <v>19341</v>
      </c>
      <c r="P190" s="4">
        <v>21603</v>
      </c>
      <c r="Q190" s="4">
        <v>20420</v>
      </c>
      <c r="R190" s="4">
        <v>15290</v>
      </c>
      <c r="S190" s="24">
        <f>SUM(tblSalesData[[#This Row],[FY 2000]:[FY 2012]])</f>
        <v>86488</v>
      </c>
      <c r="T190" s="11">
        <v>9.99</v>
      </c>
      <c r="U190" s="12">
        <f>tblSalesData[[#This Row],[Total Units 
to Date]]*tblSalesData[[#This Row],[Sell Price]]</f>
        <v>864015.12</v>
      </c>
      <c r="V190" s="3"/>
      <c r="W190" s="4"/>
    </row>
    <row r="191" spans="1:23" x14ac:dyDescent="0.2">
      <c r="A191" s="4">
        <v>1034</v>
      </c>
      <c r="B191" s="9" t="s">
        <v>393</v>
      </c>
      <c r="C191" s="4" t="s">
        <v>14</v>
      </c>
      <c r="D191" s="4" t="s">
        <v>28</v>
      </c>
      <c r="E191" s="4" t="s">
        <v>16</v>
      </c>
      <c r="F191" s="10">
        <v>0</v>
      </c>
      <c r="G191" s="10">
        <v>0</v>
      </c>
      <c r="H191" s="10">
        <v>0</v>
      </c>
      <c r="I191" s="10">
        <v>0</v>
      </c>
      <c r="J191" s="10">
        <v>0</v>
      </c>
      <c r="K191" s="10">
        <v>0</v>
      </c>
      <c r="L191" s="10">
        <v>5468</v>
      </c>
      <c r="M191" s="10">
        <v>7185</v>
      </c>
      <c r="N191" s="10">
        <v>9632</v>
      </c>
      <c r="O191" s="10">
        <v>19724</v>
      </c>
      <c r="P191" s="4">
        <v>24994</v>
      </c>
      <c r="Q191" s="4">
        <v>33197</v>
      </c>
      <c r="R191" s="10">
        <v>35166</v>
      </c>
      <c r="S191" s="24">
        <f>SUM(tblSalesData[[#This Row],[FY 2000]:[FY 2012]])</f>
        <v>135366</v>
      </c>
      <c r="T191" s="11">
        <v>1.49</v>
      </c>
      <c r="U191" s="12">
        <f>tblSalesData[[#This Row],[Total Units 
to Date]]*tblSalesData[[#This Row],[Sell Price]]</f>
        <v>201695.34</v>
      </c>
      <c r="V191" s="3"/>
      <c r="W191" s="4"/>
    </row>
    <row r="192" spans="1:23" x14ac:dyDescent="0.2">
      <c r="A192" s="4">
        <v>1034</v>
      </c>
      <c r="B192" s="9" t="s">
        <v>393</v>
      </c>
      <c r="C192" s="4" t="s">
        <v>14</v>
      </c>
      <c r="D192" s="4" t="s">
        <v>28</v>
      </c>
      <c r="E192" s="4" t="s">
        <v>17</v>
      </c>
      <c r="F192" s="10">
        <v>0</v>
      </c>
      <c r="G192" s="10">
        <v>0</v>
      </c>
      <c r="H192" s="10">
        <v>0</v>
      </c>
      <c r="I192" s="10">
        <v>0</v>
      </c>
      <c r="J192" s="10">
        <v>0</v>
      </c>
      <c r="K192" s="10">
        <v>0</v>
      </c>
      <c r="L192" s="10">
        <v>0</v>
      </c>
      <c r="M192" s="10">
        <v>7378</v>
      </c>
      <c r="N192" s="10">
        <v>9075</v>
      </c>
      <c r="O192" s="10">
        <v>19955</v>
      </c>
      <c r="P192" s="4">
        <v>22759</v>
      </c>
      <c r="Q192" s="4">
        <v>32076</v>
      </c>
      <c r="R192" s="10">
        <v>36018</v>
      </c>
      <c r="S192" s="24">
        <f>SUM(tblSalesData[[#This Row],[FY 2000]:[FY 2012]])</f>
        <v>127261</v>
      </c>
      <c r="T192" s="11">
        <v>1.99</v>
      </c>
      <c r="U192" s="12">
        <f>tblSalesData[[#This Row],[Total Units 
to Date]]*tblSalesData[[#This Row],[Sell Price]]</f>
        <v>253249.38999999998</v>
      </c>
      <c r="V192" s="3"/>
      <c r="W192" s="4"/>
    </row>
    <row r="193" spans="1:23" x14ac:dyDescent="0.2">
      <c r="A193" s="4">
        <v>1034</v>
      </c>
      <c r="B193" s="9" t="s">
        <v>191</v>
      </c>
      <c r="C193" s="4" t="s">
        <v>26</v>
      </c>
      <c r="D193" s="4" t="s">
        <v>27</v>
      </c>
      <c r="E193" s="4" t="s">
        <v>18</v>
      </c>
      <c r="F193" s="10">
        <v>0</v>
      </c>
      <c r="G193" s="10">
        <v>0</v>
      </c>
      <c r="H193" s="10">
        <v>0</v>
      </c>
      <c r="I193" s="10">
        <v>0</v>
      </c>
      <c r="J193" s="10">
        <v>0</v>
      </c>
      <c r="K193" s="10">
        <v>0</v>
      </c>
      <c r="L193" s="10">
        <v>0</v>
      </c>
      <c r="M193" s="10">
        <v>0</v>
      </c>
      <c r="N193" s="10">
        <v>9145</v>
      </c>
      <c r="O193" s="10">
        <v>18799</v>
      </c>
      <c r="P193" s="4">
        <v>18284</v>
      </c>
      <c r="Q193" s="4">
        <v>18179</v>
      </c>
      <c r="R193" s="4">
        <v>15254</v>
      </c>
      <c r="S193" s="24">
        <f>SUM(tblSalesData[[#This Row],[FY 2000]:[FY 2012]])</f>
        <v>79661</v>
      </c>
      <c r="T193" s="11">
        <v>9.99</v>
      </c>
      <c r="U193" s="12">
        <f>tblSalesData[[#This Row],[Total Units 
to Date]]*tblSalesData[[#This Row],[Sell Price]]</f>
        <v>795813.39</v>
      </c>
      <c r="V193" s="3"/>
      <c r="W193" s="4"/>
    </row>
    <row r="194" spans="1:23" x14ac:dyDescent="0.2">
      <c r="A194" s="4">
        <v>1034</v>
      </c>
      <c r="B194" s="9" t="s">
        <v>192</v>
      </c>
      <c r="C194" s="4" t="s">
        <v>13</v>
      </c>
      <c r="D194" s="4" t="s">
        <v>28</v>
      </c>
      <c r="E194" s="4" t="s">
        <v>17</v>
      </c>
      <c r="F194" s="10">
        <v>0</v>
      </c>
      <c r="G194" s="10">
        <v>0</v>
      </c>
      <c r="H194" s="10">
        <v>0</v>
      </c>
      <c r="I194" s="10">
        <v>0</v>
      </c>
      <c r="J194" s="10">
        <v>0</v>
      </c>
      <c r="K194" s="10">
        <v>0</v>
      </c>
      <c r="L194" s="10">
        <v>0</v>
      </c>
      <c r="M194" s="10">
        <v>0</v>
      </c>
      <c r="N194" s="10">
        <v>0</v>
      </c>
      <c r="O194" s="10">
        <v>19140</v>
      </c>
      <c r="P194" s="4">
        <v>22442</v>
      </c>
      <c r="Q194" s="4">
        <v>32780</v>
      </c>
      <c r="R194" s="10">
        <v>38627</v>
      </c>
      <c r="S194" s="24">
        <f>SUM(tblSalesData[[#This Row],[FY 2000]:[FY 2012]])</f>
        <v>112989</v>
      </c>
      <c r="T194" s="11">
        <v>1.99</v>
      </c>
      <c r="U194" s="12">
        <f>tblSalesData[[#This Row],[Total Units 
to Date]]*tblSalesData[[#This Row],[Sell Price]]</f>
        <v>224848.11</v>
      </c>
      <c r="V194" s="3"/>
      <c r="W194" s="4"/>
    </row>
    <row r="195" spans="1:23" x14ac:dyDescent="0.2">
      <c r="A195" s="4">
        <v>1034</v>
      </c>
      <c r="B195" s="9" t="s">
        <v>193</v>
      </c>
      <c r="C195" s="4" t="s">
        <v>14</v>
      </c>
      <c r="D195" s="4" t="s">
        <v>27</v>
      </c>
      <c r="E195" s="4" t="s">
        <v>17</v>
      </c>
      <c r="F195" s="10">
        <v>0</v>
      </c>
      <c r="G195" s="10">
        <v>0</v>
      </c>
      <c r="H195" s="10">
        <v>0</v>
      </c>
      <c r="I195" s="10">
        <v>0</v>
      </c>
      <c r="J195" s="10">
        <v>0</v>
      </c>
      <c r="K195" s="10">
        <v>0</v>
      </c>
      <c r="L195" s="10">
        <v>0</v>
      </c>
      <c r="M195" s="10">
        <v>0</v>
      </c>
      <c r="N195" s="10">
        <v>0</v>
      </c>
      <c r="O195" s="10">
        <v>0</v>
      </c>
      <c r="P195" s="4">
        <v>19910</v>
      </c>
      <c r="Q195" s="4">
        <v>19583</v>
      </c>
      <c r="R195" s="4">
        <v>12273</v>
      </c>
      <c r="S195" s="24">
        <f>SUM(tblSalesData[[#This Row],[FY 2000]:[FY 2012]])</f>
        <v>51766</v>
      </c>
      <c r="T195" s="11">
        <v>12.99</v>
      </c>
      <c r="U195" s="12">
        <f>tblSalesData[[#This Row],[Total Units 
to Date]]*tblSalesData[[#This Row],[Sell Price]]</f>
        <v>672440.34</v>
      </c>
      <c r="V195" s="3"/>
      <c r="W195" s="4"/>
    </row>
    <row r="196" spans="1:23" x14ac:dyDescent="0.2">
      <c r="A196" s="4">
        <v>1034</v>
      </c>
      <c r="B196" s="9" t="s">
        <v>193</v>
      </c>
      <c r="C196" s="4" t="s">
        <v>14</v>
      </c>
      <c r="D196" s="4" t="s">
        <v>28</v>
      </c>
      <c r="E196" s="4" t="s">
        <v>18</v>
      </c>
      <c r="F196" s="10">
        <v>0</v>
      </c>
      <c r="G196" s="10">
        <v>0</v>
      </c>
      <c r="H196" s="10">
        <v>0</v>
      </c>
      <c r="I196" s="10">
        <v>0</v>
      </c>
      <c r="J196" s="10">
        <v>0</v>
      </c>
      <c r="K196" s="10">
        <v>0</v>
      </c>
      <c r="L196" s="10">
        <v>0</v>
      </c>
      <c r="M196" s="10">
        <v>0</v>
      </c>
      <c r="N196" s="10">
        <v>0</v>
      </c>
      <c r="O196" s="10">
        <v>0</v>
      </c>
      <c r="P196" s="4">
        <v>27842</v>
      </c>
      <c r="Q196" s="4">
        <v>30607</v>
      </c>
      <c r="R196" s="10">
        <v>35266</v>
      </c>
      <c r="S196" s="24">
        <f>SUM(tblSalesData[[#This Row],[FY 2000]:[FY 2012]])</f>
        <v>93715</v>
      </c>
      <c r="T196" s="11">
        <v>0.99</v>
      </c>
      <c r="U196" s="12">
        <f>tblSalesData[[#This Row],[Total Units 
to Date]]*tblSalesData[[#This Row],[Sell Price]]</f>
        <v>92777.85</v>
      </c>
      <c r="V196" s="3"/>
      <c r="W196" s="4"/>
    </row>
    <row r="197" spans="1:23" x14ac:dyDescent="0.2">
      <c r="A197" s="4">
        <v>1034</v>
      </c>
      <c r="B197" s="9" t="s">
        <v>194</v>
      </c>
      <c r="C197" s="4" t="s">
        <v>26</v>
      </c>
      <c r="D197" s="4" t="s">
        <v>28</v>
      </c>
      <c r="E197" s="4" t="s">
        <v>16</v>
      </c>
      <c r="F197" s="10">
        <v>0</v>
      </c>
      <c r="G197" s="10">
        <v>0</v>
      </c>
      <c r="H197" s="10">
        <v>0</v>
      </c>
      <c r="I197" s="10">
        <v>0</v>
      </c>
      <c r="J197" s="10">
        <v>0</v>
      </c>
      <c r="K197" s="10">
        <v>0</v>
      </c>
      <c r="L197" s="10">
        <v>0</v>
      </c>
      <c r="M197" s="10">
        <v>0</v>
      </c>
      <c r="N197" s="10">
        <v>0</v>
      </c>
      <c r="O197" s="10">
        <v>0</v>
      </c>
      <c r="P197" s="4">
        <v>23826</v>
      </c>
      <c r="Q197" s="4">
        <v>31638</v>
      </c>
      <c r="R197" s="10">
        <v>40105</v>
      </c>
      <c r="S197" s="24">
        <f>SUM(tblSalesData[[#This Row],[FY 2000]:[FY 2012]])</f>
        <v>95569</v>
      </c>
      <c r="T197" s="11">
        <v>1.49</v>
      </c>
      <c r="U197" s="12">
        <f>tblSalesData[[#This Row],[Total Units 
to Date]]*tblSalesData[[#This Row],[Sell Price]]</f>
        <v>142397.81</v>
      </c>
      <c r="V197" s="3"/>
      <c r="W197" s="4"/>
    </row>
    <row r="198" spans="1:23" x14ac:dyDescent="0.2">
      <c r="A198" s="4">
        <v>1034</v>
      </c>
      <c r="B198" s="9" t="s">
        <v>195</v>
      </c>
      <c r="C198" s="4" t="s">
        <v>26</v>
      </c>
      <c r="D198" s="4" t="s">
        <v>27</v>
      </c>
      <c r="E198" s="4" t="s">
        <v>19</v>
      </c>
      <c r="F198" s="10">
        <v>0</v>
      </c>
      <c r="G198" s="10">
        <v>0</v>
      </c>
      <c r="H198" s="10">
        <v>0</v>
      </c>
      <c r="I198" s="10">
        <v>0</v>
      </c>
      <c r="J198" s="10">
        <v>0</v>
      </c>
      <c r="K198" s="10">
        <v>0</v>
      </c>
      <c r="L198" s="10">
        <v>0</v>
      </c>
      <c r="M198" s="10">
        <v>0</v>
      </c>
      <c r="N198" s="10">
        <v>0</v>
      </c>
      <c r="O198" s="10">
        <v>0</v>
      </c>
      <c r="P198" s="4">
        <v>21684</v>
      </c>
      <c r="Q198" s="4">
        <v>18333</v>
      </c>
      <c r="R198" s="4">
        <v>12505</v>
      </c>
      <c r="S198" s="24">
        <f>SUM(tblSalesData[[#This Row],[FY 2000]:[FY 2012]])</f>
        <v>52522</v>
      </c>
      <c r="T198" s="11">
        <v>15.99</v>
      </c>
      <c r="U198" s="12">
        <f>tblSalesData[[#This Row],[Total Units 
to Date]]*tblSalesData[[#This Row],[Sell Price]]</f>
        <v>839826.78</v>
      </c>
      <c r="V198" s="3"/>
      <c r="W198" s="4"/>
    </row>
    <row r="199" spans="1:23" x14ac:dyDescent="0.2">
      <c r="A199" s="4">
        <v>1037</v>
      </c>
      <c r="B199" s="9" t="s">
        <v>196</v>
      </c>
      <c r="C199" s="4" t="s">
        <v>15</v>
      </c>
      <c r="D199" s="4" t="s">
        <v>28</v>
      </c>
      <c r="E199" s="4" t="s">
        <v>19</v>
      </c>
      <c r="F199" s="10">
        <v>0</v>
      </c>
      <c r="G199" s="10">
        <v>0</v>
      </c>
      <c r="H199" s="10">
        <v>0</v>
      </c>
      <c r="I199" s="10">
        <v>0</v>
      </c>
      <c r="J199" s="10">
        <v>14675</v>
      </c>
      <c r="K199" s="10">
        <v>17700</v>
      </c>
      <c r="L199" s="10">
        <v>29384</v>
      </c>
      <c r="M199" s="10">
        <v>44387</v>
      </c>
      <c r="N199" s="10">
        <v>51981</v>
      </c>
      <c r="O199" s="10">
        <v>97297</v>
      </c>
      <c r="P199" s="4">
        <v>168211</v>
      </c>
      <c r="Q199" s="4">
        <v>390997</v>
      </c>
      <c r="R199" s="10">
        <v>521872</v>
      </c>
      <c r="S199" s="24">
        <f>SUM(tblSalesData[[#This Row],[FY 2000]:[FY 2012]])</f>
        <v>1336504</v>
      </c>
      <c r="T199" s="11">
        <v>3.99</v>
      </c>
      <c r="U199" s="12">
        <f>tblSalesData[[#This Row],[Total Units 
to Date]]*tblSalesData[[#This Row],[Sell Price]]</f>
        <v>5332650.96</v>
      </c>
      <c r="V199" s="3"/>
      <c r="W199" s="4"/>
    </row>
    <row r="200" spans="1:23" x14ac:dyDescent="0.2">
      <c r="A200" s="4">
        <v>1037</v>
      </c>
      <c r="B200" s="9" t="s">
        <v>197</v>
      </c>
      <c r="C200" s="4" t="s">
        <v>13</v>
      </c>
      <c r="D200" s="4" t="s">
        <v>27</v>
      </c>
      <c r="E200" s="4" t="s">
        <v>16</v>
      </c>
      <c r="F200" s="10">
        <v>0</v>
      </c>
      <c r="G200" s="10">
        <v>0</v>
      </c>
      <c r="H200" s="10">
        <v>0</v>
      </c>
      <c r="I200" s="10">
        <v>0</v>
      </c>
      <c r="J200" s="10">
        <v>0</v>
      </c>
      <c r="K200" s="10">
        <v>0</v>
      </c>
      <c r="L200" s="10">
        <v>7060</v>
      </c>
      <c r="M200" s="10">
        <v>14504</v>
      </c>
      <c r="N200" s="10">
        <v>19480</v>
      </c>
      <c r="O200" s="10">
        <v>28697</v>
      </c>
      <c r="P200" s="4">
        <v>38521</v>
      </c>
      <c r="Q200" s="4">
        <v>67579</v>
      </c>
      <c r="R200" s="4">
        <v>33448</v>
      </c>
      <c r="S200" s="24">
        <f>SUM(tblSalesData[[#This Row],[FY 2000]:[FY 2012]])</f>
        <v>209289</v>
      </c>
      <c r="T200" s="11">
        <v>11.99</v>
      </c>
      <c r="U200" s="12">
        <f>tblSalesData[[#This Row],[Total Units 
to Date]]*tblSalesData[[#This Row],[Sell Price]]</f>
        <v>2509375.11</v>
      </c>
      <c r="V200" s="3"/>
      <c r="W200" s="4"/>
    </row>
    <row r="201" spans="1:23" x14ac:dyDescent="0.2">
      <c r="A201" s="4">
        <v>1037</v>
      </c>
      <c r="B201" s="9" t="s">
        <v>198</v>
      </c>
      <c r="C201" s="4" t="s">
        <v>14</v>
      </c>
      <c r="D201" s="4" t="s">
        <v>28</v>
      </c>
      <c r="E201" s="4" t="s">
        <v>19</v>
      </c>
      <c r="F201" s="10">
        <v>0</v>
      </c>
      <c r="G201" s="10">
        <v>0</v>
      </c>
      <c r="H201" s="10">
        <v>0</v>
      </c>
      <c r="I201" s="10">
        <v>0</v>
      </c>
      <c r="J201" s="10">
        <v>0</v>
      </c>
      <c r="K201" s="10">
        <v>0</v>
      </c>
      <c r="L201" s="10">
        <v>0</v>
      </c>
      <c r="M201" s="10">
        <v>41164</v>
      </c>
      <c r="N201" s="10">
        <v>50757</v>
      </c>
      <c r="O201" s="10">
        <v>95957</v>
      </c>
      <c r="P201" s="4">
        <v>205646</v>
      </c>
      <c r="Q201" s="4">
        <v>336987</v>
      </c>
      <c r="R201" s="10">
        <v>648333</v>
      </c>
      <c r="S201" s="24">
        <f>SUM(tblSalesData[[#This Row],[FY 2000]:[FY 2012]])</f>
        <v>1378844</v>
      </c>
      <c r="T201" s="11">
        <v>3.99</v>
      </c>
      <c r="U201" s="12">
        <f>tblSalesData[[#This Row],[Total Units 
to Date]]*tblSalesData[[#This Row],[Sell Price]]</f>
        <v>5501587.5600000005</v>
      </c>
      <c r="V201" s="3"/>
      <c r="W201" s="4"/>
    </row>
    <row r="202" spans="1:23" x14ac:dyDescent="0.2">
      <c r="A202" s="4">
        <v>1037</v>
      </c>
      <c r="B202" s="9" t="s">
        <v>199</v>
      </c>
      <c r="C202" s="4" t="s">
        <v>13</v>
      </c>
      <c r="D202" s="4" t="s">
        <v>28</v>
      </c>
      <c r="E202" s="4" t="s">
        <v>18</v>
      </c>
      <c r="F202" s="10">
        <v>0</v>
      </c>
      <c r="G202" s="10">
        <v>0</v>
      </c>
      <c r="H202" s="10">
        <v>0</v>
      </c>
      <c r="I202" s="10">
        <v>0</v>
      </c>
      <c r="J202" s="10">
        <v>0</v>
      </c>
      <c r="K202" s="10">
        <v>0</v>
      </c>
      <c r="L202" s="10">
        <v>0</v>
      </c>
      <c r="M202" s="10">
        <v>6062</v>
      </c>
      <c r="N202" s="10">
        <v>13091</v>
      </c>
      <c r="O202" s="10">
        <v>17547</v>
      </c>
      <c r="P202" s="4">
        <v>34585</v>
      </c>
      <c r="Q202" s="4">
        <v>49021</v>
      </c>
      <c r="R202" s="10">
        <v>83921</v>
      </c>
      <c r="S202" s="24">
        <f>SUM(tblSalesData[[#This Row],[FY 2000]:[FY 2012]])</f>
        <v>204227</v>
      </c>
      <c r="T202" s="11">
        <v>0.99</v>
      </c>
      <c r="U202" s="12">
        <f>tblSalesData[[#This Row],[Total Units 
to Date]]*tblSalesData[[#This Row],[Sell Price]]</f>
        <v>202184.73</v>
      </c>
      <c r="V202" s="3"/>
      <c r="W202" s="4"/>
    </row>
    <row r="203" spans="1:23" x14ac:dyDescent="0.2">
      <c r="A203" s="4">
        <v>1037</v>
      </c>
      <c r="B203" s="9" t="s">
        <v>200</v>
      </c>
      <c r="C203" s="4" t="s">
        <v>14</v>
      </c>
      <c r="D203" s="4" t="s">
        <v>28</v>
      </c>
      <c r="E203" s="4" t="s">
        <v>16</v>
      </c>
      <c r="F203" s="10">
        <v>0</v>
      </c>
      <c r="G203" s="10">
        <v>0</v>
      </c>
      <c r="H203" s="10">
        <v>0</v>
      </c>
      <c r="I203" s="10">
        <v>0</v>
      </c>
      <c r="J203" s="10">
        <v>0</v>
      </c>
      <c r="K203" s="10">
        <v>0</v>
      </c>
      <c r="L203" s="10">
        <v>0</v>
      </c>
      <c r="M203" s="10">
        <v>0</v>
      </c>
      <c r="N203" s="10">
        <v>17720</v>
      </c>
      <c r="O203" s="10">
        <v>34731</v>
      </c>
      <c r="P203" s="4">
        <v>45774</v>
      </c>
      <c r="Q203" s="4">
        <v>111022</v>
      </c>
      <c r="R203" s="10">
        <v>98375</v>
      </c>
      <c r="S203" s="24">
        <f>SUM(tblSalesData[[#This Row],[FY 2000]:[FY 2012]])</f>
        <v>307622</v>
      </c>
      <c r="T203" s="11">
        <v>1.49</v>
      </c>
      <c r="U203" s="12">
        <f>tblSalesData[[#This Row],[Total Units 
to Date]]*tblSalesData[[#This Row],[Sell Price]]</f>
        <v>458356.77999999997</v>
      </c>
      <c r="V203" s="3"/>
      <c r="W203" s="4"/>
    </row>
    <row r="204" spans="1:23" x14ac:dyDescent="0.2">
      <c r="A204" s="4">
        <v>1037</v>
      </c>
      <c r="B204" s="9" t="s">
        <v>201</v>
      </c>
      <c r="C204" s="4" t="s">
        <v>14</v>
      </c>
      <c r="D204" s="4" t="s">
        <v>28</v>
      </c>
      <c r="E204" s="4" t="s">
        <v>17</v>
      </c>
      <c r="F204" s="10">
        <v>0</v>
      </c>
      <c r="G204" s="10">
        <v>0</v>
      </c>
      <c r="H204" s="10">
        <v>0</v>
      </c>
      <c r="I204" s="10">
        <v>0</v>
      </c>
      <c r="J204" s="10">
        <v>0</v>
      </c>
      <c r="K204" s="10">
        <v>0</v>
      </c>
      <c r="L204" s="10">
        <v>0</v>
      </c>
      <c r="M204" s="10">
        <v>0</v>
      </c>
      <c r="N204" s="10">
        <v>17801</v>
      </c>
      <c r="O204" s="10">
        <v>31473</v>
      </c>
      <c r="P204" s="4">
        <v>42688</v>
      </c>
      <c r="Q204" s="4">
        <v>111022</v>
      </c>
      <c r="R204" s="10">
        <v>98375</v>
      </c>
      <c r="S204" s="24">
        <f>SUM(tblSalesData[[#This Row],[FY 2000]:[FY 2012]])</f>
        <v>301359</v>
      </c>
      <c r="T204" s="11">
        <v>1.99</v>
      </c>
      <c r="U204" s="12">
        <f>tblSalesData[[#This Row],[Total Units 
to Date]]*tblSalesData[[#This Row],[Sell Price]]</f>
        <v>599704.41</v>
      </c>
      <c r="V204" s="3"/>
      <c r="W204" s="4"/>
    </row>
    <row r="205" spans="1:23" x14ac:dyDescent="0.2">
      <c r="A205" s="4">
        <v>1037</v>
      </c>
      <c r="B205" s="9" t="s">
        <v>202</v>
      </c>
      <c r="C205" s="4" t="s">
        <v>15</v>
      </c>
      <c r="D205" s="4" t="s">
        <v>27</v>
      </c>
      <c r="E205" s="4" t="s">
        <v>16</v>
      </c>
      <c r="F205" s="10">
        <v>0</v>
      </c>
      <c r="G205" s="10">
        <v>0</v>
      </c>
      <c r="H205" s="10">
        <v>0</v>
      </c>
      <c r="I205" s="10">
        <v>0</v>
      </c>
      <c r="J205" s="10">
        <v>0</v>
      </c>
      <c r="K205" s="10">
        <v>17685</v>
      </c>
      <c r="L205" s="10">
        <v>31505</v>
      </c>
      <c r="M205" s="10">
        <v>42923</v>
      </c>
      <c r="N205" s="10">
        <v>56711</v>
      </c>
      <c r="O205" s="10">
        <v>82746</v>
      </c>
      <c r="P205" s="4">
        <v>221052</v>
      </c>
      <c r="Q205" s="4">
        <v>216574</v>
      </c>
      <c r="R205" s="4">
        <v>194082</v>
      </c>
      <c r="S205" s="24">
        <f>SUM(tblSalesData[[#This Row],[FY 2000]:[FY 2012]])</f>
        <v>863278</v>
      </c>
      <c r="T205" s="11">
        <v>11.99</v>
      </c>
      <c r="U205" s="12">
        <f>tblSalesData[[#This Row],[Total Units 
to Date]]*tblSalesData[[#This Row],[Sell Price]]</f>
        <v>10350703.220000001</v>
      </c>
      <c r="V205" s="3"/>
      <c r="W205" s="4"/>
    </row>
    <row r="206" spans="1:23" x14ac:dyDescent="0.2">
      <c r="A206" s="4">
        <v>1037</v>
      </c>
      <c r="B206" s="9" t="s">
        <v>203</v>
      </c>
      <c r="C206" s="4" t="s">
        <v>13</v>
      </c>
      <c r="D206" s="4" t="s">
        <v>28</v>
      </c>
      <c r="E206" s="4" t="s">
        <v>19</v>
      </c>
      <c r="F206" s="10">
        <v>0</v>
      </c>
      <c r="G206" s="10">
        <v>0</v>
      </c>
      <c r="H206" s="10">
        <v>0</v>
      </c>
      <c r="I206" s="10">
        <v>0</v>
      </c>
      <c r="J206" s="10">
        <v>0</v>
      </c>
      <c r="K206" s="10">
        <v>0</v>
      </c>
      <c r="L206" s="10">
        <v>0</v>
      </c>
      <c r="M206" s="10">
        <v>0</v>
      </c>
      <c r="N206" s="10">
        <v>5508</v>
      </c>
      <c r="O206" s="10">
        <v>13123</v>
      </c>
      <c r="P206" s="4">
        <v>20480</v>
      </c>
      <c r="Q206" s="4">
        <v>38561</v>
      </c>
      <c r="R206" s="10">
        <v>43345</v>
      </c>
      <c r="S206" s="24">
        <f>SUM(tblSalesData[[#This Row],[FY 2000]:[FY 2012]])</f>
        <v>121017</v>
      </c>
      <c r="T206" s="11">
        <v>3.99</v>
      </c>
      <c r="U206" s="12">
        <f>tblSalesData[[#This Row],[Total Units 
to Date]]*tblSalesData[[#This Row],[Sell Price]]</f>
        <v>482857.83</v>
      </c>
      <c r="V206" s="3"/>
      <c r="W206" s="4"/>
    </row>
    <row r="207" spans="1:23" x14ac:dyDescent="0.2">
      <c r="A207" s="4">
        <v>1037</v>
      </c>
      <c r="B207" s="9" t="s">
        <v>204</v>
      </c>
      <c r="C207" s="4" t="s">
        <v>14</v>
      </c>
      <c r="D207" s="4" t="s">
        <v>27</v>
      </c>
      <c r="E207" s="4" t="s">
        <v>17</v>
      </c>
      <c r="F207" s="10">
        <v>0</v>
      </c>
      <c r="G207" s="10">
        <v>0</v>
      </c>
      <c r="H207" s="10">
        <v>0</v>
      </c>
      <c r="I207" s="10">
        <v>0</v>
      </c>
      <c r="J207" s="10">
        <v>0</v>
      </c>
      <c r="K207" s="10">
        <v>0</v>
      </c>
      <c r="L207" s="10">
        <v>0</v>
      </c>
      <c r="M207" s="10">
        <v>0</v>
      </c>
      <c r="N207" s="10">
        <v>0</v>
      </c>
      <c r="O207" s="10">
        <v>0</v>
      </c>
      <c r="P207" s="4">
        <v>56185</v>
      </c>
      <c r="Q207" s="4">
        <v>67882</v>
      </c>
      <c r="R207" s="4">
        <v>26058</v>
      </c>
      <c r="S207" s="24">
        <f>SUM(tblSalesData[[#This Row],[FY 2000]:[FY 2012]])</f>
        <v>150125</v>
      </c>
      <c r="T207" s="11">
        <v>12.99</v>
      </c>
      <c r="U207" s="12">
        <f>tblSalesData[[#This Row],[Total Units 
to Date]]*tblSalesData[[#This Row],[Sell Price]]</f>
        <v>1950123.75</v>
      </c>
      <c r="V207" s="3"/>
      <c r="W207" s="4"/>
    </row>
    <row r="208" spans="1:23" x14ac:dyDescent="0.2">
      <c r="A208" s="4">
        <v>1037</v>
      </c>
      <c r="B208" s="9" t="s">
        <v>205</v>
      </c>
      <c r="C208" s="4" t="s">
        <v>14</v>
      </c>
      <c r="D208" s="4" t="s">
        <v>28</v>
      </c>
      <c r="E208" s="4" t="s">
        <v>17</v>
      </c>
      <c r="F208" s="10">
        <v>0</v>
      </c>
      <c r="G208" s="10">
        <v>0</v>
      </c>
      <c r="H208" s="10">
        <v>0</v>
      </c>
      <c r="I208" s="10">
        <v>0</v>
      </c>
      <c r="J208" s="10">
        <v>0</v>
      </c>
      <c r="K208" s="10">
        <v>0</v>
      </c>
      <c r="L208" s="10">
        <v>0</v>
      </c>
      <c r="M208" s="10">
        <v>0</v>
      </c>
      <c r="N208" s="10">
        <v>0</v>
      </c>
      <c r="O208" s="10">
        <v>0</v>
      </c>
      <c r="P208" s="4">
        <v>15552</v>
      </c>
      <c r="Q208" s="4">
        <v>6994</v>
      </c>
      <c r="R208" s="10">
        <v>46785</v>
      </c>
      <c r="S208" s="24">
        <f>SUM(tblSalesData[[#This Row],[FY 2000]:[FY 2012]])</f>
        <v>69331</v>
      </c>
      <c r="T208" s="11">
        <v>1.99</v>
      </c>
      <c r="U208" s="12">
        <f>tblSalesData[[#This Row],[Total Units 
to Date]]*tblSalesData[[#This Row],[Sell Price]]</f>
        <v>137968.69</v>
      </c>
      <c r="V208" s="3"/>
      <c r="W208" s="4"/>
    </row>
    <row r="209" spans="1:23" x14ac:dyDescent="0.2">
      <c r="A209" s="4">
        <v>1037</v>
      </c>
      <c r="B209" s="9" t="s">
        <v>206</v>
      </c>
      <c r="C209" s="4" t="s">
        <v>13</v>
      </c>
      <c r="D209" s="4" t="s">
        <v>27</v>
      </c>
      <c r="E209" s="4" t="s">
        <v>19</v>
      </c>
      <c r="F209" s="10">
        <v>0</v>
      </c>
      <c r="G209" s="10">
        <v>0</v>
      </c>
      <c r="H209" s="10">
        <v>0</v>
      </c>
      <c r="I209" s="10">
        <v>0</v>
      </c>
      <c r="J209" s="10">
        <v>0</v>
      </c>
      <c r="K209" s="10">
        <v>0</v>
      </c>
      <c r="L209" s="10">
        <v>0</v>
      </c>
      <c r="M209" s="10">
        <v>0</v>
      </c>
      <c r="N209" s="10">
        <v>0</v>
      </c>
      <c r="O209" s="10">
        <v>29955</v>
      </c>
      <c r="P209" s="4">
        <v>36267</v>
      </c>
      <c r="Q209" s="4">
        <v>35096</v>
      </c>
      <c r="R209" s="4">
        <v>26551</v>
      </c>
      <c r="S209" s="24">
        <f>SUM(tblSalesData[[#This Row],[FY 2000]:[FY 2012]])</f>
        <v>127869</v>
      </c>
      <c r="T209" s="11">
        <v>15.99</v>
      </c>
      <c r="U209" s="12">
        <f>tblSalesData[[#This Row],[Total Units 
to Date]]*tblSalesData[[#This Row],[Sell Price]]</f>
        <v>2044625.31</v>
      </c>
      <c r="V209" s="3"/>
      <c r="W209" s="4"/>
    </row>
    <row r="210" spans="1:23" x14ac:dyDescent="0.2">
      <c r="A210" s="4">
        <v>1037</v>
      </c>
      <c r="B210" s="9" t="s">
        <v>207</v>
      </c>
      <c r="C210" s="4" t="s">
        <v>13</v>
      </c>
      <c r="D210" s="4" t="s">
        <v>28</v>
      </c>
      <c r="E210" s="4" t="s">
        <v>17</v>
      </c>
      <c r="F210" s="10">
        <v>0</v>
      </c>
      <c r="G210" s="10">
        <v>0</v>
      </c>
      <c r="H210" s="10">
        <v>0</v>
      </c>
      <c r="I210" s="10">
        <v>0</v>
      </c>
      <c r="J210" s="10">
        <v>0</v>
      </c>
      <c r="K210" s="10">
        <v>0</v>
      </c>
      <c r="L210" s="10">
        <v>0</v>
      </c>
      <c r="M210" s="10">
        <v>0</v>
      </c>
      <c r="N210" s="10">
        <v>0</v>
      </c>
      <c r="O210" s="10">
        <v>32879</v>
      </c>
      <c r="P210" s="4">
        <v>49723</v>
      </c>
      <c r="Q210" s="4">
        <v>62711</v>
      </c>
      <c r="R210" s="10">
        <v>76378</v>
      </c>
      <c r="S210" s="24">
        <f>SUM(tblSalesData[[#This Row],[FY 2000]:[FY 2012]])</f>
        <v>221691</v>
      </c>
      <c r="T210" s="11">
        <v>1.99</v>
      </c>
      <c r="U210" s="12">
        <f>tblSalesData[[#This Row],[Total Units 
to Date]]*tblSalesData[[#This Row],[Sell Price]]</f>
        <v>441165.09</v>
      </c>
      <c r="V210" s="3"/>
      <c r="W210" s="4"/>
    </row>
    <row r="211" spans="1:23" x14ac:dyDescent="0.2">
      <c r="A211" s="4">
        <v>1037</v>
      </c>
      <c r="B211" s="9" t="s">
        <v>208</v>
      </c>
      <c r="C211" s="4" t="s">
        <v>15</v>
      </c>
      <c r="D211" s="4" t="s">
        <v>28</v>
      </c>
      <c r="E211" s="4" t="s">
        <v>18</v>
      </c>
      <c r="F211" s="10">
        <v>0</v>
      </c>
      <c r="G211" s="10">
        <v>0</v>
      </c>
      <c r="H211" s="10">
        <v>0</v>
      </c>
      <c r="I211" s="10">
        <v>0</v>
      </c>
      <c r="J211" s="10">
        <v>0</v>
      </c>
      <c r="K211" s="10">
        <v>0</v>
      </c>
      <c r="L211" s="10">
        <v>28512</v>
      </c>
      <c r="M211" s="10">
        <v>43488</v>
      </c>
      <c r="N211" s="10">
        <v>53964</v>
      </c>
      <c r="O211" s="10">
        <v>94923</v>
      </c>
      <c r="P211" s="4">
        <v>225790</v>
      </c>
      <c r="Q211" s="4">
        <v>348248</v>
      </c>
      <c r="R211" s="10">
        <v>591209</v>
      </c>
      <c r="S211" s="24">
        <f>SUM(tblSalesData[[#This Row],[FY 2000]:[FY 2012]])</f>
        <v>1386134</v>
      </c>
      <c r="T211" s="11">
        <v>0.99</v>
      </c>
      <c r="U211" s="12">
        <f>tblSalesData[[#This Row],[Total Units 
to Date]]*tblSalesData[[#This Row],[Sell Price]]</f>
        <v>1372272.66</v>
      </c>
      <c r="V211" s="3"/>
      <c r="W211" s="4"/>
    </row>
    <row r="212" spans="1:23" x14ac:dyDescent="0.2">
      <c r="A212" s="4">
        <v>1037</v>
      </c>
      <c r="B212" s="9" t="s">
        <v>209</v>
      </c>
      <c r="C212" s="4" t="s">
        <v>26</v>
      </c>
      <c r="D212" s="4" t="s">
        <v>27</v>
      </c>
      <c r="E212" s="4" t="s">
        <v>19</v>
      </c>
      <c r="F212" s="10">
        <v>9426</v>
      </c>
      <c r="G212" s="10">
        <v>712</v>
      </c>
      <c r="H212" s="10">
        <v>4541</v>
      </c>
      <c r="I212" s="10">
        <v>5102</v>
      </c>
      <c r="J212" s="10">
        <v>12993</v>
      </c>
      <c r="K212" s="10">
        <v>19268</v>
      </c>
      <c r="L212" s="10">
        <v>34090</v>
      </c>
      <c r="M212" s="10">
        <v>44002</v>
      </c>
      <c r="N212" s="10">
        <v>55482</v>
      </c>
      <c r="O212" s="10">
        <v>87989</v>
      </c>
      <c r="P212" s="4">
        <v>184387</v>
      </c>
      <c r="Q212" s="4">
        <v>231980</v>
      </c>
      <c r="R212" s="4">
        <v>205703</v>
      </c>
      <c r="S212" s="24">
        <f>SUM(tblSalesData[[#This Row],[FY 2000]:[FY 2012]])</f>
        <v>895675</v>
      </c>
      <c r="T212" s="11">
        <v>15.99</v>
      </c>
      <c r="U212" s="12">
        <f>tblSalesData[[#This Row],[Total Units 
to Date]]*tblSalesData[[#This Row],[Sell Price]]</f>
        <v>14321843.25</v>
      </c>
      <c r="V212" s="3"/>
      <c r="W212" s="4"/>
    </row>
    <row r="213" spans="1:23" x14ac:dyDescent="0.2">
      <c r="A213" s="4">
        <v>1037</v>
      </c>
      <c r="B213" s="9" t="s">
        <v>209</v>
      </c>
      <c r="C213" s="4" t="s">
        <v>26</v>
      </c>
      <c r="D213" s="4" t="s">
        <v>27</v>
      </c>
      <c r="E213" s="4" t="s">
        <v>18</v>
      </c>
      <c r="F213" s="10">
        <v>73261</v>
      </c>
      <c r="G213" s="10">
        <v>339</v>
      </c>
      <c r="H213" s="10">
        <v>3947</v>
      </c>
      <c r="I213" s="10">
        <v>5253</v>
      </c>
      <c r="J213" s="10">
        <v>13600</v>
      </c>
      <c r="K213" s="10">
        <v>19613</v>
      </c>
      <c r="L213" s="10">
        <v>32615</v>
      </c>
      <c r="M213" s="10">
        <v>40608</v>
      </c>
      <c r="N213" s="10">
        <v>57726</v>
      </c>
      <c r="O213" s="10">
        <v>80551</v>
      </c>
      <c r="P213" s="4">
        <v>193695</v>
      </c>
      <c r="Q213" s="4">
        <v>204161</v>
      </c>
      <c r="R213" s="4">
        <v>171474</v>
      </c>
      <c r="S213" s="24">
        <f>SUM(tblSalesData[[#This Row],[FY 2000]:[FY 2012]])</f>
        <v>896843</v>
      </c>
      <c r="T213" s="11">
        <v>9.99</v>
      </c>
      <c r="U213" s="12">
        <f>tblSalesData[[#This Row],[Total Units 
to Date]]*tblSalesData[[#This Row],[Sell Price]]</f>
        <v>8959461.5700000003</v>
      </c>
      <c r="V213" s="3"/>
      <c r="W213" s="4"/>
    </row>
    <row r="214" spans="1:23" x14ac:dyDescent="0.2">
      <c r="A214" s="4">
        <v>1037</v>
      </c>
      <c r="B214" s="9" t="s">
        <v>209</v>
      </c>
      <c r="C214" s="4" t="s">
        <v>26</v>
      </c>
      <c r="D214" s="4" t="s">
        <v>28</v>
      </c>
      <c r="E214" s="4" t="s">
        <v>17</v>
      </c>
      <c r="F214" s="10">
        <v>93794</v>
      </c>
      <c r="G214" s="10">
        <v>802</v>
      </c>
      <c r="H214" s="10">
        <v>3281</v>
      </c>
      <c r="I214" s="10">
        <v>5898</v>
      </c>
      <c r="J214" s="10">
        <v>13175</v>
      </c>
      <c r="K214" s="10">
        <v>16631</v>
      </c>
      <c r="L214" s="10">
        <v>34620</v>
      </c>
      <c r="M214" s="10">
        <v>41977</v>
      </c>
      <c r="N214" s="10">
        <v>54695</v>
      </c>
      <c r="O214" s="10">
        <v>94555</v>
      </c>
      <c r="P214" s="4">
        <v>245086</v>
      </c>
      <c r="Q214" s="4">
        <v>316199</v>
      </c>
      <c r="R214" s="10">
        <v>545318</v>
      </c>
      <c r="S214" s="24">
        <f>SUM(tblSalesData[[#This Row],[FY 2000]:[FY 2012]])</f>
        <v>1466031</v>
      </c>
      <c r="T214" s="11">
        <v>1.99</v>
      </c>
      <c r="U214" s="12">
        <f>tblSalesData[[#This Row],[Total Units 
to Date]]*tblSalesData[[#This Row],[Sell Price]]</f>
        <v>2917401.69</v>
      </c>
      <c r="V214" s="3"/>
      <c r="W214" s="4"/>
    </row>
    <row r="215" spans="1:23" x14ac:dyDescent="0.2">
      <c r="A215" s="4">
        <v>1037</v>
      </c>
      <c r="B215" s="9" t="s">
        <v>210</v>
      </c>
      <c r="C215" s="4" t="s">
        <v>15</v>
      </c>
      <c r="D215" s="4" t="s">
        <v>27</v>
      </c>
      <c r="E215" s="4" t="s">
        <v>17</v>
      </c>
      <c r="F215" s="10">
        <v>0</v>
      </c>
      <c r="G215" s="10">
        <v>0</v>
      </c>
      <c r="H215" s="10">
        <v>0</v>
      </c>
      <c r="I215" s="10">
        <v>0</v>
      </c>
      <c r="J215" s="10">
        <v>0</v>
      </c>
      <c r="K215" s="10">
        <v>0</v>
      </c>
      <c r="L215" s="10">
        <v>0</v>
      </c>
      <c r="M215" s="10">
        <v>44841</v>
      </c>
      <c r="N215" s="10">
        <v>61623</v>
      </c>
      <c r="O215" s="10">
        <v>78969</v>
      </c>
      <c r="P215" s="4">
        <v>156641</v>
      </c>
      <c r="Q215" s="4">
        <v>193120</v>
      </c>
      <c r="R215" s="4">
        <v>177995</v>
      </c>
      <c r="S215" s="24">
        <f>SUM(tblSalesData[[#This Row],[FY 2000]:[FY 2012]])</f>
        <v>713189</v>
      </c>
      <c r="T215" s="11">
        <v>12.99</v>
      </c>
      <c r="U215" s="12">
        <f>tblSalesData[[#This Row],[Total Units 
to Date]]*tblSalesData[[#This Row],[Sell Price]]</f>
        <v>9264325.1099999994</v>
      </c>
      <c r="V215" s="3"/>
      <c r="W215" s="4"/>
    </row>
    <row r="216" spans="1:23" x14ac:dyDescent="0.2">
      <c r="A216" s="4">
        <v>1038</v>
      </c>
      <c r="B216" s="9" t="s">
        <v>211</v>
      </c>
      <c r="C216" s="4" t="s">
        <v>26</v>
      </c>
      <c r="D216" s="4" t="s">
        <v>28</v>
      </c>
      <c r="E216" s="4" t="s">
        <v>16</v>
      </c>
      <c r="F216" s="10">
        <v>0</v>
      </c>
      <c r="G216" s="10">
        <v>0</v>
      </c>
      <c r="H216" s="10">
        <v>124782</v>
      </c>
      <c r="I216" s="10">
        <v>133052</v>
      </c>
      <c r="J216" s="10">
        <v>136403</v>
      </c>
      <c r="K216" s="10">
        <v>170642</v>
      </c>
      <c r="L216" s="10">
        <v>213068</v>
      </c>
      <c r="M216" s="10">
        <v>292711</v>
      </c>
      <c r="N216" s="10">
        <v>301985</v>
      </c>
      <c r="O216" s="10">
        <v>550810</v>
      </c>
      <c r="P216" s="4">
        <v>765172</v>
      </c>
      <c r="Q216" s="4">
        <v>1119838</v>
      </c>
      <c r="R216" s="10">
        <v>1974488</v>
      </c>
      <c r="S216" s="24">
        <f>SUM(tblSalesData[[#This Row],[FY 2000]:[FY 2012]])</f>
        <v>5782951</v>
      </c>
      <c r="T216" s="11">
        <v>1.49</v>
      </c>
      <c r="U216" s="12">
        <f>tblSalesData[[#This Row],[Total Units 
to Date]]*tblSalesData[[#This Row],[Sell Price]]</f>
        <v>8616596.9900000002</v>
      </c>
      <c r="V216" s="3"/>
      <c r="W216" s="4"/>
    </row>
    <row r="217" spans="1:23" x14ac:dyDescent="0.2">
      <c r="A217" s="4">
        <v>1038</v>
      </c>
      <c r="B217" s="9" t="s">
        <v>212</v>
      </c>
      <c r="C217" s="4" t="s">
        <v>13</v>
      </c>
      <c r="D217" s="4" t="s">
        <v>27</v>
      </c>
      <c r="E217" s="4" t="s">
        <v>19</v>
      </c>
      <c r="F217" s="10">
        <v>0</v>
      </c>
      <c r="G217" s="10">
        <v>0</v>
      </c>
      <c r="H217" s="10">
        <v>100875</v>
      </c>
      <c r="I217" s="10">
        <v>130592</v>
      </c>
      <c r="J217" s="10">
        <v>137448</v>
      </c>
      <c r="K217" s="10">
        <v>153428</v>
      </c>
      <c r="L217" s="10">
        <v>248489</v>
      </c>
      <c r="M217" s="10">
        <v>276833</v>
      </c>
      <c r="N217" s="10">
        <v>375943</v>
      </c>
      <c r="O217" s="10">
        <v>553407</v>
      </c>
      <c r="P217" s="4">
        <v>629566</v>
      </c>
      <c r="Q217" s="4">
        <v>604492</v>
      </c>
      <c r="R217" s="4">
        <v>348747</v>
      </c>
      <c r="S217" s="24">
        <f>SUM(tblSalesData[[#This Row],[FY 2000]:[FY 2012]])</f>
        <v>3559820</v>
      </c>
      <c r="T217" s="11">
        <v>15.99</v>
      </c>
      <c r="U217" s="12">
        <f>tblSalesData[[#This Row],[Total Units 
to Date]]*tblSalesData[[#This Row],[Sell Price]]</f>
        <v>56921521.800000004</v>
      </c>
      <c r="V217" s="3"/>
      <c r="W217" s="4"/>
    </row>
    <row r="218" spans="1:23" x14ac:dyDescent="0.2">
      <c r="A218" s="4">
        <v>1038</v>
      </c>
      <c r="B218" s="9" t="s">
        <v>213</v>
      </c>
      <c r="C218" s="4" t="s">
        <v>13</v>
      </c>
      <c r="D218" s="4" t="s">
        <v>28</v>
      </c>
      <c r="E218" s="4" t="s">
        <v>19</v>
      </c>
      <c r="F218" s="10">
        <v>0</v>
      </c>
      <c r="G218" s="10">
        <v>0</v>
      </c>
      <c r="H218" s="10">
        <v>114456</v>
      </c>
      <c r="I218" s="10">
        <v>129719</v>
      </c>
      <c r="J218" s="10">
        <v>143142</v>
      </c>
      <c r="K218" s="10">
        <v>150346</v>
      </c>
      <c r="L218" s="10">
        <v>222733</v>
      </c>
      <c r="M218" s="10">
        <v>287357</v>
      </c>
      <c r="N218" s="10">
        <v>313384</v>
      </c>
      <c r="O218" s="10">
        <v>500970</v>
      </c>
      <c r="P218" s="4">
        <v>672617</v>
      </c>
      <c r="Q218" s="4">
        <v>996904</v>
      </c>
      <c r="R218" s="10">
        <v>1139103</v>
      </c>
      <c r="S218" s="24">
        <f>SUM(tblSalesData[[#This Row],[FY 2000]:[FY 2012]])</f>
        <v>4670731</v>
      </c>
      <c r="T218" s="11">
        <v>3.99</v>
      </c>
      <c r="U218" s="12">
        <f>tblSalesData[[#This Row],[Total Units 
to Date]]*tblSalesData[[#This Row],[Sell Price]]</f>
        <v>18636216.690000001</v>
      </c>
      <c r="V218" s="3"/>
      <c r="W218" s="4"/>
    </row>
    <row r="219" spans="1:23" x14ac:dyDescent="0.2">
      <c r="A219" s="4">
        <v>1038</v>
      </c>
      <c r="B219" s="9" t="s">
        <v>214</v>
      </c>
      <c r="C219" s="4" t="s">
        <v>13</v>
      </c>
      <c r="D219" s="4" t="s">
        <v>28</v>
      </c>
      <c r="E219" s="4" t="s">
        <v>17</v>
      </c>
      <c r="F219" s="10">
        <v>0</v>
      </c>
      <c r="G219" s="10">
        <v>0</v>
      </c>
      <c r="H219" s="10">
        <v>107906</v>
      </c>
      <c r="I219" s="10">
        <v>125545</v>
      </c>
      <c r="J219" s="10">
        <v>139058</v>
      </c>
      <c r="K219" s="10">
        <v>171302</v>
      </c>
      <c r="L219" s="10">
        <v>220264</v>
      </c>
      <c r="M219" s="10">
        <v>282981</v>
      </c>
      <c r="N219" s="10">
        <v>341082</v>
      </c>
      <c r="O219" s="10">
        <v>494346</v>
      </c>
      <c r="P219" s="4">
        <v>707358</v>
      </c>
      <c r="Q219" s="4">
        <v>898803</v>
      </c>
      <c r="R219" s="10">
        <v>1293079</v>
      </c>
      <c r="S219" s="24">
        <f>SUM(tblSalesData[[#This Row],[FY 2000]:[FY 2012]])</f>
        <v>4781724</v>
      </c>
      <c r="T219" s="11">
        <v>1.99</v>
      </c>
      <c r="U219" s="12">
        <f>tblSalesData[[#This Row],[Total Units 
to Date]]*tblSalesData[[#This Row],[Sell Price]]</f>
        <v>9515630.7599999998</v>
      </c>
      <c r="V219" s="3"/>
      <c r="W219" s="4"/>
    </row>
    <row r="220" spans="1:23" x14ac:dyDescent="0.2">
      <c r="A220" s="4">
        <v>1038</v>
      </c>
      <c r="B220" s="9" t="s">
        <v>215</v>
      </c>
      <c r="C220" s="4" t="s">
        <v>13</v>
      </c>
      <c r="D220" s="4" t="s">
        <v>27</v>
      </c>
      <c r="E220" s="4" t="s">
        <v>17</v>
      </c>
      <c r="F220" s="10">
        <v>0</v>
      </c>
      <c r="G220" s="10">
        <v>0</v>
      </c>
      <c r="H220" s="10">
        <v>0</v>
      </c>
      <c r="I220" s="10">
        <v>125302</v>
      </c>
      <c r="J220" s="10">
        <v>135847</v>
      </c>
      <c r="K220" s="10">
        <v>151657</v>
      </c>
      <c r="L220" s="10">
        <v>211946</v>
      </c>
      <c r="M220" s="10">
        <v>283704</v>
      </c>
      <c r="N220" s="10">
        <v>310405</v>
      </c>
      <c r="O220" s="10">
        <v>507711</v>
      </c>
      <c r="P220" s="4">
        <v>541246</v>
      </c>
      <c r="Q220" s="4">
        <v>655402</v>
      </c>
      <c r="R220" s="4">
        <v>361884</v>
      </c>
      <c r="S220" s="24">
        <f>SUM(tblSalesData[[#This Row],[FY 2000]:[FY 2012]])</f>
        <v>3285104</v>
      </c>
      <c r="T220" s="11">
        <v>12.99</v>
      </c>
      <c r="U220" s="12">
        <f>tblSalesData[[#This Row],[Total Units 
to Date]]*tblSalesData[[#This Row],[Sell Price]]</f>
        <v>42673500.960000001</v>
      </c>
      <c r="V220" s="3"/>
      <c r="W220" s="4"/>
    </row>
    <row r="221" spans="1:23" x14ac:dyDescent="0.2">
      <c r="A221" s="4">
        <v>1038</v>
      </c>
      <c r="B221" s="9" t="s">
        <v>216</v>
      </c>
      <c r="C221" s="4" t="s">
        <v>13</v>
      </c>
      <c r="D221" s="4" t="s">
        <v>28</v>
      </c>
      <c r="E221" s="4" t="s">
        <v>19</v>
      </c>
      <c r="F221" s="10">
        <v>0</v>
      </c>
      <c r="G221" s="10">
        <v>0</v>
      </c>
      <c r="H221" s="10">
        <v>0</v>
      </c>
      <c r="I221" s="10">
        <v>132250</v>
      </c>
      <c r="J221" s="10">
        <v>140056</v>
      </c>
      <c r="K221" s="10">
        <v>145651</v>
      </c>
      <c r="L221" s="10">
        <v>239186</v>
      </c>
      <c r="M221" s="10">
        <v>297237</v>
      </c>
      <c r="N221" s="10">
        <v>380548</v>
      </c>
      <c r="O221" s="10">
        <v>478798</v>
      </c>
      <c r="P221" s="4">
        <v>795256</v>
      </c>
      <c r="Q221" s="4">
        <v>997880</v>
      </c>
      <c r="R221" s="10">
        <v>1996972</v>
      </c>
      <c r="S221" s="24">
        <f>SUM(tblSalesData[[#This Row],[FY 2000]:[FY 2012]])</f>
        <v>5603834</v>
      </c>
      <c r="T221" s="11">
        <v>3.99</v>
      </c>
      <c r="U221" s="12">
        <f>tblSalesData[[#This Row],[Total Units 
to Date]]*tblSalesData[[#This Row],[Sell Price]]</f>
        <v>22359297.66</v>
      </c>
      <c r="V221" s="3"/>
      <c r="W221" s="4"/>
    </row>
    <row r="222" spans="1:23" x14ac:dyDescent="0.2">
      <c r="A222" s="4">
        <v>1038</v>
      </c>
      <c r="B222" s="9" t="s">
        <v>217</v>
      </c>
      <c r="C222" s="4" t="s">
        <v>13</v>
      </c>
      <c r="D222" s="4" t="s">
        <v>28</v>
      </c>
      <c r="E222" s="4" t="s">
        <v>19</v>
      </c>
      <c r="F222" s="10">
        <v>0</v>
      </c>
      <c r="G222" s="10">
        <v>0</v>
      </c>
      <c r="H222" s="10">
        <v>0</v>
      </c>
      <c r="I222" s="10">
        <v>125424</v>
      </c>
      <c r="J222" s="10">
        <v>142609</v>
      </c>
      <c r="K222" s="10">
        <v>170790</v>
      </c>
      <c r="L222" s="10">
        <v>238804</v>
      </c>
      <c r="M222" s="10">
        <v>277575</v>
      </c>
      <c r="N222" s="10">
        <v>356558</v>
      </c>
      <c r="O222" s="10">
        <v>515509</v>
      </c>
      <c r="P222" s="4">
        <v>798902</v>
      </c>
      <c r="Q222" s="4">
        <v>1021499</v>
      </c>
      <c r="R222" s="10">
        <v>1025423</v>
      </c>
      <c r="S222" s="24">
        <f>SUM(tblSalesData[[#This Row],[FY 2000]:[FY 2012]])</f>
        <v>4673093</v>
      </c>
      <c r="T222" s="11">
        <v>3.99</v>
      </c>
      <c r="U222" s="12">
        <f>tblSalesData[[#This Row],[Total Units 
to Date]]*tblSalesData[[#This Row],[Sell Price]]</f>
        <v>18645641.07</v>
      </c>
      <c r="V222" s="3"/>
      <c r="W222" s="4"/>
    </row>
    <row r="223" spans="1:23" x14ac:dyDescent="0.2">
      <c r="A223" s="4">
        <v>1038</v>
      </c>
      <c r="B223" s="9" t="s">
        <v>218</v>
      </c>
      <c r="C223" s="4" t="s">
        <v>13</v>
      </c>
      <c r="D223" s="4" t="s">
        <v>27</v>
      </c>
      <c r="E223" s="4" t="s">
        <v>16</v>
      </c>
      <c r="F223" s="10">
        <v>0</v>
      </c>
      <c r="G223" s="10">
        <v>0</v>
      </c>
      <c r="H223" s="10">
        <v>0</v>
      </c>
      <c r="I223" s="10">
        <v>126892</v>
      </c>
      <c r="J223" s="10">
        <v>139796</v>
      </c>
      <c r="K223" s="10">
        <v>149267</v>
      </c>
      <c r="L223" s="10">
        <v>249694</v>
      </c>
      <c r="M223" s="10">
        <v>275544</v>
      </c>
      <c r="N223" s="10">
        <v>303094</v>
      </c>
      <c r="O223" s="10">
        <v>543793</v>
      </c>
      <c r="P223" s="4">
        <v>572249</v>
      </c>
      <c r="Q223" s="4">
        <v>650291</v>
      </c>
      <c r="R223" s="4">
        <v>468388</v>
      </c>
      <c r="S223" s="24">
        <f>SUM(tblSalesData[[#This Row],[FY 2000]:[FY 2012]])</f>
        <v>3479008</v>
      </c>
      <c r="T223" s="11">
        <v>11.99</v>
      </c>
      <c r="U223" s="12">
        <f>tblSalesData[[#This Row],[Total Units 
to Date]]*tblSalesData[[#This Row],[Sell Price]]</f>
        <v>41713305.920000002</v>
      </c>
      <c r="V223" s="3"/>
      <c r="W223" s="4"/>
    </row>
    <row r="224" spans="1:23" x14ac:dyDescent="0.2">
      <c r="A224" s="4">
        <v>1038</v>
      </c>
      <c r="B224" s="9" t="s">
        <v>219</v>
      </c>
      <c r="C224" s="4" t="s">
        <v>13</v>
      </c>
      <c r="D224" s="4" t="s">
        <v>27</v>
      </c>
      <c r="E224" s="4" t="s">
        <v>17</v>
      </c>
      <c r="F224" s="10">
        <v>0</v>
      </c>
      <c r="G224" s="10">
        <v>0</v>
      </c>
      <c r="H224" s="10">
        <v>0</v>
      </c>
      <c r="I224" s="10">
        <v>0</v>
      </c>
      <c r="J224" s="10">
        <v>144203</v>
      </c>
      <c r="K224" s="10">
        <v>154826</v>
      </c>
      <c r="L224" s="10">
        <v>180606</v>
      </c>
      <c r="M224" s="10">
        <v>276882</v>
      </c>
      <c r="N224" s="10">
        <v>359856</v>
      </c>
      <c r="O224" s="10">
        <v>456479</v>
      </c>
      <c r="P224" s="4">
        <v>549973</v>
      </c>
      <c r="Q224" s="4">
        <v>662120</v>
      </c>
      <c r="R224" s="4">
        <v>612076</v>
      </c>
      <c r="S224" s="24">
        <f>SUM(tblSalesData[[#This Row],[FY 2000]:[FY 2012]])</f>
        <v>3397021</v>
      </c>
      <c r="T224" s="11">
        <v>12.99</v>
      </c>
      <c r="U224" s="12">
        <f>tblSalesData[[#This Row],[Total Units 
to Date]]*tblSalesData[[#This Row],[Sell Price]]</f>
        <v>44127302.789999999</v>
      </c>
      <c r="V224" s="3"/>
      <c r="W224" s="4"/>
    </row>
    <row r="225" spans="1:23" x14ac:dyDescent="0.2">
      <c r="A225" s="4">
        <v>1038</v>
      </c>
      <c r="B225" s="9" t="s">
        <v>220</v>
      </c>
      <c r="C225" s="4" t="s">
        <v>13</v>
      </c>
      <c r="D225" s="4" t="s">
        <v>28</v>
      </c>
      <c r="E225" s="4" t="s">
        <v>17</v>
      </c>
      <c r="F225" s="10">
        <v>0</v>
      </c>
      <c r="G225" s="10">
        <v>0</v>
      </c>
      <c r="H225" s="10">
        <v>0</v>
      </c>
      <c r="I225" s="10">
        <v>0</v>
      </c>
      <c r="J225" s="10">
        <v>139849</v>
      </c>
      <c r="K225" s="10">
        <v>150055</v>
      </c>
      <c r="L225" s="10">
        <v>245965</v>
      </c>
      <c r="M225" s="10">
        <v>292712</v>
      </c>
      <c r="N225" s="10">
        <v>395843</v>
      </c>
      <c r="O225" s="10">
        <v>532904</v>
      </c>
      <c r="P225" s="4">
        <v>691088</v>
      </c>
      <c r="Q225" s="4">
        <v>872908</v>
      </c>
      <c r="R225" s="10">
        <v>1081698</v>
      </c>
      <c r="S225" s="24">
        <f>SUM(tblSalesData[[#This Row],[FY 2000]:[FY 2012]])</f>
        <v>4403022</v>
      </c>
      <c r="T225" s="11">
        <v>1.99</v>
      </c>
      <c r="U225" s="12">
        <f>tblSalesData[[#This Row],[Total Units 
to Date]]*tblSalesData[[#This Row],[Sell Price]]</f>
        <v>8762013.7799999993</v>
      </c>
      <c r="V225" s="3"/>
      <c r="W225" s="4"/>
    </row>
    <row r="226" spans="1:23" x14ac:dyDescent="0.2">
      <c r="A226" s="4">
        <v>1038</v>
      </c>
      <c r="B226" s="9" t="s">
        <v>221</v>
      </c>
      <c r="C226" s="4" t="s">
        <v>13</v>
      </c>
      <c r="D226" s="4" t="s">
        <v>27</v>
      </c>
      <c r="E226" s="4" t="s">
        <v>18</v>
      </c>
      <c r="F226" s="10">
        <v>0</v>
      </c>
      <c r="G226" s="10">
        <v>0</v>
      </c>
      <c r="H226" s="10">
        <v>0</v>
      </c>
      <c r="I226" s="10">
        <v>0</v>
      </c>
      <c r="J226" s="10">
        <v>136082</v>
      </c>
      <c r="K226" s="10">
        <v>157353</v>
      </c>
      <c r="L226" s="10">
        <v>181781</v>
      </c>
      <c r="M226" s="10">
        <v>282160</v>
      </c>
      <c r="N226" s="10">
        <v>372613</v>
      </c>
      <c r="O226" s="10">
        <v>543473</v>
      </c>
      <c r="P226" s="4">
        <v>633733</v>
      </c>
      <c r="Q226" s="4">
        <v>686014</v>
      </c>
      <c r="R226" s="4">
        <v>437838</v>
      </c>
      <c r="S226" s="24">
        <f>SUM(tblSalesData[[#This Row],[FY 2000]:[FY 2012]])</f>
        <v>3431047</v>
      </c>
      <c r="T226" s="11">
        <v>9.99</v>
      </c>
      <c r="U226" s="12">
        <f>tblSalesData[[#This Row],[Total Units 
to Date]]*tblSalesData[[#This Row],[Sell Price]]</f>
        <v>34276159.530000001</v>
      </c>
      <c r="V226" s="3"/>
      <c r="W226" s="4"/>
    </row>
    <row r="227" spans="1:23" x14ac:dyDescent="0.2">
      <c r="A227" s="4">
        <v>1038</v>
      </c>
      <c r="B227" s="9" t="s">
        <v>222</v>
      </c>
      <c r="C227" s="4" t="s">
        <v>13</v>
      </c>
      <c r="D227" s="4" t="s">
        <v>27</v>
      </c>
      <c r="E227" s="4" t="s">
        <v>16</v>
      </c>
      <c r="F227" s="10">
        <v>0</v>
      </c>
      <c r="G227" s="10">
        <v>0</v>
      </c>
      <c r="H227" s="10">
        <v>0</v>
      </c>
      <c r="I227" s="10">
        <v>0</v>
      </c>
      <c r="J227" s="10">
        <v>144662</v>
      </c>
      <c r="K227" s="10">
        <v>171513</v>
      </c>
      <c r="L227" s="10">
        <v>226562</v>
      </c>
      <c r="M227" s="10">
        <v>282987</v>
      </c>
      <c r="N227" s="10">
        <v>338600</v>
      </c>
      <c r="O227" s="10">
        <v>522477</v>
      </c>
      <c r="P227" s="4">
        <v>559566</v>
      </c>
      <c r="Q227" s="4">
        <v>578398</v>
      </c>
      <c r="R227" s="4">
        <v>422074</v>
      </c>
      <c r="S227" s="24">
        <f>SUM(tblSalesData[[#This Row],[FY 2000]:[FY 2012]])</f>
        <v>3246839</v>
      </c>
      <c r="T227" s="11">
        <v>11.99</v>
      </c>
      <c r="U227" s="12">
        <f>tblSalesData[[#This Row],[Total Units 
to Date]]*tblSalesData[[#This Row],[Sell Price]]</f>
        <v>38929599.609999999</v>
      </c>
      <c r="V227" s="3"/>
      <c r="W227" s="4"/>
    </row>
    <row r="228" spans="1:23" x14ac:dyDescent="0.2">
      <c r="A228" s="4">
        <v>1038</v>
      </c>
      <c r="B228" s="9" t="s">
        <v>223</v>
      </c>
      <c r="C228" s="4" t="s">
        <v>13</v>
      </c>
      <c r="D228" s="4" t="s">
        <v>28</v>
      </c>
      <c r="E228" s="4" t="s">
        <v>19</v>
      </c>
      <c r="F228" s="10">
        <v>0</v>
      </c>
      <c r="G228" s="10">
        <v>0</v>
      </c>
      <c r="H228" s="10">
        <v>0</v>
      </c>
      <c r="I228" s="10">
        <v>0</v>
      </c>
      <c r="J228" s="10">
        <v>0</v>
      </c>
      <c r="K228" s="10">
        <v>157260</v>
      </c>
      <c r="L228" s="10">
        <v>187533</v>
      </c>
      <c r="M228" s="10">
        <v>281710</v>
      </c>
      <c r="N228" s="10">
        <v>376093</v>
      </c>
      <c r="O228" s="10">
        <v>527579</v>
      </c>
      <c r="P228" s="4">
        <v>804990</v>
      </c>
      <c r="Q228" s="4">
        <v>1059179</v>
      </c>
      <c r="R228" s="10">
        <v>1203461</v>
      </c>
      <c r="S228" s="24">
        <f>SUM(tblSalesData[[#This Row],[FY 2000]:[FY 2012]])</f>
        <v>4597805</v>
      </c>
      <c r="T228" s="11">
        <v>3.99</v>
      </c>
      <c r="U228" s="12">
        <f>tblSalesData[[#This Row],[Total Units 
to Date]]*tblSalesData[[#This Row],[Sell Price]]</f>
        <v>18345241.949999999</v>
      </c>
      <c r="V228" s="3"/>
      <c r="W228" s="4"/>
    </row>
    <row r="229" spans="1:23" x14ac:dyDescent="0.2">
      <c r="A229" s="4">
        <v>1038</v>
      </c>
      <c r="B229" s="9" t="s">
        <v>224</v>
      </c>
      <c r="C229" s="4" t="s">
        <v>13</v>
      </c>
      <c r="D229" s="4" t="s">
        <v>28</v>
      </c>
      <c r="E229" s="4" t="s">
        <v>19</v>
      </c>
      <c r="F229" s="10">
        <v>0</v>
      </c>
      <c r="G229" s="10">
        <v>0</v>
      </c>
      <c r="H229" s="10">
        <v>0</v>
      </c>
      <c r="I229" s="10">
        <v>0</v>
      </c>
      <c r="J229" s="10">
        <v>0</v>
      </c>
      <c r="K229" s="10">
        <v>159928</v>
      </c>
      <c r="L229" s="10">
        <v>214030</v>
      </c>
      <c r="M229" s="10">
        <v>287372</v>
      </c>
      <c r="N229" s="10">
        <v>351060</v>
      </c>
      <c r="O229" s="10">
        <v>554083</v>
      </c>
      <c r="P229" s="4">
        <v>677345</v>
      </c>
      <c r="Q229" s="4">
        <v>876796</v>
      </c>
      <c r="R229" s="10">
        <v>1976084</v>
      </c>
      <c r="S229" s="24">
        <f>SUM(tblSalesData[[#This Row],[FY 2000]:[FY 2012]])</f>
        <v>5096698</v>
      </c>
      <c r="T229" s="11">
        <v>3.99</v>
      </c>
      <c r="U229" s="12">
        <f>tblSalesData[[#This Row],[Total Units 
to Date]]*tblSalesData[[#This Row],[Sell Price]]</f>
        <v>20335825.02</v>
      </c>
      <c r="V229" s="3"/>
      <c r="W229" s="4"/>
    </row>
    <row r="230" spans="1:23" x14ac:dyDescent="0.2">
      <c r="A230" s="4">
        <v>1038</v>
      </c>
      <c r="B230" s="9" t="s">
        <v>225</v>
      </c>
      <c r="C230" s="4" t="s">
        <v>13</v>
      </c>
      <c r="D230" s="4" t="s">
        <v>28</v>
      </c>
      <c r="E230" s="4" t="s">
        <v>18</v>
      </c>
      <c r="F230" s="10">
        <v>0</v>
      </c>
      <c r="G230" s="10">
        <v>0</v>
      </c>
      <c r="H230" s="10">
        <v>0</v>
      </c>
      <c r="I230" s="10">
        <v>0</v>
      </c>
      <c r="J230" s="10">
        <v>0</v>
      </c>
      <c r="K230" s="10">
        <v>168251</v>
      </c>
      <c r="L230" s="10">
        <v>204334</v>
      </c>
      <c r="M230" s="10">
        <v>282078</v>
      </c>
      <c r="N230" s="10">
        <v>361071</v>
      </c>
      <c r="O230" s="10">
        <v>501941</v>
      </c>
      <c r="P230" s="4">
        <v>691466</v>
      </c>
      <c r="Q230" s="4">
        <v>1004096</v>
      </c>
      <c r="R230" s="10">
        <v>1370185</v>
      </c>
      <c r="S230" s="24">
        <f>SUM(tblSalesData[[#This Row],[FY 2000]:[FY 2012]])</f>
        <v>4583422</v>
      </c>
      <c r="T230" s="11">
        <v>0.99</v>
      </c>
      <c r="U230" s="12">
        <f>tblSalesData[[#This Row],[Total Units 
to Date]]*tblSalesData[[#This Row],[Sell Price]]</f>
        <v>4537587.78</v>
      </c>
      <c r="V230" s="3"/>
      <c r="W230" s="4"/>
    </row>
    <row r="231" spans="1:23" x14ac:dyDescent="0.2">
      <c r="A231" s="4">
        <v>1038</v>
      </c>
      <c r="B231" s="9" t="s">
        <v>226</v>
      </c>
      <c r="C231" s="4" t="s">
        <v>13</v>
      </c>
      <c r="D231" s="4" t="s">
        <v>27</v>
      </c>
      <c r="E231" s="4" t="s">
        <v>18</v>
      </c>
      <c r="F231" s="10">
        <v>0</v>
      </c>
      <c r="G231" s="10">
        <v>0</v>
      </c>
      <c r="H231" s="10">
        <v>0</v>
      </c>
      <c r="I231" s="10">
        <v>0</v>
      </c>
      <c r="J231" s="10">
        <v>0</v>
      </c>
      <c r="K231" s="10">
        <v>0</v>
      </c>
      <c r="L231" s="10">
        <v>213851</v>
      </c>
      <c r="M231" s="10">
        <v>275476</v>
      </c>
      <c r="N231" s="10">
        <v>306629</v>
      </c>
      <c r="O231" s="10">
        <v>501449</v>
      </c>
      <c r="P231" s="4">
        <v>622287</v>
      </c>
      <c r="Q231" s="4">
        <v>578277</v>
      </c>
      <c r="R231" s="4">
        <v>627068</v>
      </c>
      <c r="S231" s="24">
        <f>SUM(tblSalesData[[#This Row],[FY 2000]:[FY 2012]])</f>
        <v>3125037</v>
      </c>
      <c r="T231" s="11">
        <v>9.99</v>
      </c>
      <c r="U231" s="12">
        <f>tblSalesData[[#This Row],[Total Units 
to Date]]*tblSalesData[[#This Row],[Sell Price]]</f>
        <v>31219119.629999999</v>
      </c>
      <c r="V231" s="3"/>
      <c r="W231" s="4"/>
    </row>
    <row r="232" spans="1:23" x14ac:dyDescent="0.2">
      <c r="A232" s="4">
        <v>1038</v>
      </c>
      <c r="B232" s="9" t="s">
        <v>227</v>
      </c>
      <c r="C232" s="4" t="s">
        <v>13</v>
      </c>
      <c r="D232" s="4" t="s">
        <v>28</v>
      </c>
      <c r="E232" s="4" t="s">
        <v>19</v>
      </c>
      <c r="F232" s="10">
        <v>0</v>
      </c>
      <c r="G232" s="10">
        <v>0</v>
      </c>
      <c r="H232" s="10">
        <v>0</v>
      </c>
      <c r="I232" s="10">
        <v>0</v>
      </c>
      <c r="J232" s="10">
        <v>0</v>
      </c>
      <c r="K232" s="10">
        <v>0</v>
      </c>
      <c r="L232" s="10">
        <v>180163</v>
      </c>
      <c r="M232" s="10">
        <v>299517</v>
      </c>
      <c r="N232" s="10">
        <v>325268</v>
      </c>
      <c r="O232" s="10">
        <v>490993</v>
      </c>
      <c r="P232" s="4">
        <v>815684</v>
      </c>
      <c r="Q232" s="4">
        <v>972951</v>
      </c>
      <c r="R232" s="10">
        <v>1449026</v>
      </c>
      <c r="S232" s="24">
        <f>SUM(tblSalesData[[#This Row],[FY 2000]:[FY 2012]])</f>
        <v>4533602</v>
      </c>
      <c r="T232" s="11">
        <v>3.99</v>
      </c>
      <c r="U232" s="12">
        <f>tblSalesData[[#This Row],[Total Units 
to Date]]*tblSalesData[[#This Row],[Sell Price]]</f>
        <v>18089071.98</v>
      </c>
      <c r="V232" s="3"/>
      <c r="W232" s="4"/>
    </row>
    <row r="233" spans="1:23" x14ac:dyDescent="0.2">
      <c r="A233" s="4">
        <v>1038</v>
      </c>
      <c r="B233" s="9" t="s">
        <v>228</v>
      </c>
      <c r="C233" s="4" t="s">
        <v>13</v>
      </c>
      <c r="D233" s="4" t="s">
        <v>27</v>
      </c>
      <c r="E233" s="4" t="s">
        <v>16</v>
      </c>
      <c r="F233" s="10">
        <v>0</v>
      </c>
      <c r="G233" s="10">
        <v>0</v>
      </c>
      <c r="H233" s="10">
        <v>0</v>
      </c>
      <c r="I233" s="10">
        <v>0</v>
      </c>
      <c r="J233" s="10">
        <v>0</v>
      </c>
      <c r="K233" s="10">
        <v>0</v>
      </c>
      <c r="L233" s="10">
        <v>217697</v>
      </c>
      <c r="M233" s="10">
        <v>281764</v>
      </c>
      <c r="N233" s="10">
        <v>324759</v>
      </c>
      <c r="O233" s="10">
        <v>517785</v>
      </c>
      <c r="P233" s="4">
        <v>653060</v>
      </c>
      <c r="Q233" s="4">
        <v>694989</v>
      </c>
      <c r="R233" s="4">
        <v>423851</v>
      </c>
      <c r="S233" s="24">
        <f>SUM(tblSalesData[[#This Row],[FY 2000]:[FY 2012]])</f>
        <v>3113905</v>
      </c>
      <c r="T233" s="11">
        <v>11.99</v>
      </c>
      <c r="U233" s="12">
        <f>tblSalesData[[#This Row],[Total Units 
to Date]]*tblSalesData[[#This Row],[Sell Price]]</f>
        <v>37335720.950000003</v>
      </c>
      <c r="V233" s="3"/>
    </row>
    <row r="234" spans="1:23" x14ac:dyDescent="0.2">
      <c r="A234" s="4">
        <v>1038</v>
      </c>
      <c r="B234" s="9" t="s">
        <v>229</v>
      </c>
      <c r="C234" s="4" t="s">
        <v>13</v>
      </c>
      <c r="D234" s="4" t="s">
        <v>27</v>
      </c>
      <c r="E234" s="4" t="s">
        <v>17</v>
      </c>
      <c r="F234" s="10">
        <v>0</v>
      </c>
      <c r="G234" s="10">
        <v>0</v>
      </c>
      <c r="H234" s="10">
        <v>0</v>
      </c>
      <c r="I234" s="10">
        <v>0</v>
      </c>
      <c r="J234" s="10">
        <v>0</v>
      </c>
      <c r="K234" s="10">
        <v>0</v>
      </c>
      <c r="L234" s="10">
        <v>0</v>
      </c>
      <c r="M234" s="10">
        <v>298902</v>
      </c>
      <c r="N234" s="10">
        <v>300189</v>
      </c>
      <c r="O234" s="10">
        <v>461456</v>
      </c>
      <c r="P234" s="4">
        <v>553680</v>
      </c>
      <c r="Q234" s="4">
        <v>543381</v>
      </c>
      <c r="R234" s="4">
        <v>548107</v>
      </c>
      <c r="S234" s="24">
        <f>SUM(tblSalesData[[#This Row],[FY 2000]:[FY 2012]])</f>
        <v>2705715</v>
      </c>
      <c r="T234" s="11">
        <v>12.99</v>
      </c>
      <c r="U234" s="12">
        <f>tblSalesData[[#This Row],[Total Units 
to Date]]*tblSalesData[[#This Row],[Sell Price]]</f>
        <v>35147237.850000001</v>
      </c>
      <c r="V234" s="3"/>
    </row>
    <row r="235" spans="1:23" x14ac:dyDescent="0.2">
      <c r="A235" s="4">
        <v>1038</v>
      </c>
      <c r="B235" s="9" t="s">
        <v>230</v>
      </c>
      <c r="C235" s="4" t="s">
        <v>13</v>
      </c>
      <c r="D235" s="4" t="s">
        <v>27</v>
      </c>
      <c r="E235" s="4" t="s">
        <v>18</v>
      </c>
      <c r="F235" s="10">
        <v>0</v>
      </c>
      <c r="G235" s="10">
        <v>0</v>
      </c>
      <c r="H235" s="10">
        <v>0</v>
      </c>
      <c r="I235" s="10">
        <v>0</v>
      </c>
      <c r="J235" s="10">
        <v>0</v>
      </c>
      <c r="K235" s="10">
        <v>0</v>
      </c>
      <c r="L235" s="10">
        <v>0</v>
      </c>
      <c r="M235" s="10">
        <v>277618</v>
      </c>
      <c r="N235" s="10">
        <v>395912</v>
      </c>
      <c r="O235" s="10">
        <v>505624</v>
      </c>
      <c r="P235" s="4">
        <v>540967</v>
      </c>
      <c r="Q235" s="4">
        <v>666072</v>
      </c>
      <c r="R235" s="4">
        <v>654298</v>
      </c>
      <c r="S235" s="24">
        <f>SUM(tblSalesData[[#This Row],[FY 2000]:[FY 2012]])</f>
        <v>3040491</v>
      </c>
      <c r="T235" s="11">
        <v>9.99</v>
      </c>
      <c r="U235" s="12">
        <f>tblSalesData[[#This Row],[Total Units 
to Date]]*tblSalesData[[#This Row],[Sell Price]]</f>
        <v>30374505.09</v>
      </c>
      <c r="V235" s="3"/>
    </row>
    <row r="236" spans="1:23" x14ac:dyDescent="0.2">
      <c r="A236" s="4">
        <v>1038</v>
      </c>
      <c r="B236" s="9" t="s">
        <v>231</v>
      </c>
      <c r="C236" s="4" t="s">
        <v>13</v>
      </c>
      <c r="D236" s="4" t="s">
        <v>28</v>
      </c>
      <c r="E236" s="4" t="s">
        <v>18</v>
      </c>
      <c r="F236" s="10">
        <v>0</v>
      </c>
      <c r="G236" s="10">
        <v>0</v>
      </c>
      <c r="H236" s="10">
        <v>0</v>
      </c>
      <c r="I236" s="10">
        <v>0</v>
      </c>
      <c r="J236" s="10">
        <v>0</v>
      </c>
      <c r="K236" s="10">
        <v>0</v>
      </c>
      <c r="L236" s="10">
        <v>0</v>
      </c>
      <c r="M236" s="10">
        <v>0</v>
      </c>
      <c r="N236" s="10">
        <v>313437</v>
      </c>
      <c r="O236" s="10">
        <v>513413</v>
      </c>
      <c r="P236" s="4">
        <v>782846</v>
      </c>
      <c r="Q236" s="4">
        <v>1117757</v>
      </c>
      <c r="R236" s="10">
        <v>1427822</v>
      </c>
      <c r="S236" s="24">
        <f>SUM(tblSalesData[[#This Row],[FY 2000]:[FY 2012]])</f>
        <v>4155275</v>
      </c>
      <c r="T236" s="11">
        <v>0.99</v>
      </c>
      <c r="U236" s="12">
        <f>tblSalesData[[#This Row],[Total Units 
to Date]]*tblSalesData[[#This Row],[Sell Price]]</f>
        <v>4113722.25</v>
      </c>
      <c r="V236" s="3"/>
    </row>
    <row r="237" spans="1:23" x14ac:dyDescent="0.2">
      <c r="A237" s="4">
        <v>1038</v>
      </c>
      <c r="B237" s="9" t="s">
        <v>232</v>
      </c>
      <c r="C237" s="4" t="s">
        <v>13</v>
      </c>
      <c r="D237" s="4" t="s">
        <v>27</v>
      </c>
      <c r="E237" s="4" t="s">
        <v>19</v>
      </c>
      <c r="F237" s="10">
        <v>0</v>
      </c>
      <c r="G237" s="10">
        <v>0</v>
      </c>
      <c r="H237" s="10">
        <v>0</v>
      </c>
      <c r="I237" s="10">
        <v>0</v>
      </c>
      <c r="J237" s="10">
        <v>0</v>
      </c>
      <c r="K237" s="10">
        <v>0</v>
      </c>
      <c r="L237" s="10">
        <v>0</v>
      </c>
      <c r="M237" s="10">
        <v>0</v>
      </c>
      <c r="N237" s="10">
        <v>0</v>
      </c>
      <c r="O237" s="10">
        <v>467075</v>
      </c>
      <c r="P237" s="4">
        <v>564197</v>
      </c>
      <c r="Q237" s="4">
        <v>575362</v>
      </c>
      <c r="R237" s="4">
        <v>412067</v>
      </c>
      <c r="S237" s="24">
        <f>SUM(tblSalesData[[#This Row],[FY 2000]:[FY 2012]])</f>
        <v>2018701</v>
      </c>
      <c r="T237" s="11">
        <v>15.99</v>
      </c>
      <c r="U237" s="12">
        <f>tblSalesData[[#This Row],[Total Units 
to Date]]*tblSalesData[[#This Row],[Sell Price]]</f>
        <v>32279028.990000002</v>
      </c>
      <c r="V237" s="3"/>
    </row>
    <row r="238" spans="1:23" x14ac:dyDescent="0.2">
      <c r="A238" s="4">
        <v>1038</v>
      </c>
      <c r="B238" s="9" t="s">
        <v>233</v>
      </c>
      <c r="C238" s="4" t="s">
        <v>13</v>
      </c>
      <c r="D238" s="4" t="s">
        <v>28</v>
      </c>
      <c r="E238" s="4" t="s">
        <v>19</v>
      </c>
      <c r="F238" s="10">
        <v>0</v>
      </c>
      <c r="G238" s="10">
        <v>0</v>
      </c>
      <c r="H238" s="10">
        <v>0</v>
      </c>
      <c r="I238" s="10">
        <v>0</v>
      </c>
      <c r="J238" s="10">
        <v>0</v>
      </c>
      <c r="K238" s="10">
        <v>0</v>
      </c>
      <c r="L238" s="10">
        <v>0</v>
      </c>
      <c r="M238" s="10">
        <v>0</v>
      </c>
      <c r="N238" s="10">
        <v>0</v>
      </c>
      <c r="O238" s="10">
        <v>0</v>
      </c>
      <c r="P238" s="4">
        <v>767899</v>
      </c>
      <c r="Q238" s="4">
        <v>984050</v>
      </c>
      <c r="R238" s="10">
        <v>1581156</v>
      </c>
      <c r="S238" s="24">
        <f>SUM(tblSalesData[[#This Row],[FY 2000]:[FY 2012]])</f>
        <v>3333105</v>
      </c>
      <c r="T238" s="11">
        <v>3.99</v>
      </c>
      <c r="U238" s="12">
        <f>tblSalesData[[#This Row],[Total Units 
to Date]]*tblSalesData[[#This Row],[Sell Price]]</f>
        <v>13299088.950000001</v>
      </c>
      <c r="V238" s="3"/>
    </row>
    <row r="239" spans="1:23" x14ac:dyDescent="0.2">
      <c r="A239" s="4">
        <v>1038</v>
      </c>
      <c r="B239" s="9" t="s">
        <v>234</v>
      </c>
      <c r="C239" s="4" t="s">
        <v>13</v>
      </c>
      <c r="D239" s="4" t="s">
        <v>27</v>
      </c>
      <c r="E239" s="4" t="s">
        <v>16</v>
      </c>
      <c r="F239" s="10">
        <v>0</v>
      </c>
      <c r="G239" s="10">
        <v>0</v>
      </c>
      <c r="H239" s="10">
        <v>0</v>
      </c>
      <c r="I239" s="10">
        <v>0</v>
      </c>
      <c r="J239" s="10">
        <v>0</v>
      </c>
      <c r="K239" s="10">
        <v>0</v>
      </c>
      <c r="L239" s="10">
        <v>0</v>
      </c>
      <c r="M239" s="10">
        <v>0</v>
      </c>
      <c r="N239" s="10">
        <v>0</v>
      </c>
      <c r="O239" s="10">
        <v>0</v>
      </c>
      <c r="P239" s="4">
        <v>664383</v>
      </c>
      <c r="Q239" s="4">
        <v>546682</v>
      </c>
      <c r="R239" s="4">
        <v>530753</v>
      </c>
      <c r="S239" s="24">
        <f>SUM(tblSalesData[[#This Row],[FY 2000]:[FY 2012]])</f>
        <v>1741818</v>
      </c>
      <c r="T239" s="11">
        <v>11.99</v>
      </c>
      <c r="U239" s="12">
        <f>tblSalesData[[#This Row],[Total Units 
to Date]]*tblSalesData[[#This Row],[Sell Price]]</f>
        <v>20884397.82</v>
      </c>
      <c r="V239" s="3"/>
    </row>
    <row r="240" spans="1:23" x14ac:dyDescent="0.2">
      <c r="A240" s="4">
        <v>1039</v>
      </c>
      <c r="B240" s="9" t="s">
        <v>235</v>
      </c>
      <c r="C240" s="4" t="s">
        <v>14</v>
      </c>
      <c r="D240" s="4" t="s">
        <v>27</v>
      </c>
      <c r="E240" s="4" t="s">
        <v>17</v>
      </c>
      <c r="F240" s="10">
        <v>0</v>
      </c>
      <c r="G240" s="10">
        <v>0</v>
      </c>
      <c r="H240" s="10">
        <v>0</v>
      </c>
      <c r="I240" s="10">
        <v>0</v>
      </c>
      <c r="J240" s="10">
        <v>0</v>
      </c>
      <c r="K240" s="10">
        <v>417630</v>
      </c>
      <c r="L240" s="10">
        <v>486466</v>
      </c>
      <c r="M240" s="10">
        <v>343049</v>
      </c>
      <c r="N240" s="10">
        <v>445616</v>
      </c>
      <c r="O240" s="10">
        <v>487035</v>
      </c>
      <c r="P240" s="4">
        <v>255238</v>
      </c>
      <c r="Q240" s="4">
        <v>289581</v>
      </c>
      <c r="R240" s="4">
        <v>128142</v>
      </c>
      <c r="S240" s="24">
        <f>SUM(tblSalesData[[#This Row],[FY 2000]:[FY 2012]])</f>
        <v>2852757</v>
      </c>
      <c r="T240" s="11">
        <v>12.99</v>
      </c>
      <c r="U240" s="12">
        <f>tblSalesData[[#This Row],[Total Units 
to Date]]*tblSalesData[[#This Row],[Sell Price]]</f>
        <v>37057313.43</v>
      </c>
      <c r="V240" s="3"/>
    </row>
    <row r="241" spans="1:22" x14ac:dyDescent="0.2">
      <c r="A241" s="4">
        <v>1039</v>
      </c>
      <c r="B241" s="9" t="s">
        <v>235</v>
      </c>
      <c r="C241" s="4" t="s">
        <v>14</v>
      </c>
      <c r="D241" s="4" t="s">
        <v>27</v>
      </c>
      <c r="E241" s="4" t="s">
        <v>19</v>
      </c>
      <c r="F241" s="10">
        <v>0</v>
      </c>
      <c r="G241" s="10">
        <v>0</v>
      </c>
      <c r="H241" s="10">
        <v>0</v>
      </c>
      <c r="I241" s="10">
        <v>0</v>
      </c>
      <c r="J241" s="10">
        <v>0</v>
      </c>
      <c r="K241" s="10">
        <v>0</v>
      </c>
      <c r="L241" s="10">
        <v>0</v>
      </c>
      <c r="M241" s="10">
        <v>456255</v>
      </c>
      <c r="N241" s="10">
        <v>271282</v>
      </c>
      <c r="O241" s="10">
        <v>294482</v>
      </c>
      <c r="P241" s="4">
        <v>246294</v>
      </c>
      <c r="Q241" s="4">
        <v>324076</v>
      </c>
      <c r="R241" s="4">
        <v>126315</v>
      </c>
      <c r="S241" s="24">
        <f>SUM(tblSalesData[[#This Row],[FY 2000]:[FY 2012]])</f>
        <v>1718704</v>
      </c>
      <c r="T241" s="11">
        <v>15.99</v>
      </c>
      <c r="U241" s="12">
        <f>tblSalesData[[#This Row],[Total Units 
to Date]]*tblSalesData[[#This Row],[Sell Price]]</f>
        <v>27482076.960000001</v>
      </c>
      <c r="V241" s="3"/>
    </row>
    <row r="242" spans="1:22" x14ac:dyDescent="0.2">
      <c r="A242" s="4">
        <v>1039</v>
      </c>
      <c r="B242" s="9" t="s">
        <v>235</v>
      </c>
      <c r="C242" s="4" t="s">
        <v>14</v>
      </c>
      <c r="D242" s="4" t="s">
        <v>27</v>
      </c>
      <c r="E242" s="4" t="s">
        <v>18</v>
      </c>
      <c r="F242" s="10">
        <v>0</v>
      </c>
      <c r="G242" s="10">
        <v>0</v>
      </c>
      <c r="H242" s="10">
        <v>0</v>
      </c>
      <c r="I242" s="10">
        <v>0</v>
      </c>
      <c r="J242" s="10">
        <v>0</v>
      </c>
      <c r="K242" s="10">
        <v>0</v>
      </c>
      <c r="L242" s="10">
        <v>441721</v>
      </c>
      <c r="M242" s="10">
        <v>412079</v>
      </c>
      <c r="N242" s="10">
        <v>285218</v>
      </c>
      <c r="O242" s="10">
        <v>381474</v>
      </c>
      <c r="P242" s="4">
        <v>311834</v>
      </c>
      <c r="Q242" s="4">
        <v>336538</v>
      </c>
      <c r="R242" s="4">
        <v>150421</v>
      </c>
      <c r="S242" s="24">
        <f>SUM(tblSalesData[[#This Row],[FY 2000]:[FY 2012]])</f>
        <v>2319285</v>
      </c>
      <c r="T242" s="11">
        <v>9.99</v>
      </c>
      <c r="U242" s="12">
        <f>tblSalesData[[#This Row],[Total Units 
to Date]]*tblSalesData[[#This Row],[Sell Price]]</f>
        <v>23169657.150000002</v>
      </c>
      <c r="V242" s="3"/>
    </row>
    <row r="243" spans="1:22" x14ac:dyDescent="0.2">
      <c r="A243" s="4">
        <v>1039</v>
      </c>
      <c r="B243" s="9" t="s">
        <v>235</v>
      </c>
      <c r="C243" s="4" t="s">
        <v>14</v>
      </c>
      <c r="D243" s="4" t="s">
        <v>28</v>
      </c>
      <c r="E243" s="4" t="s">
        <v>18</v>
      </c>
      <c r="F243" s="10">
        <v>0</v>
      </c>
      <c r="G243" s="10">
        <v>0</v>
      </c>
      <c r="H243" s="10">
        <v>0</v>
      </c>
      <c r="I243" s="10">
        <v>0</v>
      </c>
      <c r="J243" s="10">
        <v>0</v>
      </c>
      <c r="K243" s="10">
        <v>0</v>
      </c>
      <c r="L243" s="10">
        <v>283030</v>
      </c>
      <c r="M243" s="10">
        <v>354472</v>
      </c>
      <c r="N243" s="10">
        <v>413938</v>
      </c>
      <c r="O243" s="10">
        <v>252135</v>
      </c>
      <c r="P243" s="4">
        <v>513436</v>
      </c>
      <c r="Q243" s="4">
        <v>335890</v>
      </c>
      <c r="R243" s="10">
        <v>385396</v>
      </c>
      <c r="S243" s="24">
        <f>SUM(tblSalesData[[#This Row],[FY 2000]:[FY 2012]])</f>
        <v>2538297</v>
      </c>
      <c r="T243" s="11">
        <v>0.99</v>
      </c>
      <c r="U243" s="12">
        <f>tblSalesData[[#This Row],[Total Units 
to Date]]*tblSalesData[[#This Row],[Sell Price]]</f>
        <v>2512914.0299999998</v>
      </c>
      <c r="V243" s="3"/>
    </row>
    <row r="244" spans="1:22" x14ac:dyDescent="0.2">
      <c r="A244" s="4">
        <v>1039</v>
      </c>
      <c r="B244" s="9" t="s">
        <v>235</v>
      </c>
      <c r="C244" s="4" t="s">
        <v>14</v>
      </c>
      <c r="D244" s="4" t="s">
        <v>28</v>
      </c>
      <c r="E244" s="4" t="s">
        <v>17</v>
      </c>
      <c r="F244" s="10">
        <v>0</v>
      </c>
      <c r="G244" s="10">
        <v>0</v>
      </c>
      <c r="H244" s="10">
        <v>0</v>
      </c>
      <c r="I244" s="10">
        <v>0</v>
      </c>
      <c r="J244" s="10">
        <v>0</v>
      </c>
      <c r="K244" s="10">
        <v>0</v>
      </c>
      <c r="L244" s="10">
        <v>0</v>
      </c>
      <c r="M244" s="10">
        <v>0</v>
      </c>
      <c r="N244" s="10">
        <v>459545</v>
      </c>
      <c r="O244" s="10">
        <v>311340</v>
      </c>
      <c r="P244" s="4">
        <v>338890</v>
      </c>
      <c r="Q244" s="4">
        <v>467453</v>
      </c>
      <c r="R244" s="10">
        <v>414345</v>
      </c>
      <c r="S244" s="24">
        <f>SUM(tblSalesData[[#This Row],[FY 2000]:[FY 2012]])</f>
        <v>1991573</v>
      </c>
      <c r="T244" s="11">
        <v>1.99</v>
      </c>
      <c r="U244" s="12">
        <f>tblSalesData[[#This Row],[Total Units 
to Date]]*tblSalesData[[#This Row],[Sell Price]]</f>
        <v>3963230.27</v>
      </c>
      <c r="V244" s="3"/>
    </row>
    <row r="245" spans="1:22" x14ac:dyDescent="0.2">
      <c r="A245" s="4">
        <v>1039</v>
      </c>
      <c r="B245" s="9" t="s">
        <v>235</v>
      </c>
      <c r="C245" s="4" t="s">
        <v>14</v>
      </c>
      <c r="D245" s="4" t="s">
        <v>28</v>
      </c>
      <c r="E245" s="4" t="s">
        <v>19</v>
      </c>
      <c r="F245" s="10">
        <v>0</v>
      </c>
      <c r="G245" s="10">
        <v>0</v>
      </c>
      <c r="H245" s="10">
        <v>0</v>
      </c>
      <c r="I245" s="10">
        <v>0</v>
      </c>
      <c r="J245" s="10">
        <v>0</v>
      </c>
      <c r="K245" s="10">
        <v>0</v>
      </c>
      <c r="L245" s="10">
        <v>0</v>
      </c>
      <c r="M245" s="10">
        <v>295421</v>
      </c>
      <c r="N245" s="10">
        <v>399838</v>
      </c>
      <c r="O245" s="10">
        <v>491274</v>
      </c>
      <c r="P245" s="4">
        <v>320565</v>
      </c>
      <c r="Q245" s="4">
        <v>452298</v>
      </c>
      <c r="R245" s="10">
        <v>387119</v>
      </c>
      <c r="S245" s="24">
        <f>SUM(tblSalesData[[#This Row],[FY 2000]:[FY 2012]])</f>
        <v>2346515</v>
      </c>
      <c r="T245" s="11">
        <v>3.99</v>
      </c>
      <c r="U245" s="12">
        <f>tblSalesData[[#This Row],[Total Units 
to Date]]*tblSalesData[[#This Row],[Sell Price]]</f>
        <v>9362594.8499999996</v>
      </c>
      <c r="V245" s="3"/>
    </row>
    <row r="246" spans="1:22" x14ac:dyDescent="0.2">
      <c r="A246" s="4">
        <v>1039</v>
      </c>
      <c r="B246" s="9" t="s">
        <v>236</v>
      </c>
      <c r="C246" s="4" t="s">
        <v>14</v>
      </c>
      <c r="D246" s="4" t="s">
        <v>28</v>
      </c>
      <c r="E246" s="4" t="s">
        <v>19</v>
      </c>
      <c r="F246" s="10">
        <v>0</v>
      </c>
      <c r="G246" s="10">
        <v>0</v>
      </c>
      <c r="H246" s="10">
        <v>0</v>
      </c>
      <c r="I246" s="10">
        <v>0</v>
      </c>
      <c r="J246" s="10">
        <v>0</v>
      </c>
      <c r="K246" s="10">
        <v>0</v>
      </c>
      <c r="L246" s="10">
        <v>0</v>
      </c>
      <c r="M246" s="10">
        <v>0</v>
      </c>
      <c r="N246" s="10">
        <v>271958</v>
      </c>
      <c r="O246" s="10">
        <v>473775</v>
      </c>
      <c r="P246" s="4">
        <v>390143</v>
      </c>
      <c r="Q246" s="4">
        <v>528111</v>
      </c>
      <c r="R246" s="10">
        <v>320124</v>
      </c>
      <c r="S246" s="24">
        <f>SUM(tblSalesData[[#This Row],[FY 2000]:[FY 2012]])</f>
        <v>1984111</v>
      </c>
      <c r="T246" s="11">
        <v>3.99</v>
      </c>
      <c r="U246" s="12">
        <f>tblSalesData[[#This Row],[Total Units 
to Date]]*tblSalesData[[#This Row],[Sell Price]]</f>
        <v>7916602.8900000006</v>
      </c>
      <c r="V246" s="3"/>
    </row>
    <row r="247" spans="1:22" x14ac:dyDescent="0.2">
      <c r="A247" s="4">
        <v>1039</v>
      </c>
      <c r="B247" s="9" t="s">
        <v>237</v>
      </c>
      <c r="C247" s="4" t="s">
        <v>14</v>
      </c>
      <c r="D247" s="4" t="s">
        <v>27</v>
      </c>
      <c r="E247" s="4" t="s">
        <v>16</v>
      </c>
      <c r="F247" s="10">
        <v>0</v>
      </c>
      <c r="G247" s="10">
        <v>0</v>
      </c>
      <c r="H247" s="10">
        <v>0</v>
      </c>
      <c r="I247" s="10">
        <v>0</v>
      </c>
      <c r="J247" s="10">
        <v>0</v>
      </c>
      <c r="K247" s="10">
        <v>0</v>
      </c>
      <c r="L247" s="10">
        <v>0</v>
      </c>
      <c r="M247" s="10">
        <v>0</v>
      </c>
      <c r="N247" s="10">
        <v>0</v>
      </c>
      <c r="O247" s="10">
        <v>0</v>
      </c>
      <c r="P247" s="4">
        <v>259733</v>
      </c>
      <c r="Q247" s="4">
        <v>282127</v>
      </c>
      <c r="R247" s="4">
        <v>129308</v>
      </c>
      <c r="S247" s="24">
        <f>SUM(tblSalesData[[#This Row],[FY 2000]:[FY 2012]])</f>
        <v>671168</v>
      </c>
      <c r="T247" s="11">
        <v>11.99</v>
      </c>
      <c r="U247" s="12">
        <f>tblSalesData[[#This Row],[Total Units 
to Date]]*tblSalesData[[#This Row],[Sell Price]]</f>
        <v>8047304.3200000003</v>
      </c>
      <c r="V247" s="3"/>
    </row>
    <row r="248" spans="1:22" x14ac:dyDescent="0.2">
      <c r="A248" s="4">
        <v>1039</v>
      </c>
      <c r="B248" s="9" t="s">
        <v>237</v>
      </c>
      <c r="C248" s="4" t="s">
        <v>14</v>
      </c>
      <c r="D248" s="4" t="s">
        <v>27</v>
      </c>
      <c r="E248" s="4" t="s">
        <v>19</v>
      </c>
      <c r="F248" s="10">
        <v>0</v>
      </c>
      <c r="G248" s="10">
        <v>0</v>
      </c>
      <c r="H248" s="10">
        <v>0</v>
      </c>
      <c r="I248" s="10">
        <v>0</v>
      </c>
      <c r="J248" s="10">
        <v>0</v>
      </c>
      <c r="K248" s="10">
        <v>0</v>
      </c>
      <c r="L248" s="10">
        <v>0</v>
      </c>
      <c r="M248" s="10">
        <v>0</v>
      </c>
      <c r="N248" s="10">
        <v>0</v>
      </c>
      <c r="O248" s="10">
        <v>458002</v>
      </c>
      <c r="P248" s="4">
        <v>303193</v>
      </c>
      <c r="Q248" s="4">
        <v>258824</v>
      </c>
      <c r="R248" s="4">
        <v>165254</v>
      </c>
      <c r="S248" s="24">
        <f>SUM(tblSalesData[[#This Row],[FY 2000]:[FY 2012]])</f>
        <v>1185273</v>
      </c>
      <c r="T248" s="11">
        <v>15.99</v>
      </c>
      <c r="U248" s="12">
        <f>tblSalesData[[#This Row],[Total Units 
to Date]]*tblSalesData[[#This Row],[Sell Price]]</f>
        <v>18952515.27</v>
      </c>
      <c r="V248" s="3"/>
    </row>
    <row r="249" spans="1:22" x14ac:dyDescent="0.2">
      <c r="A249" s="4">
        <v>1039</v>
      </c>
      <c r="B249" s="9" t="s">
        <v>237</v>
      </c>
      <c r="C249" s="4" t="s">
        <v>14</v>
      </c>
      <c r="D249" s="4" t="s">
        <v>28</v>
      </c>
      <c r="E249" s="4" t="s">
        <v>18</v>
      </c>
      <c r="F249" s="10">
        <v>0</v>
      </c>
      <c r="G249" s="10">
        <v>0</v>
      </c>
      <c r="H249" s="10">
        <v>0</v>
      </c>
      <c r="I249" s="10">
        <v>0</v>
      </c>
      <c r="J249" s="10">
        <v>0</v>
      </c>
      <c r="K249" s="10">
        <v>0</v>
      </c>
      <c r="L249" s="10">
        <v>0</v>
      </c>
      <c r="M249" s="10">
        <v>0</v>
      </c>
      <c r="N249" s="10">
        <v>0</v>
      </c>
      <c r="O249" s="10">
        <v>392065</v>
      </c>
      <c r="P249" s="4">
        <v>414207</v>
      </c>
      <c r="Q249" s="4">
        <v>297090</v>
      </c>
      <c r="R249" s="10">
        <v>295238</v>
      </c>
      <c r="S249" s="24">
        <f>SUM(tblSalesData[[#This Row],[FY 2000]:[FY 2012]])</f>
        <v>1398600</v>
      </c>
      <c r="T249" s="11">
        <v>0.99</v>
      </c>
      <c r="U249" s="12">
        <f>tblSalesData[[#This Row],[Total Units 
to Date]]*tblSalesData[[#This Row],[Sell Price]]</f>
        <v>1384614</v>
      </c>
      <c r="V249" s="3"/>
    </row>
    <row r="250" spans="1:22" x14ac:dyDescent="0.2">
      <c r="A250" s="4">
        <v>1039</v>
      </c>
      <c r="B250" s="9" t="s">
        <v>237</v>
      </c>
      <c r="C250" s="4" t="s">
        <v>14</v>
      </c>
      <c r="D250" s="4" t="s">
        <v>28</v>
      </c>
      <c r="E250" s="4" t="s">
        <v>17</v>
      </c>
      <c r="F250" s="10">
        <v>0</v>
      </c>
      <c r="G250" s="10">
        <v>0</v>
      </c>
      <c r="H250" s="10">
        <v>0</v>
      </c>
      <c r="I250" s="10">
        <v>0</v>
      </c>
      <c r="J250" s="10">
        <v>0</v>
      </c>
      <c r="K250" s="10">
        <v>0</v>
      </c>
      <c r="L250" s="10">
        <v>0</v>
      </c>
      <c r="M250" s="10">
        <v>0</v>
      </c>
      <c r="N250" s="10">
        <v>407848</v>
      </c>
      <c r="O250" s="10">
        <v>390467</v>
      </c>
      <c r="P250" s="4">
        <v>378567</v>
      </c>
      <c r="Q250" s="4">
        <v>463171</v>
      </c>
      <c r="R250" s="10">
        <v>355236</v>
      </c>
      <c r="S250" s="24">
        <f>SUM(tblSalesData[[#This Row],[FY 2000]:[FY 2012]])</f>
        <v>1995289</v>
      </c>
      <c r="T250" s="11">
        <v>1.99</v>
      </c>
      <c r="U250" s="12">
        <f>tblSalesData[[#This Row],[Total Units 
to Date]]*tblSalesData[[#This Row],[Sell Price]]</f>
        <v>3970625.11</v>
      </c>
      <c r="V250" s="3"/>
    </row>
    <row r="251" spans="1:22" x14ac:dyDescent="0.2">
      <c r="A251" s="4">
        <v>1039</v>
      </c>
      <c r="B251" s="9" t="s">
        <v>238</v>
      </c>
      <c r="C251" s="4" t="s">
        <v>15</v>
      </c>
      <c r="D251" s="4" t="s">
        <v>28</v>
      </c>
      <c r="E251" s="4" t="s">
        <v>16</v>
      </c>
      <c r="F251" s="10">
        <v>0</v>
      </c>
      <c r="G251" s="10">
        <v>0</v>
      </c>
      <c r="H251" s="10">
        <v>0</v>
      </c>
      <c r="I251" s="10">
        <v>0</v>
      </c>
      <c r="J251" s="10">
        <v>0</v>
      </c>
      <c r="K251" s="10">
        <v>0</v>
      </c>
      <c r="L251" s="10">
        <v>0</v>
      </c>
      <c r="M251" s="10">
        <v>0</v>
      </c>
      <c r="N251" s="10">
        <v>0</v>
      </c>
      <c r="O251" s="10">
        <v>0</v>
      </c>
      <c r="P251" s="4">
        <v>399781</v>
      </c>
      <c r="Q251" s="4">
        <v>375589</v>
      </c>
      <c r="R251" s="10">
        <v>339083</v>
      </c>
      <c r="S251" s="24">
        <f>SUM(tblSalesData[[#This Row],[FY 2000]:[FY 2012]])</f>
        <v>1114453</v>
      </c>
      <c r="T251" s="11">
        <v>1.49</v>
      </c>
      <c r="U251" s="12">
        <f>tblSalesData[[#This Row],[Total Units 
to Date]]*tblSalesData[[#This Row],[Sell Price]]</f>
        <v>1660534.97</v>
      </c>
      <c r="V251" s="3"/>
    </row>
    <row r="252" spans="1:22" x14ac:dyDescent="0.2">
      <c r="A252" s="4">
        <v>1040</v>
      </c>
      <c r="B252" s="9" t="s">
        <v>239</v>
      </c>
      <c r="C252" s="4" t="s">
        <v>14</v>
      </c>
      <c r="D252" s="4" t="s">
        <v>27</v>
      </c>
      <c r="E252" s="4" t="s">
        <v>19</v>
      </c>
      <c r="F252" s="10">
        <v>0</v>
      </c>
      <c r="G252" s="10">
        <v>0</v>
      </c>
      <c r="H252" s="10">
        <v>0</v>
      </c>
      <c r="I252" s="10">
        <v>0</v>
      </c>
      <c r="J252" s="10">
        <v>0</v>
      </c>
      <c r="K252" s="10">
        <v>0</v>
      </c>
      <c r="L252" s="10">
        <v>0</v>
      </c>
      <c r="M252" s="10">
        <v>0</v>
      </c>
      <c r="N252" s="10">
        <v>0</v>
      </c>
      <c r="O252" s="10">
        <v>0</v>
      </c>
      <c r="P252" s="4">
        <v>350186</v>
      </c>
      <c r="Q252" s="4">
        <v>298526</v>
      </c>
      <c r="R252" s="4">
        <v>162401</v>
      </c>
      <c r="S252" s="24">
        <f>SUM(tblSalesData[[#This Row],[FY 2000]:[FY 2012]])</f>
        <v>811113</v>
      </c>
      <c r="T252" s="11">
        <v>15.99</v>
      </c>
      <c r="U252" s="12">
        <f>tblSalesData[[#This Row],[Total Units 
to Date]]*tblSalesData[[#This Row],[Sell Price]]</f>
        <v>12969696.870000001</v>
      </c>
      <c r="V252" s="3"/>
    </row>
    <row r="253" spans="1:22" x14ac:dyDescent="0.2">
      <c r="A253" s="4">
        <v>1040</v>
      </c>
      <c r="B253" s="9" t="s">
        <v>240</v>
      </c>
      <c r="C253" s="4" t="s">
        <v>14</v>
      </c>
      <c r="D253" s="4" t="s">
        <v>27</v>
      </c>
      <c r="E253" s="4" t="s">
        <v>19</v>
      </c>
      <c r="F253" s="10">
        <v>0</v>
      </c>
      <c r="G253" s="10">
        <v>0</v>
      </c>
      <c r="H253" s="10">
        <v>0</v>
      </c>
      <c r="I253" s="10">
        <v>0</v>
      </c>
      <c r="J253" s="10">
        <v>0</v>
      </c>
      <c r="K253" s="10">
        <v>0</v>
      </c>
      <c r="L253" s="10">
        <v>0</v>
      </c>
      <c r="M253" s="10">
        <v>0</v>
      </c>
      <c r="N253" s="10">
        <v>0</v>
      </c>
      <c r="O253" s="10">
        <v>0</v>
      </c>
      <c r="P253" s="4">
        <v>262358</v>
      </c>
      <c r="Q253" s="4">
        <v>196431</v>
      </c>
      <c r="R253" s="4">
        <v>98687</v>
      </c>
      <c r="S253" s="24">
        <f>SUM(tblSalesData[[#This Row],[FY 2000]:[FY 2012]])</f>
        <v>557476</v>
      </c>
      <c r="T253" s="11">
        <v>15.99</v>
      </c>
      <c r="U253" s="12">
        <f>tblSalesData[[#This Row],[Total Units 
to Date]]*tblSalesData[[#This Row],[Sell Price]]</f>
        <v>8914041.2400000002</v>
      </c>
      <c r="V253" s="3"/>
    </row>
    <row r="254" spans="1:22" x14ac:dyDescent="0.2">
      <c r="A254" s="4">
        <v>1040</v>
      </c>
      <c r="B254" s="9" t="s">
        <v>241</v>
      </c>
      <c r="C254" s="4" t="s">
        <v>13</v>
      </c>
      <c r="D254" s="4" t="s">
        <v>28</v>
      </c>
      <c r="E254" s="4" t="s">
        <v>19</v>
      </c>
      <c r="F254" s="10">
        <v>0</v>
      </c>
      <c r="G254" s="10">
        <v>0</v>
      </c>
      <c r="H254" s="10">
        <v>0</v>
      </c>
      <c r="I254" s="10">
        <v>0</v>
      </c>
      <c r="J254" s="10">
        <v>0</v>
      </c>
      <c r="K254" s="10">
        <v>0</v>
      </c>
      <c r="L254" s="10">
        <v>0</v>
      </c>
      <c r="M254" s="10">
        <v>0</v>
      </c>
      <c r="N254" s="10">
        <v>0</v>
      </c>
      <c r="O254" s="10">
        <v>0</v>
      </c>
      <c r="P254" s="4">
        <v>384823</v>
      </c>
      <c r="Q254" s="4">
        <v>491096</v>
      </c>
      <c r="R254" s="10">
        <v>436679</v>
      </c>
      <c r="S254" s="24">
        <f>SUM(tblSalesData[[#This Row],[FY 2000]:[FY 2012]])</f>
        <v>1312598</v>
      </c>
      <c r="T254" s="11">
        <v>3.99</v>
      </c>
      <c r="U254" s="12">
        <f>tblSalesData[[#This Row],[Total Units 
to Date]]*tblSalesData[[#This Row],[Sell Price]]</f>
        <v>5237266.0200000005</v>
      </c>
      <c r="V254" s="3"/>
    </row>
    <row r="255" spans="1:22" x14ac:dyDescent="0.2">
      <c r="A255" s="4">
        <v>1042</v>
      </c>
      <c r="B255" s="9" t="s">
        <v>242</v>
      </c>
      <c r="C255" s="4" t="s">
        <v>14</v>
      </c>
      <c r="D255" s="4" t="s">
        <v>28</v>
      </c>
      <c r="E255" s="4" t="s">
        <v>19</v>
      </c>
      <c r="F255" s="10">
        <v>0</v>
      </c>
      <c r="G255" s="10">
        <v>0</v>
      </c>
      <c r="H255" s="10">
        <v>0</v>
      </c>
      <c r="I255" s="10">
        <v>0</v>
      </c>
      <c r="J255" s="10">
        <v>0</v>
      </c>
      <c r="K255" s="10">
        <v>0</v>
      </c>
      <c r="L255" s="10">
        <v>0</v>
      </c>
      <c r="M255" s="10">
        <v>0</v>
      </c>
      <c r="N255" s="10">
        <v>0</v>
      </c>
      <c r="O255" s="10">
        <v>18667</v>
      </c>
      <c r="P255" s="4">
        <v>22345</v>
      </c>
      <c r="Q255" s="4">
        <v>37223</v>
      </c>
      <c r="R255" s="10">
        <v>50606</v>
      </c>
      <c r="S255" s="24">
        <f>SUM(tblSalesData[[#This Row],[FY 2000]:[FY 2012]])</f>
        <v>128841</v>
      </c>
      <c r="T255" s="11">
        <v>3.99</v>
      </c>
      <c r="U255" s="12">
        <f>tblSalesData[[#This Row],[Total Units 
to Date]]*tblSalesData[[#This Row],[Sell Price]]</f>
        <v>514075.59</v>
      </c>
      <c r="V255" s="3"/>
    </row>
    <row r="256" spans="1:22" x14ac:dyDescent="0.2">
      <c r="A256" s="4">
        <v>1042</v>
      </c>
      <c r="B256" s="9" t="s">
        <v>243</v>
      </c>
      <c r="C256" s="4" t="s">
        <v>14</v>
      </c>
      <c r="D256" s="4" t="s">
        <v>27</v>
      </c>
      <c r="E256" s="4" t="s">
        <v>16</v>
      </c>
      <c r="F256" s="10">
        <v>0</v>
      </c>
      <c r="G256" s="10">
        <v>0</v>
      </c>
      <c r="H256" s="10">
        <v>0</v>
      </c>
      <c r="I256" s="10">
        <v>0</v>
      </c>
      <c r="J256" s="10">
        <v>0</v>
      </c>
      <c r="K256" s="10">
        <v>0</v>
      </c>
      <c r="L256" s="10">
        <v>0</v>
      </c>
      <c r="M256" s="10">
        <v>0</v>
      </c>
      <c r="N256" s="10">
        <v>0</v>
      </c>
      <c r="O256" s="10">
        <v>17537</v>
      </c>
      <c r="P256" s="4">
        <v>20008</v>
      </c>
      <c r="Q256" s="4">
        <v>21234</v>
      </c>
      <c r="R256" s="4">
        <v>13993</v>
      </c>
      <c r="S256" s="24">
        <f>SUM(tblSalesData[[#This Row],[FY 2000]:[FY 2012]])</f>
        <v>72772</v>
      </c>
      <c r="T256" s="11">
        <v>11.99</v>
      </c>
      <c r="U256" s="12">
        <f>tblSalesData[[#This Row],[Total Units 
to Date]]*tblSalesData[[#This Row],[Sell Price]]</f>
        <v>872536.28</v>
      </c>
      <c r="V256" s="3"/>
    </row>
    <row r="257" spans="1:22" x14ac:dyDescent="0.2">
      <c r="A257" s="4">
        <v>1042</v>
      </c>
      <c r="B257" s="9" t="s">
        <v>244</v>
      </c>
      <c r="C257" s="4" t="s">
        <v>13</v>
      </c>
      <c r="D257" s="4" t="s">
        <v>27</v>
      </c>
      <c r="E257" s="4" t="s">
        <v>17</v>
      </c>
      <c r="F257" s="10">
        <v>0</v>
      </c>
      <c r="G257" s="10">
        <v>0</v>
      </c>
      <c r="H257" s="10">
        <v>0</v>
      </c>
      <c r="I257" s="10">
        <v>0</v>
      </c>
      <c r="J257" s="10">
        <v>0</v>
      </c>
      <c r="K257" s="10">
        <v>0</v>
      </c>
      <c r="L257" s="10">
        <v>0</v>
      </c>
      <c r="M257" s="10">
        <v>144</v>
      </c>
      <c r="N257" s="10">
        <v>290</v>
      </c>
      <c r="O257" s="10">
        <v>650</v>
      </c>
      <c r="P257" s="4">
        <v>812</v>
      </c>
      <c r="Q257" s="4">
        <v>829</v>
      </c>
      <c r="R257" s="4">
        <v>536</v>
      </c>
      <c r="S257" s="24">
        <f>SUM(tblSalesData[[#This Row],[FY 2000]:[FY 2012]])</f>
        <v>3261</v>
      </c>
      <c r="T257" s="11">
        <v>12.99</v>
      </c>
      <c r="U257" s="12">
        <f>tblSalesData[[#This Row],[Total Units 
to Date]]*tblSalesData[[#This Row],[Sell Price]]</f>
        <v>42360.39</v>
      </c>
      <c r="V257" s="3"/>
    </row>
    <row r="258" spans="1:22" x14ac:dyDescent="0.2">
      <c r="A258" s="4">
        <v>1042</v>
      </c>
      <c r="B258" s="9" t="s">
        <v>245</v>
      </c>
      <c r="C258" s="4" t="s">
        <v>14</v>
      </c>
      <c r="D258" s="4" t="s">
        <v>27</v>
      </c>
      <c r="E258" s="4" t="s">
        <v>18</v>
      </c>
      <c r="F258" s="10">
        <v>0</v>
      </c>
      <c r="G258" s="10">
        <v>0</v>
      </c>
      <c r="H258" s="10">
        <v>0</v>
      </c>
      <c r="I258" s="10">
        <v>0</v>
      </c>
      <c r="J258" s="10">
        <v>0</v>
      </c>
      <c r="K258" s="10">
        <v>0</v>
      </c>
      <c r="L258" s="10">
        <v>0</v>
      </c>
      <c r="M258" s="10">
        <v>0</v>
      </c>
      <c r="N258" s="10">
        <v>0</v>
      </c>
      <c r="O258" s="10">
        <v>0</v>
      </c>
      <c r="P258" s="4">
        <v>22403</v>
      </c>
      <c r="Q258" s="4">
        <v>23694</v>
      </c>
      <c r="R258" s="4">
        <v>14381</v>
      </c>
      <c r="S258" s="24">
        <f>SUM(tblSalesData[[#This Row],[FY 2000]:[FY 2012]])</f>
        <v>60478</v>
      </c>
      <c r="T258" s="11">
        <v>9.99</v>
      </c>
      <c r="U258" s="12">
        <f>tblSalesData[[#This Row],[Total Units 
to Date]]*tblSalesData[[#This Row],[Sell Price]]</f>
        <v>604175.22</v>
      </c>
      <c r="V258" s="3"/>
    </row>
    <row r="259" spans="1:22" x14ac:dyDescent="0.2">
      <c r="A259" s="4">
        <v>1042</v>
      </c>
      <c r="B259" s="9" t="s">
        <v>246</v>
      </c>
      <c r="C259" s="4" t="s">
        <v>26</v>
      </c>
      <c r="D259" s="4" t="s">
        <v>27</v>
      </c>
      <c r="E259" s="4" t="s">
        <v>18</v>
      </c>
      <c r="F259" s="10">
        <v>0</v>
      </c>
      <c r="G259" s="10">
        <v>0</v>
      </c>
      <c r="H259" s="10">
        <v>0</v>
      </c>
      <c r="I259" s="10">
        <v>0</v>
      </c>
      <c r="J259" s="10">
        <v>0</v>
      </c>
      <c r="K259" s="10">
        <v>0</v>
      </c>
      <c r="L259" s="10">
        <v>0</v>
      </c>
      <c r="M259" s="10">
        <v>232</v>
      </c>
      <c r="N259" s="10">
        <v>479</v>
      </c>
      <c r="O259" s="10">
        <v>632</v>
      </c>
      <c r="P259" s="4">
        <v>814</v>
      </c>
      <c r="Q259" s="4">
        <v>833</v>
      </c>
      <c r="R259" s="4">
        <v>546</v>
      </c>
      <c r="S259" s="24">
        <f>SUM(tblSalesData[[#This Row],[FY 2000]:[FY 2012]])</f>
        <v>3536</v>
      </c>
      <c r="T259" s="11">
        <v>9.99</v>
      </c>
      <c r="U259" s="12">
        <f>tblSalesData[[#This Row],[Total Units 
to Date]]*tblSalesData[[#This Row],[Sell Price]]</f>
        <v>35324.639999999999</v>
      </c>
      <c r="V259" s="3"/>
    </row>
    <row r="260" spans="1:22" x14ac:dyDescent="0.2">
      <c r="A260" s="4">
        <v>1042</v>
      </c>
      <c r="B260" s="9" t="s">
        <v>247</v>
      </c>
      <c r="C260" s="4" t="s">
        <v>26</v>
      </c>
      <c r="D260" s="4" t="s">
        <v>28</v>
      </c>
      <c r="E260" s="4" t="s">
        <v>16</v>
      </c>
      <c r="F260" s="10">
        <v>0</v>
      </c>
      <c r="G260" s="10">
        <v>0</v>
      </c>
      <c r="H260" s="10">
        <v>0</v>
      </c>
      <c r="I260" s="10">
        <v>0</v>
      </c>
      <c r="J260" s="10">
        <v>0</v>
      </c>
      <c r="K260" s="10">
        <v>0</v>
      </c>
      <c r="L260" s="10">
        <v>0</v>
      </c>
      <c r="M260" s="10">
        <v>0</v>
      </c>
      <c r="N260" s="10">
        <v>415</v>
      </c>
      <c r="O260" s="10">
        <v>552</v>
      </c>
      <c r="P260" s="4">
        <v>958</v>
      </c>
      <c r="Q260" s="4">
        <v>1272</v>
      </c>
      <c r="R260" s="10">
        <v>1544</v>
      </c>
      <c r="S260" s="24">
        <f>SUM(tblSalesData[[#This Row],[FY 2000]:[FY 2012]])</f>
        <v>4741</v>
      </c>
      <c r="T260" s="11">
        <v>1.49</v>
      </c>
      <c r="U260" s="12">
        <f>tblSalesData[[#This Row],[Total Units 
to Date]]*tblSalesData[[#This Row],[Sell Price]]</f>
        <v>7064.09</v>
      </c>
      <c r="V260" s="3"/>
    </row>
    <row r="261" spans="1:22" x14ac:dyDescent="0.2">
      <c r="A261" s="4">
        <v>1042</v>
      </c>
      <c r="B261" s="9" t="s">
        <v>248</v>
      </c>
      <c r="C261" s="4" t="s">
        <v>26</v>
      </c>
      <c r="D261" s="4" t="s">
        <v>28</v>
      </c>
      <c r="E261" s="4" t="s">
        <v>18</v>
      </c>
      <c r="F261" s="10">
        <v>0</v>
      </c>
      <c r="G261" s="10">
        <v>0</v>
      </c>
      <c r="H261" s="10">
        <v>0</v>
      </c>
      <c r="I261" s="10">
        <v>0</v>
      </c>
      <c r="J261" s="10">
        <v>0</v>
      </c>
      <c r="K261" s="10">
        <v>0</v>
      </c>
      <c r="L261" s="10">
        <v>0</v>
      </c>
      <c r="M261" s="10">
        <v>0</v>
      </c>
      <c r="N261" s="10">
        <v>0</v>
      </c>
      <c r="O261" s="10">
        <v>547</v>
      </c>
      <c r="P261" s="4">
        <v>935</v>
      </c>
      <c r="Q261" s="4">
        <v>1240</v>
      </c>
      <c r="R261" s="10">
        <v>1672</v>
      </c>
      <c r="S261" s="24">
        <f>SUM(tblSalesData[[#This Row],[FY 2000]:[FY 2012]])</f>
        <v>4394</v>
      </c>
      <c r="T261" s="11">
        <v>0.99</v>
      </c>
      <c r="U261" s="12">
        <f>tblSalesData[[#This Row],[Total Units 
to Date]]*tblSalesData[[#This Row],[Sell Price]]</f>
        <v>4350.0600000000004</v>
      </c>
      <c r="V261" s="3"/>
    </row>
    <row r="262" spans="1:22" x14ac:dyDescent="0.2">
      <c r="A262" s="4">
        <v>1042</v>
      </c>
      <c r="B262" s="9" t="s">
        <v>249</v>
      </c>
      <c r="C262" s="4" t="s">
        <v>14</v>
      </c>
      <c r="D262" s="4" t="s">
        <v>28</v>
      </c>
      <c r="E262" s="4" t="s">
        <v>16</v>
      </c>
      <c r="F262" s="10">
        <v>0</v>
      </c>
      <c r="G262" s="10">
        <v>0</v>
      </c>
      <c r="H262" s="10">
        <v>0</v>
      </c>
      <c r="I262" s="10">
        <v>0</v>
      </c>
      <c r="J262" s="10">
        <v>0</v>
      </c>
      <c r="K262" s="10">
        <v>0</v>
      </c>
      <c r="L262" s="10">
        <v>0</v>
      </c>
      <c r="M262" s="10">
        <v>0</v>
      </c>
      <c r="N262" s="10">
        <v>0</v>
      </c>
      <c r="O262" s="10">
        <v>0</v>
      </c>
      <c r="P262" s="4">
        <v>22326</v>
      </c>
      <c r="Q262" s="4">
        <v>38127</v>
      </c>
      <c r="R262" s="10">
        <v>46264</v>
      </c>
      <c r="S262" s="24">
        <f>SUM(tblSalesData[[#This Row],[FY 2000]:[FY 2012]])</f>
        <v>106717</v>
      </c>
      <c r="T262" s="11">
        <v>1.49</v>
      </c>
      <c r="U262" s="12">
        <f>tblSalesData[[#This Row],[Total Units 
to Date]]*tblSalesData[[#This Row],[Sell Price]]</f>
        <v>159008.32999999999</v>
      </c>
      <c r="V262" s="3"/>
    </row>
    <row r="263" spans="1:22" x14ac:dyDescent="0.2">
      <c r="A263" s="4">
        <v>1042</v>
      </c>
      <c r="B263" s="9" t="s">
        <v>250</v>
      </c>
      <c r="C263" s="4" t="s">
        <v>26</v>
      </c>
      <c r="D263" s="4" t="s">
        <v>27</v>
      </c>
      <c r="E263" s="4" t="s">
        <v>16</v>
      </c>
      <c r="F263" s="10">
        <v>0</v>
      </c>
      <c r="G263" s="10">
        <v>0</v>
      </c>
      <c r="H263" s="10">
        <v>0</v>
      </c>
      <c r="I263" s="10">
        <v>0</v>
      </c>
      <c r="J263" s="10">
        <v>0</v>
      </c>
      <c r="K263" s="10">
        <v>0</v>
      </c>
      <c r="L263" s="10">
        <v>0</v>
      </c>
      <c r="M263" s="10">
        <v>0</v>
      </c>
      <c r="N263" s="10">
        <v>0</v>
      </c>
      <c r="O263" s="10">
        <v>541</v>
      </c>
      <c r="P263" s="4">
        <v>780</v>
      </c>
      <c r="Q263" s="4">
        <v>809</v>
      </c>
      <c r="R263" s="4">
        <v>560</v>
      </c>
      <c r="S263" s="24">
        <f>SUM(tblSalesData[[#This Row],[FY 2000]:[FY 2012]])</f>
        <v>2690</v>
      </c>
      <c r="T263" s="11">
        <v>11.99</v>
      </c>
      <c r="U263" s="12">
        <f>tblSalesData[[#This Row],[Total Units 
to Date]]*tblSalesData[[#This Row],[Sell Price]]</f>
        <v>32253.100000000002</v>
      </c>
      <c r="V263" s="3"/>
    </row>
    <row r="264" spans="1:22" x14ac:dyDescent="0.2">
      <c r="A264" s="4">
        <v>1042</v>
      </c>
      <c r="B264" s="9" t="s">
        <v>251</v>
      </c>
      <c r="C264" s="4" t="s">
        <v>26</v>
      </c>
      <c r="D264" s="4" t="s">
        <v>28</v>
      </c>
      <c r="E264" s="4" t="s">
        <v>17</v>
      </c>
      <c r="F264" s="10">
        <v>0</v>
      </c>
      <c r="G264" s="10">
        <v>0</v>
      </c>
      <c r="H264" s="10">
        <v>0</v>
      </c>
      <c r="I264" s="10">
        <v>0</v>
      </c>
      <c r="J264" s="10">
        <v>0</v>
      </c>
      <c r="K264" s="10">
        <v>0</v>
      </c>
      <c r="L264" s="10">
        <v>0</v>
      </c>
      <c r="M264" s="10">
        <v>0</v>
      </c>
      <c r="N264" s="10">
        <v>0</v>
      </c>
      <c r="O264" s="10">
        <v>735</v>
      </c>
      <c r="P264" s="4">
        <v>851</v>
      </c>
      <c r="Q264" s="4">
        <v>1265</v>
      </c>
      <c r="R264" s="10">
        <v>1574</v>
      </c>
      <c r="S264" s="24">
        <f>SUM(tblSalesData[[#This Row],[FY 2000]:[FY 2012]])</f>
        <v>4425</v>
      </c>
      <c r="T264" s="11">
        <v>1.99</v>
      </c>
      <c r="U264" s="12">
        <f>tblSalesData[[#This Row],[Total Units 
to Date]]*tblSalesData[[#This Row],[Sell Price]]</f>
        <v>8805.75</v>
      </c>
      <c r="V264" s="3"/>
    </row>
    <row r="265" spans="1:22" x14ac:dyDescent="0.2">
      <c r="A265" s="4">
        <v>1042</v>
      </c>
      <c r="B265" s="9" t="s">
        <v>252</v>
      </c>
      <c r="C265" s="4" t="s">
        <v>26</v>
      </c>
      <c r="D265" s="4" t="s">
        <v>27</v>
      </c>
      <c r="E265" s="4" t="s">
        <v>16</v>
      </c>
      <c r="F265" s="10">
        <v>0</v>
      </c>
      <c r="G265" s="10">
        <v>0</v>
      </c>
      <c r="H265" s="10">
        <v>0</v>
      </c>
      <c r="I265" s="10">
        <v>0</v>
      </c>
      <c r="J265" s="10">
        <v>0</v>
      </c>
      <c r="K265" s="10">
        <v>0</v>
      </c>
      <c r="L265" s="10">
        <v>0</v>
      </c>
      <c r="M265" s="10">
        <v>0</v>
      </c>
      <c r="N265" s="10">
        <v>0</v>
      </c>
      <c r="O265" s="10">
        <v>526</v>
      </c>
      <c r="P265" s="4">
        <v>835</v>
      </c>
      <c r="Q265" s="4">
        <v>810</v>
      </c>
      <c r="R265" s="4">
        <v>555</v>
      </c>
      <c r="S265" s="24">
        <f>SUM(tblSalesData[[#This Row],[FY 2000]:[FY 2012]])</f>
        <v>2726</v>
      </c>
      <c r="T265" s="11">
        <v>11.99</v>
      </c>
      <c r="U265" s="12">
        <f>tblSalesData[[#This Row],[Total Units 
to Date]]*tblSalesData[[#This Row],[Sell Price]]</f>
        <v>32684.74</v>
      </c>
      <c r="V265" s="3"/>
    </row>
    <row r="266" spans="1:22" x14ac:dyDescent="0.2">
      <c r="A266" s="4">
        <v>1042</v>
      </c>
      <c r="B266" s="9" t="s">
        <v>253</v>
      </c>
      <c r="C266" s="4" t="s">
        <v>14</v>
      </c>
      <c r="D266" s="4" t="s">
        <v>28</v>
      </c>
      <c r="E266" s="4" t="s">
        <v>17</v>
      </c>
      <c r="F266" s="10">
        <v>0</v>
      </c>
      <c r="G266" s="10">
        <v>0</v>
      </c>
      <c r="H266" s="10">
        <v>0</v>
      </c>
      <c r="I266" s="10">
        <v>0</v>
      </c>
      <c r="J266" s="10">
        <v>0</v>
      </c>
      <c r="K266" s="10">
        <v>0</v>
      </c>
      <c r="L266" s="10">
        <v>0</v>
      </c>
      <c r="M266" s="10">
        <v>0</v>
      </c>
      <c r="N266" s="10">
        <v>0</v>
      </c>
      <c r="O266" s="10">
        <v>0</v>
      </c>
      <c r="P266" s="4">
        <v>0</v>
      </c>
      <c r="Q266" s="4">
        <v>37214</v>
      </c>
      <c r="R266" s="10">
        <v>53805</v>
      </c>
      <c r="S266" s="24">
        <f>SUM(tblSalesData[[#This Row],[FY 2000]:[FY 2012]])</f>
        <v>91019</v>
      </c>
      <c r="T266" s="11">
        <v>1.99</v>
      </c>
      <c r="U266" s="12">
        <f>tblSalesData[[#This Row],[Total Units 
to Date]]*tblSalesData[[#This Row],[Sell Price]]</f>
        <v>181127.81</v>
      </c>
      <c r="V266" s="3"/>
    </row>
    <row r="267" spans="1:22" x14ac:dyDescent="0.2">
      <c r="A267" s="4">
        <v>1042</v>
      </c>
      <c r="B267" s="9" t="s">
        <v>254</v>
      </c>
      <c r="C267" s="4" t="s">
        <v>15</v>
      </c>
      <c r="D267" s="4" t="s">
        <v>27</v>
      </c>
      <c r="E267" s="4" t="s">
        <v>19</v>
      </c>
      <c r="F267" s="10">
        <v>0</v>
      </c>
      <c r="G267" s="10">
        <v>0</v>
      </c>
      <c r="H267" s="10">
        <v>0</v>
      </c>
      <c r="I267" s="10">
        <v>0</v>
      </c>
      <c r="J267" s="10">
        <v>0</v>
      </c>
      <c r="K267" s="10">
        <v>0</v>
      </c>
      <c r="L267" s="10">
        <v>0</v>
      </c>
      <c r="M267" s="10">
        <v>0</v>
      </c>
      <c r="N267" s="10">
        <v>0</v>
      </c>
      <c r="O267" s="10">
        <v>0</v>
      </c>
      <c r="P267" s="4">
        <v>0</v>
      </c>
      <c r="Q267" s="4">
        <v>0</v>
      </c>
      <c r="R267" s="4">
        <v>15281</v>
      </c>
      <c r="S267" s="24">
        <f>SUM(tblSalesData[[#This Row],[FY 2000]:[FY 2012]])</f>
        <v>15281</v>
      </c>
      <c r="T267" s="11">
        <v>15.99</v>
      </c>
      <c r="U267" s="12">
        <f>tblSalesData[[#This Row],[Total Units 
to Date]]*tblSalesData[[#This Row],[Sell Price]]</f>
        <v>244343.19</v>
      </c>
      <c r="V267" s="3"/>
    </row>
    <row r="268" spans="1:22" x14ac:dyDescent="0.2">
      <c r="A268" s="4">
        <v>1042</v>
      </c>
      <c r="B268" s="9" t="s">
        <v>255</v>
      </c>
      <c r="C268" s="4" t="s">
        <v>15</v>
      </c>
      <c r="D268" s="4" t="s">
        <v>27</v>
      </c>
      <c r="E268" s="4" t="s">
        <v>17</v>
      </c>
      <c r="F268" s="10">
        <v>0</v>
      </c>
      <c r="G268" s="10">
        <v>0</v>
      </c>
      <c r="H268" s="10">
        <v>0</v>
      </c>
      <c r="I268" s="10">
        <v>0</v>
      </c>
      <c r="J268" s="10">
        <v>0</v>
      </c>
      <c r="K268" s="10">
        <v>0</v>
      </c>
      <c r="L268" s="10">
        <v>0</v>
      </c>
      <c r="M268" s="10">
        <v>0</v>
      </c>
      <c r="N268" s="10">
        <v>0</v>
      </c>
      <c r="O268" s="10">
        <v>0</v>
      </c>
      <c r="P268" s="4">
        <v>0</v>
      </c>
      <c r="Q268" s="4">
        <v>0</v>
      </c>
      <c r="R268" s="4">
        <v>16539</v>
      </c>
      <c r="S268" s="24">
        <f>SUM(tblSalesData[[#This Row],[FY 2000]:[FY 2012]])</f>
        <v>16539</v>
      </c>
      <c r="T268" s="11">
        <v>12.99</v>
      </c>
      <c r="U268" s="12">
        <f>tblSalesData[[#This Row],[Total Units 
to Date]]*tblSalesData[[#This Row],[Sell Price]]</f>
        <v>214841.61000000002</v>
      </c>
      <c r="V268" s="3"/>
    </row>
    <row r="269" spans="1:22" x14ac:dyDescent="0.2">
      <c r="A269" s="4">
        <v>1048</v>
      </c>
      <c r="B269" s="9" t="s">
        <v>256</v>
      </c>
      <c r="C269" s="4" t="s">
        <v>15</v>
      </c>
      <c r="D269" s="4" t="s">
        <v>27</v>
      </c>
      <c r="E269" s="4" t="s">
        <v>17</v>
      </c>
      <c r="F269" s="10">
        <v>0</v>
      </c>
      <c r="G269" s="10">
        <v>0</v>
      </c>
      <c r="H269" s="10">
        <v>0</v>
      </c>
      <c r="I269" s="10">
        <v>0</v>
      </c>
      <c r="J269" s="10">
        <v>0</v>
      </c>
      <c r="K269" s="10">
        <v>0</v>
      </c>
      <c r="L269" s="10">
        <v>0</v>
      </c>
      <c r="M269" s="10">
        <v>80356</v>
      </c>
      <c r="N269" s="10">
        <v>10921</v>
      </c>
      <c r="O269" s="10">
        <v>77670</v>
      </c>
      <c r="P269" s="4">
        <v>72875</v>
      </c>
      <c r="Q269" s="4">
        <v>64775</v>
      </c>
      <c r="R269" s="4">
        <v>4601</v>
      </c>
      <c r="S269" s="24">
        <f>SUM(tblSalesData[[#This Row],[FY 2000]:[FY 2012]])</f>
        <v>311198</v>
      </c>
      <c r="T269" s="11">
        <v>12.99</v>
      </c>
      <c r="U269" s="12">
        <f>tblSalesData[[#This Row],[Total Units 
to Date]]*tblSalesData[[#This Row],[Sell Price]]</f>
        <v>4042462.02</v>
      </c>
      <c r="V269" s="3"/>
    </row>
    <row r="270" spans="1:22" x14ac:dyDescent="0.2">
      <c r="A270" s="4">
        <v>1048</v>
      </c>
      <c r="B270" s="9" t="s">
        <v>257</v>
      </c>
      <c r="C270" s="4" t="s">
        <v>14</v>
      </c>
      <c r="D270" s="4" t="s">
        <v>27</v>
      </c>
      <c r="E270" s="4" t="s">
        <v>16</v>
      </c>
      <c r="F270" s="10">
        <v>0</v>
      </c>
      <c r="G270" s="10">
        <v>0</v>
      </c>
      <c r="H270" s="10">
        <v>0</v>
      </c>
      <c r="I270" s="10">
        <v>0</v>
      </c>
      <c r="J270" s="10">
        <v>0</v>
      </c>
      <c r="K270" s="10">
        <v>0</v>
      </c>
      <c r="L270" s="10">
        <v>68194</v>
      </c>
      <c r="M270" s="10">
        <v>70023</v>
      </c>
      <c r="N270" s="10">
        <v>88140</v>
      </c>
      <c r="O270" s="10">
        <v>95730</v>
      </c>
      <c r="P270" s="4">
        <v>29544</v>
      </c>
      <c r="Q270" s="4">
        <v>13728</v>
      </c>
      <c r="R270" s="4">
        <v>29532</v>
      </c>
      <c r="S270" s="24">
        <f>SUM(tblSalesData[[#This Row],[FY 2000]:[FY 2012]])</f>
        <v>394891</v>
      </c>
      <c r="T270" s="11">
        <v>11.99</v>
      </c>
      <c r="U270" s="12">
        <f>tblSalesData[[#This Row],[Total Units 
to Date]]*tblSalesData[[#This Row],[Sell Price]]</f>
        <v>4734743.09</v>
      </c>
      <c r="V270" s="3"/>
    </row>
    <row r="271" spans="1:22" x14ac:dyDescent="0.2">
      <c r="A271" s="4">
        <v>1048</v>
      </c>
      <c r="B271" s="9" t="s">
        <v>257</v>
      </c>
      <c r="C271" s="4" t="s">
        <v>14</v>
      </c>
      <c r="D271" s="4" t="s">
        <v>27</v>
      </c>
      <c r="E271" s="4" t="s">
        <v>17</v>
      </c>
      <c r="F271" s="10">
        <v>0</v>
      </c>
      <c r="G271" s="10">
        <v>0</v>
      </c>
      <c r="H271" s="10">
        <v>0</v>
      </c>
      <c r="I271" s="10">
        <v>0</v>
      </c>
      <c r="J271" s="10">
        <v>0</v>
      </c>
      <c r="K271" s="10">
        <v>93410</v>
      </c>
      <c r="L271" s="10">
        <v>55313</v>
      </c>
      <c r="M271" s="10">
        <v>37670</v>
      </c>
      <c r="N271" s="10">
        <v>65396</v>
      </c>
      <c r="O271" s="10">
        <v>63025</v>
      </c>
      <c r="P271" s="4">
        <v>37004</v>
      </c>
      <c r="Q271" s="4">
        <v>3863</v>
      </c>
      <c r="R271" s="4">
        <v>25930</v>
      </c>
      <c r="S271" s="24">
        <f>SUM(tblSalesData[[#This Row],[FY 2000]:[FY 2012]])</f>
        <v>381611</v>
      </c>
      <c r="T271" s="11">
        <v>12.99</v>
      </c>
      <c r="U271" s="12">
        <f>tblSalesData[[#This Row],[Total Units 
to Date]]*tblSalesData[[#This Row],[Sell Price]]</f>
        <v>4957126.8899999997</v>
      </c>
      <c r="V271" s="3"/>
    </row>
    <row r="272" spans="1:22" x14ac:dyDescent="0.2">
      <c r="A272" s="4">
        <v>1048</v>
      </c>
      <c r="B272" s="9" t="s">
        <v>257</v>
      </c>
      <c r="C272" s="4" t="s">
        <v>14</v>
      </c>
      <c r="D272" s="4" t="s">
        <v>27</v>
      </c>
      <c r="E272" s="4" t="s">
        <v>19</v>
      </c>
      <c r="F272" s="10">
        <v>0</v>
      </c>
      <c r="G272" s="10">
        <v>0</v>
      </c>
      <c r="H272" s="10">
        <v>0</v>
      </c>
      <c r="I272" s="10">
        <v>0</v>
      </c>
      <c r="J272" s="10">
        <v>0</v>
      </c>
      <c r="K272" s="10">
        <v>0</v>
      </c>
      <c r="L272" s="10">
        <v>0</v>
      </c>
      <c r="M272" s="10">
        <v>48270</v>
      </c>
      <c r="N272" s="10">
        <v>26108</v>
      </c>
      <c r="O272" s="10">
        <v>31639</v>
      </c>
      <c r="P272" s="4">
        <v>84387</v>
      </c>
      <c r="Q272" s="4">
        <v>32871</v>
      </c>
      <c r="R272" s="4">
        <v>5811</v>
      </c>
      <c r="S272" s="24">
        <f>SUM(tblSalesData[[#This Row],[FY 2000]:[FY 2012]])</f>
        <v>229086</v>
      </c>
      <c r="T272" s="11">
        <v>15.99</v>
      </c>
      <c r="U272" s="12">
        <f>tblSalesData[[#This Row],[Total Units 
to Date]]*tblSalesData[[#This Row],[Sell Price]]</f>
        <v>3663085.14</v>
      </c>
      <c r="V272" s="3"/>
    </row>
    <row r="273" spans="1:22" x14ac:dyDescent="0.2">
      <c r="A273" s="4">
        <v>1048</v>
      </c>
      <c r="B273" s="9" t="s">
        <v>257</v>
      </c>
      <c r="C273" s="4" t="s">
        <v>14</v>
      </c>
      <c r="D273" s="4" t="s">
        <v>27</v>
      </c>
      <c r="E273" s="4" t="s">
        <v>18</v>
      </c>
      <c r="F273" s="10">
        <v>0</v>
      </c>
      <c r="G273" s="10">
        <v>0</v>
      </c>
      <c r="H273" s="10">
        <v>0</v>
      </c>
      <c r="I273" s="10">
        <v>0</v>
      </c>
      <c r="J273" s="10">
        <v>33856</v>
      </c>
      <c r="K273" s="10">
        <v>68834</v>
      </c>
      <c r="L273" s="10">
        <v>44607</v>
      </c>
      <c r="M273" s="10">
        <v>86450</v>
      </c>
      <c r="N273" s="10">
        <v>16306</v>
      </c>
      <c r="O273" s="10">
        <v>84233</v>
      </c>
      <c r="P273" s="4">
        <v>705</v>
      </c>
      <c r="Q273" s="4">
        <v>44179</v>
      </c>
      <c r="R273" s="4">
        <v>8186</v>
      </c>
      <c r="S273" s="24">
        <f>SUM(tblSalesData[[#This Row],[FY 2000]:[FY 2012]])</f>
        <v>387356</v>
      </c>
      <c r="T273" s="11">
        <v>9.99</v>
      </c>
      <c r="U273" s="12">
        <f>tblSalesData[[#This Row],[Total Units 
to Date]]*tblSalesData[[#This Row],[Sell Price]]</f>
        <v>3869686.44</v>
      </c>
      <c r="V273" s="3"/>
    </row>
    <row r="274" spans="1:22" x14ac:dyDescent="0.2">
      <c r="A274" s="4">
        <v>1048</v>
      </c>
      <c r="B274" s="9" t="s">
        <v>257</v>
      </c>
      <c r="C274" s="4" t="s">
        <v>14</v>
      </c>
      <c r="D274" s="4" t="s">
        <v>28</v>
      </c>
      <c r="E274" s="4" t="s">
        <v>16</v>
      </c>
      <c r="F274" s="10">
        <v>0</v>
      </c>
      <c r="G274" s="10">
        <v>0</v>
      </c>
      <c r="H274" s="10">
        <v>0</v>
      </c>
      <c r="I274" s="10">
        <v>60236</v>
      </c>
      <c r="J274" s="10">
        <v>54580</v>
      </c>
      <c r="K274" s="10">
        <v>4995</v>
      </c>
      <c r="L274" s="10">
        <v>1622</v>
      </c>
      <c r="M274" s="10">
        <v>74520</v>
      </c>
      <c r="N274" s="10">
        <v>85725</v>
      </c>
      <c r="O274" s="10">
        <v>81550</v>
      </c>
      <c r="P274" s="4">
        <v>60956</v>
      </c>
      <c r="Q274" s="4">
        <v>111227</v>
      </c>
      <c r="R274" s="10">
        <v>42882</v>
      </c>
      <c r="S274" s="24">
        <f>SUM(tblSalesData[[#This Row],[FY 2000]:[FY 2012]])</f>
        <v>578293</v>
      </c>
      <c r="T274" s="11">
        <v>1.49</v>
      </c>
      <c r="U274" s="12">
        <f>tblSalesData[[#This Row],[Total Units 
to Date]]*tblSalesData[[#This Row],[Sell Price]]</f>
        <v>861656.57</v>
      </c>
      <c r="V274" s="3"/>
    </row>
    <row r="275" spans="1:22" x14ac:dyDescent="0.2">
      <c r="A275" s="4">
        <v>1048</v>
      </c>
      <c r="B275" s="9" t="s">
        <v>257</v>
      </c>
      <c r="C275" s="4" t="s">
        <v>14</v>
      </c>
      <c r="D275" s="4" t="s">
        <v>28</v>
      </c>
      <c r="E275" s="4" t="s">
        <v>17</v>
      </c>
      <c r="F275" s="10">
        <v>0</v>
      </c>
      <c r="G275" s="10">
        <v>0</v>
      </c>
      <c r="H275" s="10">
        <v>0</v>
      </c>
      <c r="I275" s="10">
        <v>0</v>
      </c>
      <c r="J275" s="10">
        <v>77998</v>
      </c>
      <c r="K275" s="10">
        <v>38314</v>
      </c>
      <c r="L275" s="10">
        <v>67875</v>
      </c>
      <c r="M275" s="10">
        <v>44425</v>
      </c>
      <c r="N275" s="10">
        <v>95363</v>
      </c>
      <c r="O275" s="10">
        <v>12726</v>
      </c>
      <c r="P275" s="4">
        <v>13440</v>
      </c>
      <c r="Q275" s="4">
        <v>25985</v>
      </c>
      <c r="R275" s="10">
        <v>14260</v>
      </c>
      <c r="S275" s="24">
        <f>SUM(tblSalesData[[#This Row],[FY 2000]:[FY 2012]])</f>
        <v>390386</v>
      </c>
      <c r="T275" s="11">
        <v>1.99</v>
      </c>
      <c r="U275" s="12">
        <f>tblSalesData[[#This Row],[Total Units 
to Date]]*tblSalesData[[#This Row],[Sell Price]]</f>
        <v>776868.14</v>
      </c>
      <c r="V275" s="3"/>
    </row>
    <row r="276" spans="1:22" x14ac:dyDescent="0.2">
      <c r="A276" s="4">
        <v>1048</v>
      </c>
      <c r="B276" s="9" t="s">
        <v>257</v>
      </c>
      <c r="C276" s="4" t="s">
        <v>14</v>
      </c>
      <c r="D276" s="4" t="s">
        <v>28</v>
      </c>
      <c r="E276" s="4" t="s">
        <v>19</v>
      </c>
      <c r="F276" s="10">
        <v>0</v>
      </c>
      <c r="G276" s="10">
        <v>0</v>
      </c>
      <c r="H276" s="10">
        <v>0</v>
      </c>
      <c r="I276" s="10">
        <v>968</v>
      </c>
      <c r="J276" s="10">
        <v>47374</v>
      </c>
      <c r="K276" s="10">
        <v>58646</v>
      </c>
      <c r="L276" s="10">
        <v>24363</v>
      </c>
      <c r="M276" s="10">
        <v>61797</v>
      </c>
      <c r="N276" s="10">
        <v>25259</v>
      </c>
      <c r="O276" s="10">
        <v>63561</v>
      </c>
      <c r="P276" s="4">
        <v>37222</v>
      </c>
      <c r="Q276" s="4">
        <v>47750</v>
      </c>
      <c r="R276" s="10">
        <v>73059</v>
      </c>
      <c r="S276" s="24">
        <f>SUM(tblSalesData[[#This Row],[FY 2000]:[FY 2012]])</f>
        <v>439999</v>
      </c>
      <c r="T276" s="11">
        <v>3.99</v>
      </c>
      <c r="U276" s="12">
        <f>tblSalesData[[#This Row],[Total Units 
to Date]]*tblSalesData[[#This Row],[Sell Price]]</f>
        <v>1755596.01</v>
      </c>
      <c r="V276" s="3"/>
    </row>
    <row r="277" spans="1:22" x14ac:dyDescent="0.2">
      <c r="A277" s="4">
        <v>1048</v>
      </c>
      <c r="B277" s="9" t="s">
        <v>258</v>
      </c>
      <c r="C277" s="4" t="s">
        <v>13</v>
      </c>
      <c r="D277" s="4" t="s">
        <v>27</v>
      </c>
      <c r="E277" s="4" t="s">
        <v>19</v>
      </c>
      <c r="F277" s="10">
        <v>0</v>
      </c>
      <c r="G277" s="10">
        <v>47540</v>
      </c>
      <c r="H277" s="10">
        <v>34761</v>
      </c>
      <c r="I277" s="10">
        <v>45961</v>
      </c>
      <c r="J277" s="10">
        <v>22459</v>
      </c>
      <c r="K277" s="10">
        <v>83895</v>
      </c>
      <c r="L277" s="10">
        <v>62613</v>
      </c>
      <c r="M277" s="10">
        <v>50307</v>
      </c>
      <c r="N277" s="10">
        <v>31892</v>
      </c>
      <c r="O277" s="10">
        <v>83350</v>
      </c>
      <c r="P277" s="4">
        <v>9773</v>
      </c>
      <c r="Q277" s="4">
        <v>11444</v>
      </c>
      <c r="R277" s="4">
        <v>21407</v>
      </c>
      <c r="S277" s="24">
        <f>SUM(tblSalesData[[#This Row],[FY 2000]:[FY 2012]])</f>
        <v>505402</v>
      </c>
      <c r="T277" s="11">
        <v>15.99</v>
      </c>
      <c r="U277" s="12">
        <f>tblSalesData[[#This Row],[Total Units 
to Date]]*tblSalesData[[#This Row],[Sell Price]]</f>
        <v>8081377.9800000004</v>
      </c>
      <c r="V277" s="3"/>
    </row>
    <row r="278" spans="1:22" x14ac:dyDescent="0.2">
      <c r="A278" s="4">
        <v>1048</v>
      </c>
      <c r="B278" s="9" t="s">
        <v>259</v>
      </c>
      <c r="C278" s="4" t="s">
        <v>15</v>
      </c>
      <c r="D278" s="4" t="s">
        <v>27</v>
      </c>
      <c r="E278" s="4" t="s">
        <v>16</v>
      </c>
      <c r="F278" s="10">
        <v>0</v>
      </c>
      <c r="G278" s="10">
        <v>0</v>
      </c>
      <c r="H278" s="10">
        <v>0</v>
      </c>
      <c r="I278" s="10">
        <v>0</v>
      </c>
      <c r="J278" s="10">
        <v>0</v>
      </c>
      <c r="K278" s="10">
        <v>0</v>
      </c>
      <c r="L278" s="10">
        <v>0</v>
      </c>
      <c r="M278" s="10">
        <v>34011</v>
      </c>
      <c r="N278" s="10">
        <v>92423</v>
      </c>
      <c r="O278" s="10">
        <v>23247</v>
      </c>
      <c r="P278" s="4">
        <v>33653</v>
      </c>
      <c r="Q278" s="4">
        <v>34570</v>
      </c>
      <c r="R278" s="4">
        <v>31102</v>
      </c>
      <c r="S278" s="24">
        <f>SUM(tblSalesData[[#This Row],[FY 2000]:[FY 2012]])</f>
        <v>249006</v>
      </c>
      <c r="T278" s="11">
        <v>11.99</v>
      </c>
      <c r="U278" s="12">
        <f>tblSalesData[[#This Row],[Total Units 
to Date]]*tblSalesData[[#This Row],[Sell Price]]</f>
        <v>2985581.94</v>
      </c>
      <c r="V278" s="3"/>
    </row>
    <row r="279" spans="1:22" x14ac:dyDescent="0.2">
      <c r="A279" s="4">
        <v>1048</v>
      </c>
      <c r="B279" s="9" t="s">
        <v>260</v>
      </c>
      <c r="C279" s="4" t="s">
        <v>13</v>
      </c>
      <c r="D279" s="4" t="s">
        <v>27</v>
      </c>
      <c r="E279" s="4" t="s">
        <v>17</v>
      </c>
      <c r="F279" s="10">
        <v>0</v>
      </c>
      <c r="G279" s="10">
        <v>86256</v>
      </c>
      <c r="H279" s="10">
        <v>12896</v>
      </c>
      <c r="I279" s="10">
        <v>21074</v>
      </c>
      <c r="J279" s="10">
        <v>20790</v>
      </c>
      <c r="K279" s="10">
        <v>74648</v>
      </c>
      <c r="L279" s="10">
        <v>87397</v>
      </c>
      <c r="M279" s="10">
        <v>79733</v>
      </c>
      <c r="N279" s="10">
        <v>99894</v>
      </c>
      <c r="O279" s="10">
        <v>27827</v>
      </c>
      <c r="P279" s="4">
        <v>15598</v>
      </c>
      <c r="Q279" s="4">
        <v>25522</v>
      </c>
      <c r="R279" s="4">
        <v>7050</v>
      </c>
      <c r="S279" s="24">
        <f>SUM(tblSalesData[[#This Row],[FY 2000]:[FY 2012]])</f>
        <v>558685</v>
      </c>
      <c r="T279" s="11">
        <v>12.99</v>
      </c>
      <c r="U279" s="12">
        <f>tblSalesData[[#This Row],[Total Units 
to Date]]*tblSalesData[[#This Row],[Sell Price]]</f>
        <v>7257318.1500000004</v>
      </c>
      <c r="V279" s="3"/>
    </row>
    <row r="280" spans="1:22" x14ac:dyDescent="0.2">
      <c r="A280" s="4">
        <v>1048</v>
      </c>
      <c r="B280" s="9" t="s">
        <v>260</v>
      </c>
      <c r="C280" s="4" t="s">
        <v>13</v>
      </c>
      <c r="D280" s="4" t="s">
        <v>27</v>
      </c>
      <c r="E280" s="4" t="s">
        <v>19</v>
      </c>
      <c r="F280" s="10">
        <v>0</v>
      </c>
      <c r="G280" s="10">
        <v>45586</v>
      </c>
      <c r="H280" s="10">
        <v>50685</v>
      </c>
      <c r="I280" s="10">
        <v>21462</v>
      </c>
      <c r="J280" s="10">
        <v>1636</v>
      </c>
      <c r="K280" s="10">
        <v>10852</v>
      </c>
      <c r="L280" s="10">
        <v>31803</v>
      </c>
      <c r="M280" s="10">
        <v>17589</v>
      </c>
      <c r="N280" s="10">
        <v>69911</v>
      </c>
      <c r="O280" s="10">
        <v>99323</v>
      </c>
      <c r="P280" s="4">
        <v>76158</v>
      </c>
      <c r="Q280" s="4">
        <v>47676</v>
      </c>
      <c r="R280" s="4">
        <v>18373</v>
      </c>
      <c r="S280" s="24">
        <f>SUM(tblSalesData[[#This Row],[FY 2000]:[FY 2012]])</f>
        <v>491054</v>
      </c>
      <c r="T280" s="11">
        <v>15.99</v>
      </c>
      <c r="U280" s="12">
        <f>tblSalesData[[#This Row],[Total Units 
to Date]]*tblSalesData[[#This Row],[Sell Price]]</f>
        <v>7851953.46</v>
      </c>
      <c r="V280" s="3"/>
    </row>
    <row r="281" spans="1:22" x14ac:dyDescent="0.2">
      <c r="A281" s="4">
        <v>1048</v>
      </c>
      <c r="B281" s="9" t="s">
        <v>260</v>
      </c>
      <c r="C281" s="4" t="s">
        <v>13</v>
      </c>
      <c r="D281" s="4" t="s">
        <v>28</v>
      </c>
      <c r="E281" s="4" t="s">
        <v>16</v>
      </c>
      <c r="F281" s="10">
        <v>0</v>
      </c>
      <c r="G281" s="10">
        <v>36202</v>
      </c>
      <c r="H281" s="10">
        <v>90535</v>
      </c>
      <c r="I281" s="10">
        <v>42433</v>
      </c>
      <c r="J281" s="10">
        <v>85229</v>
      </c>
      <c r="K281" s="10">
        <v>85920</v>
      </c>
      <c r="L281" s="10">
        <v>60924</v>
      </c>
      <c r="M281" s="10">
        <v>18086</v>
      </c>
      <c r="N281" s="10">
        <v>89452</v>
      </c>
      <c r="O281" s="10">
        <v>2599</v>
      </c>
      <c r="P281" s="4">
        <v>35458</v>
      </c>
      <c r="Q281" s="4">
        <v>63761</v>
      </c>
      <c r="R281" s="10">
        <v>55525</v>
      </c>
      <c r="S281" s="24">
        <f>SUM(tblSalesData[[#This Row],[FY 2000]:[FY 2012]])</f>
        <v>666124</v>
      </c>
      <c r="T281" s="11">
        <v>1.49</v>
      </c>
      <c r="U281" s="12">
        <f>tblSalesData[[#This Row],[Total Units 
to Date]]*tblSalesData[[#This Row],[Sell Price]]</f>
        <v>992524.76</v>
      </c>
      <c r="V281" s="3"/>
    </row>
    <row r="282" spans="1:22" x14ac:dyDescent="0.2">
      <c r="A282" s="4">
        <v>1048</v>
      </c>
      <c r="B282" s="9" t="s">
        <v>260</v>
      </c>
      <c r="C282" s="4" t="s">
        <v>13</v>
      </c>
      <c r="D282" s="4" t="s">
        <v>28</v>
      </c>
      <c r="E282" s="4" t="s">
        <v>19</v>
      </c>
      <c r="F282" s="10">
        <v>0</v>
      </c>
      <c r="G282" s="10">
        <v>74831</v>
      </c>
      <c r="H282" s="10">
        <v>85541</v>
      </c>
      <c r="I282" s="10">
        <v>14589</v>
      </c>
      <c r="J282" s="10">
        <v>76066</v>
      </c>
      <c r="K282" s="10">
        <v>45699</v>
      </c>
      <c r="L282" s="10">
        <v>42070</v>
      </c>
      <c r="M282" s="10">
        <v>30381</v>
      </c>
      <c r="N282" s="10">
        <v>42576</v>
      </c>
      <c r="O282" s="10">
        <v>77354</v>
      </c>
      <c r="P282" s="4">
        <v>64545</v>
      </c>
      <c r="Q282" s="4">
        <v>51124</v>
      </c>
      <c r="R282" s="10">
        <v>75549</v>
      </c>
      <c r="S282" s="24">
        <f>SUM(tblSalesData[[#This Row],[FY 2000]:[FY 2012]])</f>
        <v>680325</v>
      </c>
      <c r="T282" s="11">
        <v>3.99</v>
      </c>
      <c r="U282" s="12">
        <f>tblSalesData[[#This Row],[Total Units 
to Date]]*tblSalesData[[#This Row],[Sell Price]]</f>
        <v>2714496.75</v>
      </c>
      <c r="V282" s="3"/>
    </row>
    <row r="283" spans="1:22" x14ac:dyDescent="0.2">
      <c r="A283" s="4">
        <v>1048</v>
      </c>
      <c r="B283" s="9" t="s">
        <v>261</v>
      </c>
      <c r="C283" s="4" t="s">
        <v>13</v>
      </c>
      <c r="D283" s="4" t="s">
        <v>28</v>
      </c>
      <c r="E283" s="4" t="s">
        <v>19</v>
      </c>
      <c r="F283" s="10">
        <v>0</v>
      </c>
      <c r="G283" s="10">
        <v>6936</v>
      </c>
      <c r="H283" s="10">
        <v>81405</v>
      </c>
      <c r="I283" s="10">
        <v>49918</v>
      </c>
      <c r="J283" s="10">
        <v>57109</v>
      </c>
      <c r="K283" s="10">
        <v>39732</v>
      </c>
      <c r="L283" s="10">
        <v>73082</v>
      </c>
      <c r="M283" s="10">
        <v>30638</v>
      </c>
      <c r="N283" s="10">
        <v>52044</v>
      </c>
      <c r="O283" s="10">
        <v>75092</v>
      </c>
      <c r="P283" s="4">
        <v>47899</v>
      </c>
      <c r="Q283" s="4">
        <v>35389</v>
      </c>
      <c r="R283" s="10">
        <v>90864</v>
      </c>
      <c r="S283" s="24">
        <f>SUM(tblSalesData[[#This Row],[FY 2000]:[FY 2012]])</f>
        <v>640108</v>
      </c>
      <c r="T283" s="11">
        <v>3.99</v>
      </c>
      <c r="U283" s="12">
        <f>tblSalesData[[#This Row],[Total Units 
to Date]]*tblSalesData[[#This Row],[Sell Price]]</f>
        <v>2554030.92</v>
      </c>
      <c r="V283" s="3"/>
    </row>
    <row r="284" spans="1:22" x14ac:dyDescent="0.2">
      <c r="A284" s="4">
        <v>1048</v>
      </c>
      <c r="B284" s="9" t="s">
        <v>262</v>
      </c>
      <c r="C284" s="4" t="s">
        <v>26</v>
      </c>
      <c r="D284" s="4" t="s">
        <v>27</v>
      </c>
      <c r="E284" s="4" t="s">
        <v>17</v>
      </c>
      <c r="F284" s="10">
        <v>0</v>
      </c>
      <c r="G284" s="10">
        <v>0</v>
      </c>
      <c r="H284" s="10">
        <v>0</v>
      </c>
      <c r="I284" s="10">
        <v>0</v>
      </c>
      <c r="J284" s="10">
        <v>0</v>
      </c>
      <c r="K284" s="10">
        <v>0</v>
      </c>
      <c r="L284" s="10">
        <v>75034</v>
      </c>
      <c r="M284" s="10">
        <v>39689</v>
      </c>
      <c r="N284" s="10">
        <v>13395</v>
      </c>
      <c r="O284" s="10">
        <v>36513</v>
      </c>
      <c r="P284" s="4">
        <v>66515</v>
      </c>
      <c r="Q284" s="4">
        <v>38585</v>
      </c>
      <c r="R284" s="4">
        <v>22325</v>
      </c>
      <c r="S284" s="24">
        <f>SUM(tblSalesData[[#This Row],[FY 2000]:[FY 2012]])</f>
        <v>292056</v>
      </c>
      <c r="T284" s="11">
        <v>12.99</v>
      </c>
      <c r="U284" s="12">
        <f>tblSalesData[[#This Row],[Total Units 
to Date]]*tblSalesData[[#This Row],[Sell Price]]</f>
        <v>3793807.44</v>
      </c>
      <c r="V284" s="3"/>
    </row>
    <row r="285" spans="1:22" x14ac:dyDescent="0.2">
      <c r="A285" s="4">
        <v>1048</v>
      </c>
      <c r="B285" s="9" t="s">
        <v>262</v>
      </c>
      <c r="C285" s="4" t="s">
        <v>26</v>
      </c>
      <c r="D285" s="4" t="s">
        <v>28</v>
      </c>
      <c r="E285" s="4" t="s">
        <v>19</v>
      </c>
      <c r="F285" s="10">
        <v>0</v>
      </c>
      <c r="G285" s="10">
        <v>0</v>
      </c>
      <c r="H285" s="10">
        <v>0</v>
      </c>
      <c r="I285" s="10">
        <v>0</v>
      </c>
      <c r="J285" s="10">
        <v>0</v>
      </c>
      <c r="K285" s="10">
        <v>0</v>
      </c>
      <c r="L285" s="10">
        <v>0</v>
      </c>
      <c r="M285" s="10">
        <v>83569</v>
      </c>
      <c r="N285" s="10">
        <v>37132</v>
      </c>
      <c r="O285" s="10">
        <v>39085</v>
      </c>
      <c r="P285" s="4">
        <v>10991</v>
      </c>
      <c r="Q285" s="4">
        <v>102229</v>
      </c>
      <c r="R285" s="10">
        <v>52834</v>
      </c>
      <c r="S285" s="24">
        <f>SUM(tblSalesData[[#This Row],[FY 2000]:[FY 2012]])</f>
        <v>325840</v>
      </c>
      <c r="T285" s="11">
        <v>3.99</v>
      </c>
      <c r="U285" s="12">
        <f>tblSalesData[[#This Row],[Total Units 
to Date]]*tblSalesData[[#This Row],[Sell Price]]</f>
        <v>1300101.6000000001</v>
      </c>
      <c r="V285" s="3"/>
    </row>
    <row r="286" spans="1:22" x14ac:dyDescent="0.2">
      <c r="A286" s="4">
        <v>1048</v>
      </c>
      <c r="B286" s="9" t="s">
        <v>263</v>
      </c>
      <c r="C286" s="4" t="s">
        <v>26</v>
      </c>
      <c r="D286" s="4" t="s">
        <v>27</v>
      </c>
      <c r="E286" s="4" t="s">
        <v>17</v>
      </c>
      <c r="F286" s="10">
        <v>0</v>
      </c>
      <c r="G286" s="10">
        <v>0</v>
      </c>
      <c r="H286" s="10">
        <v>0</v>
      </c>
      <c r="I286" s="10">
        <v>0</v>
      </c>
      <c r="J286" s="10">
        <v>0</v>
      </c>
      <c r="K286" s="10">
        <v>0</v>
      </c>
      <c r="L286" s="10">
        <v>0</v>
      </c>
      <c r="M286" s="10">
        <v>0</v>
      </c>
      <c r="N286" s="10">
        <v>5972</v>
      </c>
      <c r="O286" s="10">
        <v>58792</v>
      </c>
      <c r="P286" s="4">
        <v>56606</v>
      </c>
      <c r="Q286" s="4">
        <v>43819</v>
      </c>
      <c r="R286" s="4">
        <v>32777</v>
      </c>
      <c r="S286" s="24">
        <f>SUM(tblSalesData[[#This Row],[FY 2000]:[FY 2012]])</f>
        <v>197966</v>
      </c>
      <c r="T286" s="11">
        <v>12.99</v>
      </c>
      <c r="U286" s="12">
        <f>tblSalesData[[#This Row],[Total Units 
to Date]]*tblSalesData[[#This Row],[Sell Price]]</f>
        <v>2571578.34</v>
      </c>
      <c r="V286" s="3"/>
    </row>
    <row r="287" spans="1:22" x14ac:dyDescent="0.2">
      <c r="A287" s="4">
        <v>1048</v>
      </c>
      <c r="B287" s="9" t="s">
        <v>264</v>
      </c>
      <c r="C287" s="4" t="s">
        <v>26</v>
      </c>
      <c r="D287" s="4" t="s">
        <v>28</v>
      </c>
      <c r="E287" s="4" t="s">
        <v>19</v>
      </c>
      <c r="F287" s="10">
        <v>0</v>
      </c>
      <c r="G287" s="10">
        <v>0</v>
      </c>
      <c r="H287" s="10">
        <v>0</v>
      </c>
      <c r="I287" s="10">
        <v>0</v>
      </c>
      <c r="J287" s="10">
        <v>0</v>
      </c>
      <c r="K287" s="10">
        <v>0</v>
      </c>
      <c r="L287" s="10">
        <v>0</v>
      </c>
      <c r="M287" s="10">
        <v>0</v>
      </c>
      <c r="N287" s="10">
        <v>0</v>
      </c>
      <c r="O287" s="10">
        <v>33226</v>
      </c>
      <c r="P287" s="4">
        <v>3677</v>
      </c>
      <c r="Q287" s="4">
        <v>100915</v>
      </c>
      <c r="R287" s="10">
        <v>83414</v>
      </c>
      <c r="S287" s="24">
        <f>SUM(tblSalesData[[#This Row],[FY 2000]:[FY 2012]])</f>
        <v>221232</v>
      </c>
      <c r="T287" s="11">
        <v>3.99</v>
      </c>
      <c r="U287" s="12">
        <f>tblSalesData[[#This Row],[Total Units 
to Date]]*tblSalesData[[#This Row],[Sell Price]]</f>
        <v>882715.68</v>
      </c>
      <c r="V287" s="3"/>
    </row>
    <row r="288" spans="1:22" x14ac:dyDescent="0.2">
      <c r="A288" s="4">
        <v>1048</v>
      </c>
      <c r="B288" s="9" t="s">
        <v>265</v>
      </c>
      <c r="C288" s="4" t="s">
        <v>26</v>
      </c>
      <c r="D288" s="4" t="s">
        <v>28</v>
      </c>
      <c r="E288" s="4" t="s">
        <v>18</v>
      </c>
      <c r="F288" s="10">
        <v>0</v>
      </c>
      <c r="G288" s="10">
        <v>0</v>
      </c>
      <c r="H288" s="10">
        <v>0</v>
      </c>
      <c r="I288" s="10">
        <v>0</v>
      </c>
      <c r="J288" s="10">
        <v>0</v>
      </c>
      <c r="K288" s="10">
        <v>0</v>
      </c>
      <c r="L288" s="10">
        <v>0</v>
      </c>
      <c r="M288" s="10">
        <v>0</v>
      </c>
      <c r="N288" s="10">
        <v>0</v>
      </c>
      <c r="O288" s="10">
        <v>0</v>
      </c>
      <c r="P288" s="4">
        <v>6441</v>
      </c>
      <c r="Q288" s="4">
        <v>45404</v>
      </c>
      <c r="R288" s="10">
        <v>70616</v>
      </c>
      <c r="S288" s="24">
        <f>SUM(tblSalesData[[#This Row],[FY 2000]:[FY 2012]])</f>
        <v>122461</v>
      </c>
      <c r="T288" s="11">
        <v>0.99</v>
      </c>
      <c r="U288" s="12">
        <f>tblSalesData[[#This Row],[Total Units 
to Date]]*tblSalesData[[#This Row],[Sell Price]]</f>
        <v>121236.39</v>
      </c>
      <c r="V288" s="3"/>
    </row>
    <row r="289" spans="1:22" x14ac:dyDescent="0.2">
      <c r="A289" s="4">
        <v>1048</v>
      </c>
      <c r="B289" s="9" t="s">
        <v>266</v>
      </c>
      <c r="C289" s="4" t="s">
        <v>13</v>
      </c>
      <c r="D289" s="4" t="s">
        <v>27</v>
      </c>
      <c r="E289" s="4" t="s">
        <v>17</v>
      </c>
      <c r="F289" s="10">
        <v>0</v>
      </c>
      <c r="G289" s="10">
        <v>76937</v>
      </c>
      <c r="H289" s="10">
        <v>80426</v>
      </c>
      <c r="I289" s="10">
        <v>94693</v>
      </c>
      <c r="J289" s="10">
        <v>46115</v>
      </c>
      <c r="K289" s="10">
        <v>15248</v>
      </c>
      <c r="L289" s="10">
        <v>61275</v>
      </c>
      <c r="M289" s="10">
        <v>21538</v>
      </c>
      <c r="N289" s="10">
        <v>61746</v>
      </c>
      <c r="O289" s="10">
        <v>38347</v>
      </c>
      <c r="P289" s="4">
        <v>36326</v>
      </c>
      <c r="Q289" s="4">
        <v>6217</v>
      </c>
      <c r="R289" s="4">
        <v>8622</v>
      </c>
      <c r="S289" s="24">
        <f>SUM(tblSalesData[[#This Row],[FY 2000]:[FY 2012]])</f>
        <v>547490</v>
      </c>
      <c r="T289" s="11">
        <v>12.99</v>
      </c>
      <c r="U289" s="12">
        <f>tblSalesData[[#This Row],[Total Units 
to Date]]*tblSalesData[[#This Row],[Sell Price]]</f>
        <v>7111895.1000000006</v>
      </c>
      <c r="V289" s="3"/>
    </row>
    <row r="290" spans="1:22" x14ac:dyDescent="0.2">
      <c r="A290" s="4">
        <v>1049</v>
      </c>
      <c r="B290" s="9" t="s">
        <v>267</v>
      </c>
      <c r="C290" s="4" t="s">
        <v>15</v>
      </c>
      <c r="D290" s="4" t="s">
        <v>27</v>
      </c>
      <c r="E290" s="4" t="s">
        <v>16</v>
      </c>
      <c r="F290" s="10">
        <v>0</v>
      </c>
      <c r="G290" s="10">
        <v>0</v>
      </c>
      <c r="H290" s="10">
        <v>48345</v>
      </c>
      <c r="I290" s="10">
        <v>70388</v>
      </c>
      <c r="J290" s="10">
        <v>87739</v>
      </c>
      <c r="K290" s="10">
        <v>119633</v>
      </c>
      <c r="L290" s="10">
        <v>151345</v>
      </c>
      <c r="M290" s="10">
        <v>248962</v>
      </c>
      <c r="N290" s="10">
        <v>326582</v>
      </c>
      <c r="O290" s="10">
        <v>496843</v>
      </c>
      <c r="P290" s="4">
        <v>772739</v>
      </c>
      <c r="Q290" s="4">
        <v>1026452</v>
      </c>
      <c r="R290" s="4">
        <v>608595</v>
      </c>
      <c r="S290" s="24">
        <f>SUM(tblSalesData[[#This Row],[FY 2000]:[FY 2012]])</f>
        <v>3957623</v>
      </c>
      <c r="T290" s="11">
        <v>11.99</v>
      </c>
      <c r="U290" s="12">
        <f>tblSalesData[[#This Row],[Total Units 
to Date]]*tblSalesData[[#This Row],[Sell Price]]</f>
        <v>47451899.770000003</v>
      </c>
      <c r="V290" s="3"/>
    </row>
    <row r="291" spans="1:22" x14ac:dyDescent="0.2">
      <c r="A291" s="4">
        <v>1049</v>
      </c>
      <c r="B291" s="9" t="s">
        <v>268</v>
      </c>
      <c r="C291" s="4" t="s">
        <v>13</v>
      </c>
      <c r="D291" s="4" t="s">
        <v>27</v>
      </c>
      <c r="E291" s="4" t="s">
        <v>19</v>
      </c>
      <c r="F291" s="10">
        <v>0</v>
      </c>
      <c r="G291" s="10">
        <v>0</v>
      </c>
      <c r="H291" s="10">
        <v>0</v>
      </c>
      <c r="I291" s="10">
        <v>0</v>
      </c>
      <c r="J291" s="10">
        <v>0</v>
      </c>
      <c r="K291" s="10">
        <v>0</v>
      </c>
      <c r="L291" s="10">
        <v>0</v>
      </c>
      <c r="M291" s="10">
        <v>0</v>
      </c>
      <c r="N291" s="10">
        <v>54699</v>
      </c>
      <c r="O291" s="10">
        <v>18022</v>
      </c>
      <c r="P291" s="4">
        <v>7683</v>
      </c>
      <c r="Q291" s="4">
        <v>17074</v>
      </c>
      <c r="R291" s="4">
        <v>19137</v>
      </c>
      <c r="S291" s="24">
        <f>SUM(tblSalesData[[#This Row],[FY 2000]:[FY 2012]])</f>
        <v>116615</v>
      </c>
      <c r="T291" s="11">
        <v>15.99</v>
      </c>
      <c r="U291" s="12">
        <f>tblSalesData[[#This Row],[Total Units 
to Date]]*tblSalesData[[#This Row],[Sell Price]]</f>
        <v>1864673.85</v>
      </c>
      <c r="V291" s="3"/>
    </row>
    <row r="292" spans="1:22" x14ac:dyDescent="0.2">
      <c r="A292" s="4">
        <v>1049</v>
      </c>
      <c r="B292" s="9" t="s">
        <v>269</v>
      </c>
      <c r="C292" s="4" t="s">
        <v>14</v>
      </c>
      <c r="D292" s="4" t="s">
        <v>27</v>
      </c>
      <c r="E292" s="4" t="s">
        <v>19</v>
      </c>
      <c r="F292" s="10">
        <v>0</v>
      </c>
      <c r="G292" s="10">
        <v>0</v>
      </c>
      <c r="H292" s="10">
        <v>0</v>
      </c>
      <c r="I292" s="10">
        <v>0</v>
      </c>
      <c r="J292" s="10">
        <v>0</v>
      </c>
      <c r="K292" s="10">
        <v>0</v>
      </c>
      <c r="L292" s="10">
        <v>0</v>
      </c>
      <c r="M292" s="10">
        <v>0</v>
      </c>
      <c r="N292" s="10">
        <v>0</v>
      </c>
      <c r="O292" s="10">
        <v>54612</v>
      </c>
      <c r="P292" s="4">
        <v>63703</v>
      </c>
      <c r="Q292" s="4">
        <v>4813</v>
      </c>
      <c r="R292" s="4">
        <v>13996</v>
      </c>
      <c r="S292" s="24">
        <f>SUM(tblSalesData[[#This Row],[FY 2000]:[FY 2012]])</f>
        <v>137124</v>
      </c>
      <c r="T292" s="11">
        <v>15.99</v>
      </c>
      <c r="U292" s="12">
        <f>tblSalesData[[#This Row],[Total Units 
to Date]]*tblSalesData[[#This Row],[Sell Price]]</f>
        <v>2192612.7600000002</v>
      </c>
      <c r="V292" s="3"/>
    </row>
    <row r="293" spans="1:22" x14ac:dyDescent="0.2">
      <c r="A293" s="4">
        <v>1049</v>
      </c>
      <c r="B293" s="9" t="s">
        <v>270</v>
      </c>
      <c r="C293" s="4" t="s">
        <v>15</v>
      </c>
      <c r="D293" s="4" t="s">
        <v>28</v>
      </c>
      <c r="E293" s="4" t="s">
        <v>16</v>
      </c>
      <c r="F293" s="10">
        <v>0</v>
      </c>
      <c r="G293" s="10">
        <v>0</v>
      </c>
      <c r="H293" s="10">
        <v>19034</v>
      </c>
      <c r="I293" s="10">
        <v>56576</v>
      </c>
      <c r="J293" s="10">
        <v>86263</v>
      </c>
      <c r="K293" s="10">
        <v>132474</v>
      </c>
      <c r="L293" s="10">
        <v>160122</v>
      </c>
      <c r="M293" s="10">
        <v>203458</v>
      </c>
      <c r="N293" s="10">
        <v>308716</v>
      </c>
      <c r="O293" s="10">
        <v>359264</v>
      </c>
      <c r="P293" s="4">
        <v>1056599</v>
      </c>
      <c r="Q293" s="4">
        <v>1471425</v>
      </c>
      <c r="R293" s="10">
        <v>1892215</v>
      </c>
      <c r="S293" s="24">
        <f>SUM(tblSalesData[[#This Row],[FY 2000]:[FY 2012]])</f>
        <v>5746146</v>
      </c>
      <c r="T293" s="11">
        <v>1.49</v>
      </c>
      <c r="U293" s="12">
        <f>tblSalesData[[#This Row],[Total Units 
to Date]]*tblSalesData[[#This Row],[Sell Price]]</f>
        <v>8561757.5399999991</v>
      </c>
      <c r="V293" s="3"/>
    </row>
    <row r="294" spans="1:22" x14ac:dyDescent="0.2">
      <c r="A294" s="4">
        <v>1049</v>
      </c>
      <c r="B294" s="9" t="s">
        <v>271</v>
      </c>
      <c r="C294" s="4" t="s">
        <v>15</v>
      </c>
      <c r="D294" s="4" t="s">
        <v>27</v>
      </c>
      <c r="E294" s="4" t="s">
        <v>19</v>
      </c>
      <c r="F294" s="10">
        <v>0</v>
      </c>
      <c r="G294" s="10">
        <v>0</v>
      </c>
      <c r="H294" s="10">
        <v>46393</v>
      </c>
      <c r="I294" s="10">
        <v>61275</v>
      </c>
      <c r="J294" s="10">
        <v>94756</v>
      </c>
      <c r="K294" s="10">
        <v>128041</v>
      </c>
      <c r="L294" s="10">
        <v>176947</v>
      </c>
      <c r="M294" s="10">
        <v>235774</v>
      </c>
      <c r="N294" s="10">
        <v>296793</v>
      </c>
      <c r="O294" s="10">
        <v>440997</v>
      </c>
      <c r="P294" s="4">
        <v>539627</v>
      </c>
      <c r="Q294" s="4">
        <v>704029</v>
      </c>
      <c r="R294" s="4">
        <v>637771</v>
      </c>
      <c r="S294" s="24">
        <f>SUM(tblSalesData[[#This Row],[FY 2000]:[FY 2012]])</f>
        <v>3362403</v>
      </c>
      <c r="T294" s="11">
        <v>15.99</v>
      </c>
      <c r="U294" s="12">
        <f>tblSalesData[[#This Row],[Total Units 
to Date]]*tblSalesData[[#This Row],[Sell Price]]</f>
        <v>53764823.969999999</v>
      </c>
      <c r="V294" s="3"/>
    </row>
    <row r="295" spans="1:22" x14ac:dyDescent="0.2">
      <c r="A295" s="4">
        <v>1049</v>
      </c>
      <c r="B295" s="9" t="s">
        <v>272</v>
      </c>
      <c r="C295" s="4" t="s">
        <v>14</v>
      </c>
      <c r="D295" s="4" t="s">
        <v>27</v>
      </c>
      <c r="E295" s="4" t="s">
        <v>19</v>
      </c>
      <c r="F295" s="10">
        <v>0</v>
      </c>
      <c r="G295" s="10">
        <v>0</v>
      </c>
      <c r="H295" s="10">
        <v>0</v>
      </c>
      <c r="I295" s="10">
        <v>0</v>
      </c>
      <c r="J295" s="10">
        <v>0</v>
      </c>
      <c r="K295" s="10">
        <v>0</v>
      </c>
      <c r="L295" s="10">
        <v>0</v>
      </c>
      <c r="M295" s="10">
        <v>0</v>
      </c>
      <c r="N295" s="10">
        <v>0</v>
      </c>
      <c r="O295" s="10">
        <v>25679</v>
      </c>
      <c r="P295" s="4">
        <v>18374</v>
      </c>
      <c r="Q295" s="4">
        <v>41959</v>
      </c>
      <c r="R295" s="4">
        <v>24550</v>
      </c>
      <c r="S295" s="24">
        <f>SUM(tblSalesData[[#This Row],[FY 2000]:[FY 2012]])</f>
        <v>110562</v>
      </c>
      <c r="T295" s="11">
        <v>15.99</v>
      </c>
      <c r="U295" s="12">
        <f>tblSalesData[[#This Row],[Total Units 
to Date]]*tblSalesData[[#This Row],[Sell Price]]</f>
        <v>1767886.3800000001</v>
      </c>
      <c r="V295" s="3"/>
    </row>
    <row r="296" spans="1:22" x14ac:dyDescent="0.2">
      <c r="A296" s="4">
        <v>1049</v>
      </c>
      <c r="B296" s="9" t="s">
        <v>272</v>
      </c>
      <c r="C296" s="4" t="s">
        <v>14</v>
      </c>
      <c r="D296" s="4" t="s">
        <v>27</v>
      </c>
      <c r="E296" s="4" t="s">
        <v>18</v>
      </c>
      <c r="F296" s="10">
        <v>0</v>
      </c>
      <c r="G296" s="10">
        <v>0</v>
      </c>
      <c r="H296" s="10">
        <v>0</v>
      </c>
      <c r="I296" s="10">
        <v>0</v>
      </c>
      <c r="J296" s="10">
        <v>0</v>
      </c>
      <c r="K296" s="10">
        <v>0</v>
      </c>
      <c r="L296" s="10">
        <v>0</v>
      </c>
      <c r="M296" s="10">
        <v>0</v>
      </c>
      <c r="N296" s="10">
        <v>0</v>
      </c>
      <c r="O296" s="10">
        <v>99770</v>
      </c>
      <c r="P296" s="4">
        <v>11021</v>
      </c>
      <c r="Q296" s="4">
        <v>8801</v>
      </c>
      <c r="R296" s="4">
        <v>16793</v>
      </c>
      <c r="S296" s="24">
        <f>SUM(tblSalesData[[#This Row],[FY 2000]:[FY 2012]])</f>
        <v>136385</v>
      </c>
      <c r="T296" s="11">
        <v>9.99</v>
      </c>
      <c r="U296" s="12">
        <f>tblSalesData[[#This Row],[Total Units 
to Date]]*tblSalesData[[#This Row],[Sell Price]]</f>
        <v>1362486.1500000001</v>
      </c>
      <c r="V296" s="3"/>
    </row>
    <row r="297" spans="1:22" x14ac:dyDescent="0.2">
      <c r="A297" s="4">
        <v>1049</v>
      </c>
      <c r="B297" s="9" t="s">
        <v>272</v>
      </c>
      <c r="C297" s="4" t="s">
        <v>14</v>
      </c>
      <c r="D297" s="4" t="s">
        <v>28</v>
      </c>
      <c r="E297" s="4" t="s">
        <v>16</v>
      </c>
      <c r="F297" s="10">
        <v>0</v>
      </c>
      <c r="G297" s="10">
        <v>0</v>
      </c>
      <c r="H297" s="10">
        <v>0</v>
      </c>
      <c r="I297" s="10">
        <v>0</v>
      </c>
      <c r="J297" s="10">
        <v>0</v>
      </c>
      <c r="K297" s="10">
        <v>0</v>
      </c>
      <c r="L297" s="10">
        <v>0</v>
      </c>
      <c r="M297" s="10">
        <v>0</v>
      </c>
      <c r="N297" s="10">
        <v>0</v>
      </c>
      <c r="O297" s="10">
        <v>1600</v>
      </c>
      <c r="P297" s="4">
        <v>74890</v>
      </c>
      <c r="Q297" s="4">
        <v>81530</v>
      </c>
      <c r="R297" s="10">
        <v>10481</v>
      </c>
      <c r="S297" s="24">
        <f>SUM(tblSalesData[[#This Row],[FY 2000]:[FY 2012]])</f>
        <v>168501</v>
      </c>
      <c r="T297" s="11">
        <v>1.49</v>
      </c>
      <c r="U297" s="12">
        <f>tblSalesData[[#This Row],[Total Units 
to Date]]*tblSalesData[[#This Row],[Sell Price]]</f>
        <v>251066.49</v>
      </c>
      <c r="V297" s="3"/>
    </row>
    <row r="298" spans="1:22" x14ac:dyDescent="0.2">
      <c r="A298" s="4">
        <v>1049</v>
      </c>
      <c r="B298" s="9" t="s">
        <v>273</v>
      </c>
      <c r="C298" s="4" t="s">
        <v>15</v>
      </c>
      <c r="D298" s="4" t="s">
        <v>28</v>
      </c>
      <c r="E298" s="4" t="s">
        <v>18</v>
      </c>
      <c r="F298" s="10">
        <v>0</v>
      </c>
      <c r="G298" s="10">
        <v>0</v>
      </c>
      <c r="H298" s="10">
        <v>13602</v>
      </c>
      <c r="I298" s="10">
        <v>67140</v>
      </c>
      <c r="J298" s="10">
        <v>92537</v>
      </c>
      <c r="K298" s="10">
        <v>117436</v>
      </c>
      <c r="L298" s="10">
        <v>188236</v>
      </c>
      <c r="M298" s="10">
        <v>241486</v>
      </c>
      <c r="N298" s="10">
        <v>260425</v>
      </c>
      <c r="O298" s="10">
        <v>455006</v>
      </c>
      <c r="P298" s="4">
        <v>877921</v>
      </c>
      <c r="Q298" s="4">
        <v>1394023</v>
      </c>
      <c r="R298" s="10">
        <v>1627807</v>
      </c>
      <c r="S298" s="24">
        <f>SUM(tblSalesData[[#This Row],[FY 2000]:[FY 2012]])</f>
        <v>5335619</v>
      </c>
      <c r="T298" s="11">
        <v>0.99</v>
      </c>
      <c r="U298" s="12">
        <f>tblSalesData[[#This Row],[Total Units 
to Date]]*tblSalesData[[#This Row],[Sell Price]]</f>
        <v>5282262.8099999996</v>
      </c>
      <c r="V298" s="3"/>
    </row>
    <row r="299" spans="1:22" x14ac:dyDescent="0.2">
      <c r="A299" s="4">
        <v>1055</v>
      </c>
      <c r="B299" s="9" t="s">
        <v>274</v>
      </c>
      <c r="C299" s="4" t="s">
        <v>26</v>
      </c>
      <c r="D299" s="4" t="s">
        <v>27</v>
      </c>
      <c r="E299" s="4" t="s">
        <v>16</v>
      </c>
      <c r="F299" s="10">
        <v>0</v>
      </c>
      <c r="G299" s="10">
        <v>0</v>
      </c>
      <c r="H299" s="10">
        <v>0</v>
      </c>
      <c r="I299" s="10">
        <v>0</v>
      </c>
      <c r="J299" s="10">
        <v>0</v>
      </c>
      <c r="K299" s="10">
        <v>0</v>
      </c>
      <c r="L299" s="10">
        <v>0</v>
      </c>
      <c r="M299" s="10">
        <v>91892</v>
      </c>
      <c r="N299" s="10">
        <v>87631</v>
      </c>
      <c r="O299" s="10">
        <v>50597</v>
      </c>
      <c r="P299" s="4">
        <v>26952</v>
      </c>
      <c r="Q299" s="4">
        <v>35609</v>
      </c>
      <c r="R299" s="4">
        <v>17647</v>
      </c>
      <c r="S299" s="24">
        <f>SUM(tblSalesData[[#This Row],[FY 2000]:[FY 2012]])</f>
        <v>310328</v>
      </c>
      <c r="T299" s="11">
        <v>11.99</v>
      </c>
      <c r="U299" s="12">
        <f>tblSalesData[[#This Row],[Total Units 
to Date]]*tblSalesData[[#This Row],[Sell Price]]</f>
        <v>3720832.72</v>
      </c>
      <c r="V299" s="3"/>
    </row>
    <row r="300" spans="1:22" x14ac:dyDescent="0.2">
      <c r="A300" s="4">
        <v>1055</v>
      </c>
      <c r="B300" s="9" t="s">
        <v>274</v>
      </c>
      <c r="C300" s="4" t="s">
        <v>26</v>
      </c>
      <c r="D300" s="4" t="s">
        <v>27</v>
      </c>
      <c r="E300" s="4" t="s">
        <v>17</v>
      </c>
      <c r="F300" s="10">
        <v>0</v>
      </c>
      <c r="G300" s="10">
        <v>0</v>
      </c>
      <c r="H300" s="10">
        <v>0</v>
      </c>
      <c r="I300" s="10">
        <v>0</v>
      </c>
      <c r="J300" s="10">
        <v>0</v>
      </c>
      <c r="K300" s="10">
        <v>0</v>
      </c>
      <c r="L300" s="10">
        <v>0</v>
      </c>
      <c r="M300" s="10">
        <v>94426</v>
      </c>
      <c r="N300" s="10">
        <v>82962</v>
      </c>
      <c r="O300" s="10">
        <v>60071</v>
      </c>
      <c r="P300" s="4">
        <v>19680</v>
      </c>
      <c r="Q300" s="4">
        <v>21017</v>
      </c>
      <c r="R300" s="4">
        <v>29503</v>
      </c>
      <c r="S300" s="24">
        <f>SUM(tblSalesData[[#This Row],[FY 2000]:[FY 2012]])</f>
        <v>307659</v>
      </c>
      <c r="T300" s="11">
        <v>12.99</v>
      </c>
      <c r="U300" s="12">
        <f>tblSalesData[[#This Row],[Total Units 
to Date]]*tblSalesData[[#This Row],[Sell Price]]</f>
        <v>3996490.41</v>
      </c>
      <c r="V300" s="3"/>
    </row>
    <row r="301" spans="1:22" x14ac:dyDescent="0.2">
      <c r="A301" s="4">
        <v>1055</v>
      </c>
      <c r="B301" s="9" t="s">
        <v>274</v>
      </c>
      <c r="C301" s="4" t="s">
        <v>26</v>
      </c>
      <c r="D301" s="4" t="s">
        <v>27</v>
      </c>
      <c r="E301" s="4" t="s">
        <v>19</v>
      </c>
      <c r="F301" s="10">
        <v>0</v>
      </c>
      <c r="G301" s="10">
        <v>0</v>
      </c>
      <c r="H301" s="10">
        <v>0</v>
      </c>
      <c r="I301" s="10">
        <v>0</v>
      </c>
      <c r="J301" s="10">
        <v>0</v>
      </c>
      <c r="K301" s="10">
        <v>0</v>
      </c>
      <c r="L301" s="10">
        <v>0</v>
      </c>
      <c r="M301" s="10">
        <v>78898</v>
      </c>
      <c r="N301" s="10">
        <v>58887</v>
      </c>
      <c r="O301" s="10">
        <v>60178</v>
      </c>
      <c r="P301" s="4">
        <v>16351</v>
      </c>
      <c r="Q301" s="4">
        <v>17231</v>
      </c>
      <c r="R301" s="4">
        <v>5189</v>
      </c>
      <c r="S301" s="24">
        <f>SUM(tblSalesData[[#This Row],[FY 2000]:[FY 2012]])</f>
        <v>236734</v>
      </c>
      <c r="T301" s="11">
        <v>15.99</v>
      </c>
      <c r="U301" s="12">
        <f>tblSalesData[[#This Row],[Total Units 
to Date]]*tblSalesData[[#This Row],[Sell Price]]</f>
        <v>3785376.66</v>
      </c>
      <c r="V301" s="3"/>
    </row>
    <row r="302" spans="1:22" x14ac:dyDescent="0.2">
      <c r="A302" s="4">
        <v>1055</v>
      </c>
      <c r="B302" s="9" t="s">
        <v>274</v>
      </c>
      <c r="C302" s="4" t="s">
        <v>26</v>
      </c>
      <c r="D302" s="4" t="s">
        <v>27</v>
      </c>
      <c r="E302" s="4" t="s">
        <v>18</v>
      </c>
      <c r="F302" s="10">
        <v>0</v>
      </c>
      <c r="G302" s="10">
        <v>0</v>
      </c>
      <c r="H302" s="10">
        <v>0</v>
      </c>
      <c r="I302" s="10">
        <v>0</v>
      </c>
      <c r="J302" s="10">
        <v>0</v>
      </c>
      <c r="K302" s="10">
        <v>0</v>
      </c>
      <c r="L302" s="10">
        <v>0</v>
      </c>
      <c r="M302" s="10">
        <v>68900</v>
      </c>
      <c r="N302" s="10">
        <v>77967</v>
      </c>
      <c r="O302" s="10">
        <v>11036</v>
      </c>
      <c r="P302" s="4">
        <v>71019</v>
      </c>
      <c r="Q302" s="4">
        <v>61014</v>
      </c>
      <c r="R302" s="4">
        <v>26987</v>
      </c>
      <c r="S302" s="24">
        <f>SUM(tblSalesData[[#This Row],[FY 2000]:[FY 2012]])</f>
        <v>316923</v>
      </c>
      <c r="T302" s="11">
        <v>9.99</v>
      </c>
      <c r="U302" s="12">
        <f>tblSalesData[[#This Row],[Total Units 
to Date]]*tblSalesData[[#This Row],[Sell Price]]</f>
        <v>3166060.77</v>
      </c>
      <c r="V302" s="3"/>
    </row>
    <row r="303" spans="1:22" x14ac:dyDescent="0.2">
      <c r="A303" s="4">
        <v>1055</v>
      </c>
      <c r="B303" s="9" t="s">
        <v>274</v>
      </c>
      <c r="C303" s="4" t="s">
        <v>26</v>
      </c>
      <c r="D303" s="4" t="s">
        <v>28</v>
      </c>
      <c r="E303" s="4" t="s">
        <v>16</v>
      </c>
      <c r="F303" s="10">
        <v>0</v>
      </c>
      <c r="G303" s="10">
        <v>0</v>
      </c>
      <c r="H303" s="10">
        <v>0</v>
      </c>
      <c r="I303" s="10">
        <v>0</v>
      </c>
      <c r="J303" s="10">
        <v>0</v>
      </c>
      <c r="K303" s="10">
        <v>0</v>
      </c>
      <c r="L303" s="10">
        <v>0</v>
      </c>
      <c r="M303" s="10">
        <v>31993</v>
      </c>
      <c r="N303" s="10">
        <v>6817</v>
      </c>
      <c r="O303" s="10">
        <v>62842</v>
      </c>
      <c r="P303" s="4">
        <v>107905</v>
      </c>
      <c r="Q303" s="4">
        <v>88608</v>
      </c>
      <c r="R303" s="10">
        <v>66213</v>
      </c>
      <c r="S303" s="24">
        <f>SUM(tblSalesData[[#This Row],[FY 2000]:[FY 2012]])</f>
        <v>364378</v>
      </c>
      <c r="T303" s="11">
        <v>1.49</v>
      </c>
      <c r="U303" s="12">
        <f>tblSalesData[[#This Row],[Total Units 
to Date]]*tblSalesData[[#This Row],[Sell Price]]</f>
        <v>542923.22</v>
      </c>
      <c r="V303" s="3"/>
    </row>
    <row r="304" spans="1:22" x14ac:dyDescent="0.2">
      <c r="A304" s="4">
        <v>1055</v>
      </c>
      <c r="B304" s="9" t="s">
        <v>274</v>
      </c>
      <c r="C304" s="4" t="s">
        <v>26</v>
      </c>
      <c r="D304" s="4" t="s">
        <v>28</v>
      </c>
      <c r="E304" s="4" t="s">
        <v>18</v>
      </c>
      <c r="F304" s="10">
        <v>0</v>
      </c>
      <c r="G304" s="10">
        <v>0</v>
      </c>
      <c r="H304" s="10">
        <v>0</v>
      </c>
      <c r="I304" s="10">
        <v>0</v>
      </c>
      <c r="J304" s="10">
        <v>0</v>
      </c>
      <c r="K304" s="10">
        <v>0</v>
      </c>
      <c r="L304" s="10">
        <v>0</v>
      </c>
      <c r="M304" s="10">
        <v>4250</v>
      </c>
      <c r="N304" s="10">
        <v>26423</v>
      </c>
      <c r="O304" s="10">
        <v>97958</v>
      </c>
      <c r="P304" s="4">
        <v>9684</v>
      </c>
      <c r="Q304" s="4">
        <v>11175</v>
      </c>
      <c r="R304" s="10">
        <v>74430</v>
      </c>
      <c r="S304" s="24">
        <f>SUM(tblSalesData[[#This Row],[FY 2000]:[FY 2012]])</f>
        <v>223920</v>
      </c>
      <c r="T304" s="11">
        <v>0.99</v>
      </c>
      <c r="U304" s="12">
        <f>tblSalesData[[#This Row],[Total Units 
to Date]]*tblSalesData[[#This Row],[Sell Price]]</f>
        <v>221680.8</v>
      </c>
      <c r="V304" s="3"/>
    </row>
    <row r="305" spans="1:22" x14ac:dyDescent="0.2">
      <c r="A305" s="4">
        <v>1055</v>
      </c>
      <c r="B305" s="9" t="s">
        <v>275</v>
      </c>
      <c r="C305" s="4" t="s">
        <v>15</v>
      </c>
      <c r="D305" s="4" t="s">
        <v>27</v>
      </c>
      <c r="E305" s="4" t="s">
        <v>16</v>
      </c>
      <c r="F305" s="10">
        <v>0</v>
      </c>
      <c r="G305" s="10">
        <v>0</v>
      </c>
      <c r="H305" s="10">
        <v>0</v>
      </c>
      <c r="I305" s="10">
        <v>0</v>
      </c>
      <c r="J305" s="10">
        <v>0</v>
      </c>
      <c r="K305" s="10">
        <v>0</v>
      </c>
      <c r="L305" s="10">
        <v>0</v>
      </c>
      <c r="M305" s="10">
        <v>93286</v>
      </c>
      <c r="N305" s="10">
        <v>6568</v>
      </c>
      <c r="O305" s="10">
        <v>92568</v>
      </c>
      <c r="P305" s="4">
        <v>60623</v>
      </c>
      <c r="Q305" s="4">
        <v>49499</v>
      </c>
      <c r="R305" s="4">
        <v>2151</v>
      </c>
      <c r="S305" s="24">
        <f>SUM(tblSalesData[[#This Row],[FY 2000]:[FY 2012]])</f>
        <v>304695</v>
      </c>
      <c r="T305" s="11">
        <v>11.99</v>
      </c>
      <c r="U305" s="12">
        <f>tblSalesData[[#This Row],[Total Units 
to Date]]*tblSalesData[[#This Row],[Sell Price]]</f>
        <v>3653293.0500000003</v>
      </c>
      <c r="V305" s="3"/>
    </row>
    <row r="306" spans="1:22" x14ac:dyDescent="0.2">
      <c r="A306" s="4">
        <v>1055</v>
      </c>
      <c r="B306" s="9" t="s">
        <v>276</v>
      </c>
      <c r="C306" s="4" t="s">
        <v>15</v>
      </c>
      <c r="D306" s="4" t="s">
        <v>28</v>
      </c>
      <c r="E306" s="4" t="s">
        <v>19</v>
      </c>
      <c r="F306" s="10">
        <v>0</v>
      </c>
      <c r="G306" s="10">
        <v>0</v>
      </c>
      <c r="H306" s="10">
        <v>0</v>
      </c>
      <c r="I306" s="10">
        <v>0</v>
      </c>
      <c r="J306" s="10">
        <v>0</v>
      </c>
      <c r="K306" s="10">
        <v>0</v>
      </c>
      <c r="L306" s="10">
        <v>0</v>
      </c>
      <c r="M306" s="10">
        <v>44365</v>
      </c>
      <c r="N306" s="10">
        <v>21996</v>
      </c>
      <c r="O306" s="10">
        <v>5287</v>
      </c>
      <c r="P306" s="4">
        <v>93716</v>
      </c>
      <c r="Q306" s="4">
        <v>5314</v>
      </c>
      <c r="R306" s="10">
        <v>33718</v>
      </c>
      <c r="S306" s="24">
        <f>SUM(tblSalesData[[#This Row],[FY 2000]:[FY 2012]])</f>
        <v>204396</v>
      </c>
      <c r="T306" s="11">
        <v>3.99</v>
      </c>
      <c r="U306" s="12">
        <f>tblSalesData[[#This Row],[Total Units 
to Date]]*tblSalesData[[#This Row],[Sell Price]]</f>
        <v>815540.04</v>
      </c>
      <c r="V306" s="3"/>
    </row>
    <row r="307" spans="1:22" x14ac:dyDescent="0.2">
      <c r="A307" s="4">
        <v>1056</v>
      </c>
      <c r="B307" s="9" t="s">
        <v>277</v>
      </c>
      <c r="C307" s="4" t="s">
        <v>13</v>
      </c>
      <c r="D307" s="4" t="s">
        <v>27</v>
      </c>
      <c r="E307" s="4" t="s">
        <v>18</v>
      </c>
      <c r="F307" s="10">
        <v>0</v>
      </c>
      <c r="G307" s="10">
        <v>0</v>
      </c>
      <c r="H307" s="10">
        <v>0</v>
      </c>
      <c r="I307" s="10">
        <v>0</v>
      </c>
      <c r="J307" s="10">
        <v>0</v>
      </c>
      <c r="K307" s="10">
        <v>0</v>
      </c>
      <c r="L307" s="10">
        <v>0</v>
      </c>
      <c r="M307" s="10">
        <v>0</v>
      </c>
      <c r="N307" s="10">
        <v>0</v>
      </c>
      <c r="O307" s="10">
        <v>0</v>
      </c>
      <c r="P307" s="4">
        <v>88710</v>
      </c>
      <c r="Q307" s="4">
        <v>61481</v>
      </c>
      <c r="R307" s="4">
        <v>14259</v>
      </c>
      <c r="S307" s="24">
        <f>SUM(tblSalesData[[#This Row],[FY 2000]:[FY 2012]])</f>
        <v>164450</v>
      </c>
      <c r="T307" s="11">
        <v>9.99</v>
      </c>
      <c r="U307" s="12">
        <f>tblSalesData[[#This Row],[Total Units 
to Date]]*tblSalesData[[#This Row],[Sell Price]]</f>
        <v>1642855.5</v>
      </c>
      <c r="V307" s="3"/>
    </row>
    <row r="308" spans="1:22" x14ac:dyDescent="0.2">
      <c r="A308" s="4">
        <v>1056</v>
      </c>
      <c r="B308" s="9" t="s">
        <v>278</v>
      </c>
      <c r="C308" s="4" t="s">
        <v>15</v>
      </c>
      <c r="D308" s="4" t="s">
        <v>28</v>
      </c>
      <c r="E308" s="4" t="s">
        <v>17</v>
      </c>
      <c r="F308" s="10">
        <v>0</v>
      </c>
      <c r="G308" s="10">
        <v>0</v>
      </c>
      <c r="H308" s="10">
        <v>0</v>
      </c>
      <c r="I308" s="10">
        <v>0</v>
      </c>
      <c r="J308" s="10">
        <v>0</v>
      </c>
      <c r="K308" s="10">
        <v>0</v>
      </c>
      <c r="L308" s="10">
        <v>0</v>
      </c>
      <c r="M308" s="10">
        <v>0</v>
      </c>
      <c r="N308" s="10">
        <v>0</v>
      </c>
      <c r="O308" s="10">
        <v>0</v>
      </c>
      <c r="P308" s="4">
        <v>73192</v>
      </c>
      <c r="Q308" s="4">
        <v>28249</v>
      </c>
      <c r="R308" s="10">
        <v>12443</v>
      </c>
      <c r="S308" s="24">
        <f>SUM(tblSalesData[[#This Row],[FY 2000]:[FY 2012]])</f>
        <v>113884</v>
      </c>
      <c r="T308" s="11">
        <v>1.99</v>
      </c>
      <c r="U308" s="12">
        <f>tblSalesData[[#This Row],[Total Units 
to Date]]*tblSalesData[[#This Row],[Sell Price]]</f>
        <v>226629.16</v>
      </c>
      <c r="V308" s="3"/>
    </row>
    <row r="309" spans="1:22" x14ac:dyDescent="0.2">
      <c r="A309" s="4">
        <v>1056</v>
      </c>
      <c r="B309" s="9" t="s">
        <v>279</v>
      </c>
      <c r="C309" s="4" t="s">
        <v>26</v>
      </c>
      <c r="D309" s="4" t="s">
        <v>27</v>
      </c>
      <c r="E309" s="4" t="s">
        <v>16</v>
      </c>
      <c r="F309" s="10">
        <v>0</v>
      </c>
      <c r="G309" s="10">
        <v>0</v>
      </c>
      <c r="H309" s="10">
        <v>0</v>
      </c>
      <c r="I309" s="10">
        <v>0</v>
      </c>
      <c r="J309" s="10">
        <v>0</v>
      </c>
      <c r="K309" s="10">
        <v>0</v>
      </c>
      <c r="L309" s="10">
        <v>0</v>
      </c>
      <c r="M309" s="10">
        <v>0</v>
      </c>
      <c r="N309" s="10">
        <v>0</v>
      </c>
      <c r="O309" s="10">
        <v>0</v>
      </c>
      <c r="P309" s="4">
        <v>80540</v>
      </c>
      <c r="Q309" s="4">
        <v>29961</v>
      </c>
      <c r="R309" s="4">
        <v>29228</v>
      </c>
      <c r="S309" s="24">
        <f>SUM(tblSalesData[[#This Row],[FY 2000]:[FY 2012]])</f>
        <v>139729</v>
      </c>
      <c r="T309" s="11">
        <v>11.99</v>
      </c>
      <c r="U309" s="12">
        <f>tblSalesData[[#This Row],[Total Units 
to Date]]*tblSalesData[[#This Row],[Sell Price]]</f>
        <v>1675350.71</v>
      </c>
      <c r="V309" s="3"/>
    </row>
    <row r="310" spans="1:22" x14ac:dyDescent="0.2">
      <c r="A310" s="4">
        <v>1056</v>
      </c>
      <c r="B310" s="9" t="s">
        <v>280</v>
      </c>
      <c r="C310" s="4" t="s">
        <v>15</v>
      </c>
      <c r="D310" s="4" t="s">
        <v>27</v>
      </c>
      <c r="E310" s="4" t="s">
        <v>18</v>
      </c>
      <c r="F310" s="10">
        <v>0</v>
      </c>
      <c r="G310" s="10">
        <v>0</v>
      </c>
      <c r="H310" s="10">
        <v>0</v>
      </c>
      <c r="I310" s="10">
        <v>0</v>
      </c>
      <c r="J310" s="10">
        <v>0</v>
      </c>
      <c r="K310" s="10">
        <v>0</v>
      </c>
      <c r="L310" s="10">
        <v>0</v>
      </c>
      <c r="M310" s="10">
        <v>0</v>
      </c>
      <c r="N310" s="10">
        <v>0</v>
      </c>
      <c r="O310" s="10">
        <v>0</v>
      </c>
      <c r="P310" s="4">
        <v>7684</v>
      </c>
      <c r="Q310" s="4">
        <v>55796</v>
      </c>
      <c r="R310" s="4">
        <v>30959</v>
      </c>
      <c r="S310" s="24">
        <f>SUM(tblSalesData[[#This Row],[FY 2000]:[FY 2012]])</f>
        <v>94439</v>
      </c>
      <c r="T310" s="11">
        <v>9.99</v>
      </c>
      <c r="U310" s="12">
        <f>tblSalesData[[#This Row],[Total Units 
to Date]]*tblSalesData[[#This Row],[Sell Price]]</f>
        <v>943445.61</v>
      </c>
      <c r="V310" s="3"/>
    </row>
    <row r="311" spans="1:22" x14ac:dyDescent="0.2">
      <c r="A311" s="4">
        <v>1056</v>
      </c>
      <c r="B311" s="9" t="s">
        <v>280</v>
      </c>
      <c r="C311" s="4" t="s">
        <v>15</v>
      </c>
      <c r="D311" s="4" t="s">
        <v>27</v>
      </c>
      <c r="E311" s="4" t="s">
        <v>17</v>
      </c>
      <c r="F311" s="10">
        <v>0</v>
      </c>
      <c r="G311" s="10">
        <v>0</v>
      </c>
      <c r="H311" s="10">
        <v>0</v>
      </c>
      <c r="I311" s="10">
        <v>0</v>
      </c>
      <c r="J311" s="10">
        <v>0</v>
      </c>
      <c r="K311" s="10">
        <v>0</v>
      </c>
      <c r="L311" s="10">
        <v>0</v>
      </c>
      <c r="M311" s="10">
        <v>0</v>
      </c>
      <c r="N311" s="10">
        <v>0</v>
      </c>
      <c r="O311" s="10">
        <v>0</v>
      </c>
      <c r="P311" s="4">
        <v>23531</v>
      </c>
      <c r="Q311" s="4">
        <v>23457</v>
      </c>
      <c r="R311" s="4">
        <v>16465</v>
      </c>
      <c r="S311" s="24">
        <f>SUM(tblSalesData[[#This Row],[FY 2000]:[FY 2012]])</f>
        <v>63453</v>
      </c>
      <c r="T311" s="11">
        <v>12.99</v>
      </c>
      <c r="U311" s="12">
        <f>tblSalesData[[#This Row],[Total Units 
to Date]]*tblSalesData[[#This Row],[Sell Price]]</f>
        <v>824254.47</v>
      </c>
      <c r="V311" s="3"/>
    </row>
    <row r="312" spans="1:22" x14ac:dyDescent="0.2">
      <c r="A312" s="4">
        <v>1056</v>
      </c>
      <c r="B312" s="9" t="s">
        <v>280</v>
      </c>
      <c r="C312" s="4" t="s">
        <v>15</v>
      </c>
      <c r="D312" s="4" t="s">
        <v>27</v>
      </c>
      <c r="E312" s="4" t="s">
        <v>19</v>
      </c>
      <c r="F312" s="10">
        <v>0</v>
      </c>
      <c r="G312" s="10">
        <v>0</v>
      </c>
      <c r="H312" s="10">
        <v>0</v>
      </c>
      <c r="I312" s="10">
        <v>0</v>
      </c>
      <c r="J312" s="10">
        <v>0</v>
      </c>
      <c r="K312" s="10">
        <v>0</v>
      </c>
      <c r="L312" s="10">
        <v>0</v>
      </c>
      <c r="M312" s="10">
        <v>0</v>
      </c>
      <c r="N312" s="10">
        <v>0</v>
      </c>
      <c r="O312" s="10">
        <v>0</v>
      </c>
      <c r="P312" s="4">
        <v>76164</v>
      </c>
      <c r="Q312" s="4">
        <v>27539</v>
      </c>
      <c r="R312" s="4">
        <v>31113</v>
      </c>
      <c r="S312" s="24">
        <f>SUM(tblSalesData[[#This Row],[FY 2000]:[FY 2012]])</f>
        <v>134816</v>
      </c>
      <c r="T312" s="11">
        <v>15.99</v>
      </c>
      <c r="U312" s="12">
        <f>tblSalesData[[#This Row],[Total Units 
to Date]]*tblSalesData[[#This Row],[Sell Price]]</f>
        <v>2155707.84</v>
      </c>
      <c r="V312" s="3"/>
    </row>
    <row r="313" spans="1:22" x14ac:dyDescent="0.2">
      <c r="A313" s="4">
        <v>1056</v>
      </c>
      <c r="B313" s="9" t="s">
        <v>280</v>
      </c>
      <c r="C313" s="4" t="s">
        <v>15</v>
      </c>
      <c r="D313" s="4" t="s">
        <v>28</v>
      </c>
      <c r="E313" s="4" t="s">
        <v>18</v>
      </c>
      <c r="F313" s="10">
        <v>0</v>
      </c>
      <c r="G313" s="10">
        <v>0</v>
      </c>
      <c r="H313" s="10">
        <v>0</v>
      </c>
      <c r="I313" s="10">
        <v>0</v>
      </c>
      <c r="J313" s="10">
        <v>0</v>
      </c>
      <c r="K313" s="10">
        <v>0</v>
      </c>
      <c r="L313" s="10">
        <v>0</v>
      </c>
      <c r="M313" s="10">
        <v>0</v>
      </c>
      <c r="N313" s="10">
        <v>0</v>
      </c>
      <c r="O313" s="10">
        <v>0</v>
      </c>
      <c r="P313" s="4">
        <v>58706</v>
      </c>
      <c r="Q313" s="4">
        <v>45693</v>
      </c>
      <c r="R313" s="10">
        <v>67894</v>
      </c>
      <c r="S313" s="24">
        <f>SUM(tblSalesData[[#This Row],[FY 2000]:[FY 2012]])</f>
        <v>172293</v>
      </c>
      <c r="T313" s="11">
        <v>0.99</v>
      </c>
      <c r="U313" s="12">
        <f>tblSalesData[[#This Row],[Total Units 
to Date]]*tblSalesData[[#This Row],[Sell Price]]</f>
        <v>170570.07</v>
      </c>
      <c r="V313" s="3"/>
    </row>
    <row r="314" spans="1:22" x14ac:dyDescent="0.2">
      <c r="A314" s="4">
        <v>1056</v>
      </c>
      <c r="B314" s="9" t="s">
        <v>280</v>
      </c>
      <c r="C314" s="4" t="s">
        <v>15</v>
      </c>
      <c r="D314" s="4" t="s">
        <v>28</v>
      </c>
      <c r="E314" s="4" t="s">
        <v>17</v>
      </c>
      <c r="F314" s="10">
        <v>0</v>
      </c>
      <c r="G314" s="10">
        <v>0</v>
      </c>
      <c r="H314" s="10">
        <v>0</v>
      </c>
      <c r="I314" s="10">
        <v>0</v>
      </c>
      <c r="J314" s="10">
        <v>0</v>
      </c>
      <c r="K314" s="10">
        <v>0</v>
      </c>
      <c r="L314" s="10">
        <v>0</v>
      </c>
      <c r="M314" s="10">
        <v>0</v>
      </c>
      <c r="N314" s="10">
        <v>0</v>
      </c>
      <c r="O314" s="10">
        <v>0</v>
      </c>
      <c r="P314" s="4">
        <v>24340</v>
      </c>
      <c r="Q314" s="4">
        <v>6216</v>
      </c>
      <c r="R314" s="10">
        <v>31890</v>
      </c>
      <c r="S314" s="24">
        <f>SUM(tblSalesData[[#This Row],[FY 2000]:[FY 2012]])</f>
        <v>62446</v>
      </c>
      <c r="T314" s="11">
        <v>1.99</v>
      </c>
      <c r="U314" s="12">
        <f>tblSalesData[[#This Row],[Total Units 
to Date]]*tblSalesData[[#This Row],[Sell Price]]</f>
        <v>124267.54</v>
      </c>
      <c r="V314" s="3"/>
    </row>
    <row r="315" spans="1:22" x14ac:dyDescent="0.2">
      <c r="A315" s="4">
        <v>1056</v>
      </c>
      <c r="B315" s="9" t="s">
        <v>281</v>
      </c>
      <c r="C315" s="4" t="s">
        <v>26</v>
      </c>
      <c r="D315" s="4" t="s">
        <v>27</v>
      </c>
      <c r="E315" s="4" t="s">
        <v>19</v>
      </c>
      <c r="F315" s="10">
        <v>0</v>
      </c>
      <c r="G315" s="10">
        <v>0</v>
      </c>
      <c r="H315" s="10">
        <v>0</v>
      </c>
      <c r="I315" s="10">
        <v>0</v>
      </c>
      <c r="J315" s="10">
        <v>0</v>
      </c>
      <c r="K315" s="10">
        <v>0</v>
      </c>
      <c r="L315" s="10">
        <v>0</v>
      </c>
      <c r="M315" s="10">
        <v>0</v>
      </c>
      <c r="N315" s="10">
        <v>0</v>
      </c>
      <c r="O315" s="10">
        <v>0</v>
      </c>
      <c r="P315" s="4">
        <v>86338</v>
      </c>
      <c r="Q315" s="4">
        <v>20202</v>
      </c>
      <c r="R315" s="4">
        <v>12675</v>
      </c>
      <c r="S315" s="24">
        <f>SUM(tblSalesData[[#This Row],[FY 2000]:[FY 2012]])</f>
        <v>119215</v>
      </c>
      <c r="T315" s="11">
        <v>15.99</v>
      </c>
      <c r="U315" s="12">
        <f>tblSalesData[[#This Row],[Total Units 
to Date]]*tblSalesData[[#This Row],[Sell Price]]</f>
        <v>1906247.85</v>
      </c>
      <c r="V315" s="3"/>
    </row>
    <row r="316" spans="1:22" x14ac:dyDescent="0.2">
      <c r="A316" s="4">
        <v>1056</v>
      </c>
      <c r="B316" s="9" t="s">
        <v>282</v>
      </c>
      <c r="C316" s="4" t="s">
        <v>26</v>
      </c>
      <c r="D316" s="4" t="s">
        <v>27</v>
      </c>
      <c r="E316" s="4" t="s">
        <v>17</v>
      </c>
      <c r="F316" s="10">
        <v>0</v>
      </c>
      <c r="G316" s="10">
        <v>0</v>
      </c>
      <c r="H316" s="10">
        <v>0</v>
      </c>
      <c r="I316" s="10">
        <v>0</v>
      </c>
      <c r="J316" s="10">
        <v>0</v>
      </c>
      <c r="K316" s="10">
        <v>0</v>
      </c>
      <c r="L316" s="10">
        <v>0</v>
      </c>
      <c r="M316" s="10">
        <v>0</v>
      </c>
      <c r="N316" s="10">
        <v>0</v>
      </c>
      <c r="O316" s="10">
        <v>0</v>
      </c>
      <c r="P316" s="4">
        <v>25465</v>
      </c>
      <c r="Q316" s="4">
        <v>40737</v>
      </c>
      <c r="R316" s="4">
        <v>23671</v>
      </c>
      <c r="S316" s="24">
        <f>SUM(tblSalesData[[#This Row],[FY 2000]:[FY 2012]])</f>
        <v>89873</v>
      </c>
      <c r="T316" s="11">
        <v>12.99</v>
      </c>
      <c r="U316" s="12">
        <f>tblSalesData[[#This Row],[Total Units 
to Date]]*tblSalesData[[#This Row],[Sell Price]]</f>
        <v>1167450.27</v>
      </c>
      <c r="V316" s="3"/>
    </row>
    <row r="317" spans="1:22" x14ac:dyDescent="0.2">
      <c r="A317" s="4">
        <v>1056</v>
      </c>
      <c r="B317" s="9" t="s">
        <v>283</v>
      </c>
      <c r="C317" s="4" t="s">
        <v>26</v>
      </c>
      <c r="D317" s="4" t="s">
        <v>28</v>
      </c>
      <c r="E317" s="4" t="s">
        <v>19</v>
      </c>
      <c r="F317" s="10">
        <v>0</v>
      </c>
      <c r="G317" s="10">
        <v>0</v>
      </c>
      <c r="H317" s="10">
        <v>0</v>
      </c>
      <c r="I317" s="10">
        <v>0</v>
      </c>
      <c r="J317" s="10">
        <v>0</v>
      </c>
      <c r="K317" s="10">
        <v>0</v>
      </c>
      <c r="L317" s="10">
        <v>0</v>
      </c>
      <c r="M317" s="10">
        <v>0</v>
      </c>
      <c r="N317" s="10">
        <v>0</v>
      </c>
      <c r="O317" s="10">
        <v>0</v>
      </c>
      <c r="P317" s="4">
        <v>41651</v>
      </c>
      <c r="Q317" s="4">
        <v>1232</v>
      </c>
      <c r="R317" s="10">
        <v>82445</v>
      </c>
      <c r="S317" s="24">
        <f>SUM(tblSalesData[[#This Row],[FY 2000]:[FY 2012]])</f>
        <v>125328</v>
      </c>
      <c r="T317" s="11">
        <v>3.99</v>
      </c>
      <c r="U317" s="12">
        <f>tblSalesData[[#This Row],[Total Units 
to Date]]*tblSalesData[[#This Row],[Sell Price]]</f>
        <v>500058.72000000003</v>
      </c>
      <c r="V317" s="3"/>
    </row>
    <row r="318" spans="1:22" x14ac:dyDescent="0.2">
      <c r="A318" s="4">
        <v>1056</v>
      </c>
      <c r="B318" s="9" t="s">
        <v>284</v>
      </c>
      <c r="C318" s="4" t="s">
        <v>14</v>
      </c>
      <c r="D318" s="4" t="s">
        <v>28</v>
      </c>
      <c r="E318" s="4" t="s">
        <v>19</v>
      </c>
      <c r="F318" s="10">
        <v>0</v>
      </c>
      <c r="G318" s="10">
        <v>0</v>
      </c>
      <c r="H318" s="10">
        <v>0</v>
      </c>
      <c r="I318" s="10">
        <v>0</v>
      </c>
      <c r="J318" s="10">
        <v>0</v>
      </c>
      <c r="K318" s="10">
        <v>0</v>
      </c>
      <c r="L318" s="10">
        <v>0</v>
      </c>
      <c r="M318" s="10">
        <v>0</v>
      </c>
      <c r="N318" s="10">
        <v>0</v>
      </c>
      <c r="O318" s="10">
        <v>0</v>
      </c>
      <c r="P318" s="4">
        <v>59199</v>
      </c>
      <c r="Q318" s="4">
        <v>45837</v>
      </c>
      <c r="R318" s="10">
        <v>13936</v>
      </c>
      <c r="S318" s="24">
        <f>SUM(tblSalesData[[#This Row],[FY 2000]:[FY 2012]])</f>
        <v>118972</v>
      </c>
      <c r="T318" s="11">
        <v>3.99</v>
      </c>
      <c r="U318" s="12">
        <f>tblSalesData[[#This Row],[Total Units 
to Date]]*tblSalesData[[#This Row],[Sell Price]]</f>
        <v>474698.28</v>
      </c>
      <c r="V318" s="3"/>
    </row>
    <row r="319" spans="1:22" x14ac:dyDescent="0.2">
      <c r="A319" s="4">
        <v>1056</v>
      </c>
      <c r="B319" s="9" t="s">
        <v>285</v>
      </c>
      <c r="C319" s="4" t="s">
        <v>13</v>
      </c>
      <c r="D319" s="4" t="s">
        <v>27</v>
      </c>
      <c r="E319" s="4" t="s">
        <v>18</v>
      </c>
      <c r="F319" s="10">
        <v>0</v>
      </c>
      <c r="G319" s="10">
        <v>0</v>
      </c>
      <c r="H319" s="10">
        <v>0</v>
      </c>
      <c r="I319" s="10">
        <v>0</v>
      </c>
      <c r="J319" s="10">
        <v>0</v>
      </c>
      <c r="K319" s="10">
        <v>0</v>
      </c>
      <c r="L319" s="10">
        <v>0</v>
      </c>
      <c r="M319" s="10">
        <v>0</v>
      </c>
      <c r="N319" s="10">
        <v>0</v>
      </c>
      <c r="O319" s="10">
        <v>0</v>
      </c>
      <c r="P319" s="4">
        <v>63786</v>
      </c>
      <c r="Q319" s="4">
        <v>44363</v>
      </c>
      <c r="R319" s="4">
        <v>9787</v>
      </c>
      <c r="S319" s="24">
        <f>SUM(tblSalesData[[#This Row],[FY 2000]:[FY 2012]])</f>
        <v>117936</v>
      </c>
      <c r="T319" s="11">
        <v>9.99</v>
      </c>
      <c r="U319" s="12">
        <f>tblSalesData[[#This Row],[Total Units 
to Date]]*tblSalesData[[#This Row],[Sell Price]]</f>
        <v>1178180.6400000001</v>
      </c>
      <c r="V319" s="3"/>
    </row>
    <row r="320" spans="1:22" x14ac:dyDescent="0.2">
      <c r="A320" s="4">
        <v>1056</v>
      </c>
      <c r="B320" s="9" t="s">
        <v>286</v>
      </c>
      <c r="C320" s="4" t="s">
        <v>13</v>
      </c>
      <c r="D320" s="4" t="s">
        <v>27</v>
      </c>
      <c r="E320" s="4" t="s">
        <v>18</v>
      </c>
      <c r="F320" s="10">
        <v>0</v>
      </c>
      <c r="G320" s="10">
        <v>0</v>
      </c>
      <c r="H320" s="10">
        <v>0</v>
      </c>
      <c r="I320" s="10">
        <v>0</v>
      </c>
      <c r="J320" s="10">
        <v>0</v>
      </c>
      <c r="K320" s="10">
        <v>0</v>
      </c>
      <c r="L320" s="10">
        <v>0</v>
      </c>
      <c r="M320" s="10">
        <v>0</v>
      </c>
      <c r="N320" s="10">
        <v>0</v>
      </c>
      <c r="O320" s="10">
        <v>0</v>
      </c>
      <c r="P320" s="4">
        <v>87086</v>
      </c>
      <c r="Q320" s="4">
        <v>13647</v>
      </c>
      <c r="R320" s="4">
        <v>1482</v>
      </c>
      <c r="S320" s="24">
        <f>SUM(tblSalesData[[#This Row],[FY 2000]:[FY 2012]])</f>
        <v>102215</v>
      </c>
      <c r="T320" s="11">
        <v>9.99</v>
      </c>
      <c r="U320" s="12">
        <f>tblSalesData[[#This Row],[Total Units 
to Date]]*tblSalesData[[#This Row],[Sell Price]]</f>
        <v>1021127.85</v>
      </c>
      <c r="V320" s="3"/>
    </row>
    <row r="321" spans="1:22" x14ac:dyDescent="0.2">
      <c r="A321" s="4">
        <v>1056</v>
      </c>
      <c r="B321" s="9" t="s">
        <v>287</v>
      </c>
      <c r="C321" s="4" t="s">
        <v>13</v>
      </c>
      <c r="D321" s="4" t="s">
        <v>27</v>
      </c>
      <c r="E321" s="4" t="s">
        <v>17</v>
      </c>
      <c r="F321" s="10">
        <v>0</v>
      </c>
      <c r="G321" s="10">
        <v>0</v>
      </c>
      <c r="H321" s="10">
        <v>0</v>
      </c>
      <c r="I321" s="10">
        <v>0</v>
      </c>
      <c r="J321" s="10">
        <v>0</v>
      </c>
      <c r="K321" s="10">
        <v>0</v>
      </c>
      <c r="L321" s="10">
        <v>0</v>
      </c>
      <c r="M321" s="10">
        <v>0</v>
      </c>
      <c r="N321" s="10">
        <v>0</v>
      </c>
      <c r="O321" s="10">
        <v>0</v>
      </c>
      <c r="P321" s="4">
        <v>41014</v>
      </c>
      <c r="Q321" s="4">
        <v>24128</v>
      </c>
      <c r="R321" s="4">
        <v>5181</v>
      </c>
      <c r="S321" s="24">
        <f>SUM(tblSalesData[[#This Row],[FY 2000]:[FY 2012]])</f>
        <v>70323</v>
      </c>
      <c r="T321" s="11">
        <v>12.99</v>
      </c>
      <c r="U321" s="12">
        <f>tblSalesData[[#This Row],[Total Units 
to Date]]*tblSalesData[[#This Row],[Sell Price]]</f>
        <v>913495.77</v>
      </c>
      <c r="V321" s="3"/>
    </row>
    <row r="322" spans="1:22" x14ac:dyDescent="0.2">
      <c r="A322" s="4">
        <v>1056</v>
      </c>
      <c r="B322" s="9" t="s">
        <v>288</v>
      </c>
      <c r="C322" s="4" t="s">
        <v>13</v>
      </c>
      <c r="D322" s="4" t="s">
        <v>28</v>
      </c>
      <c r="E322" s="4" t="s">
        <v>16</v>
      </c>
      <c r="F322" s="10">
        <v>0</v>
      </c>
      <c r="G322" s="10">
        <v>0</v>
      </c>
      <c r="H322" s="10">
        <v>0</v>
      </c>
      <c r="I322" s="10">
        <v>0</v>
      </c>
      <c r="J322" s="10">
        <v>0</v>
      </c>
      <c r="K322" s="10">
        <v>0</v>
      </c>
      <c r="L322" s="10">
        <v>0</v>
      </c>
      <c r="M322" s="10">
        <v>0</v>
      </c>
      <c r="N322" s="10">
        <v>0</v>
      </c>
      <c r="O322" s="10">
        <v>0</v>
      </c>
      <c r="P322" s="4">
        <v>75984</v>
      </c>
      <c r="Q322" s="4">
        <v>22055</v>
      </c>
      <c r="R322" s="10">
        <v>77312</v>
      </c>
      <c r="S322" s="24">
        <f>SUM(tblSalesData[[#This Row],[FY 2000]:[FY 2012]])</f>
        <v>175351</v>
      </c>
      <c r="T322" s="11">
        <v>1.49</v>
      </c>
      <c r="U322" s="12">
        <f>tblSalesData[[#This Row],[Total Units 
to Date]]*tblSalesData[[#This Row],[Sell Price]]</f>
        <v>261272.99</v>
      </c>
      <c r="V322" s="3"/>
    </row>
    <row r="323" spans="1:22" x14ac:dyDescent="0.2">
      <c r="A323" s="4">
        <v>1056</v>
      </c>
      <c r="B323" s="9" t="s">
        <v>289</v>
      </c>
      <c r="C323" s="4" t="s">
        <v>13</v>
      </c>
      <c r="D323" s="4" t="s">
        <v>28</v>
      </c>
      <c r="E323" s="4" t="s">
        <v>18</v>
      </c>
      <c r="F323" s="10">
        <v>0</v>
      </c>
      <c r="G323" s="10">
        <v>0</v>
      </c>
      <c r="H323" s="10">
        <v>0</v>
      </c>
      <c r="I323" s="10">
        <v>0</v>
      </c>
      <c r="J323" s="10">
        <v>0</v>
      </c>
      <c r="K323" s="10">
        <v>0</v>
      </c>
      <c r="L323" s="10">
        <v>0</v>
      </c>
      <c r="M323" s="10">
        <v>0</v>
      </c>
      <c r="N323" s="10">
        <v>0</v>
      </c>
      <c r="O323" s="10">
        <v>0</v>
      </c>
      <c r="P323" s="4">
        <v>106398</v>
      </c>
      <c r="Q323" s="4">
        <v>112855</v>
      </c>
      <c r="R323" s="10">
        <v>41092</v>
      </c>
      <c r="S323" s="24">
        <f>SUM(tblSalesData[[#This Row],[FY 2000]:[FY 2012]])</f>
        <v>260345</v>
      </c>
      <c r="T323" s="11">
        <v>0.99</v>
      </c>
      <c r="U323" s="12">
        <f>tblSalesData[[#This Row],[Total Units 
to Date]]*tblSalesData[[#This Row],[Sell Price]]</f>
        <v>257741.55</v>
      </c>
      <c r="V323" s="3"/>
    </row>
    <row r="324" spans="1:22" x14ac:dyDescent="0.2">
      <c r="A324" s="4">
        <v>1056</v>
      </c>
      <c r="B324" s="9" t="s">
        <v>290</v>
      </c>
      <c r="C324" s="4" t="s">
        <v>26</v>
      </c>
      <c r="D324" s="4" t="s">
        <v>28</v>
      </c>
      <c r="E324" s="4" t="s">
        <v>18</v>
      </c>
      <c r="F324" s="10">
        <v>0</v>
      </c>
      <c r="G324" s="10">
        <v>0</v>
      </c>
      <c r="H324" s="10">
        <v>0</v>
      </c>
      <c r="I324" s="10">
        <v>0</v>
      </c>
      <c r="J324" s="10">
        <v>0</v>
      </c>
      <c r="K324" s="10">
        <v>0</v>
      </c>
      <c r="L324" s="10">
        <v>0</v>
      </c>
      <c r="M324" s="10">
        <v>0</v>
      </c>
      <c r="N324" s="10">
        <v>0</v>
      </c>
      <c r="O324" s="10">
        <v>0</v>
      </c>
      <c r="P324" s="4">
        <v>83108</v>
      </c>
      <c r="Q324" s="4">
        <v>70935</v>
      </c>
      <c r="R324" s="10">
        <v>21992</v>
      </c>
      <c r="S324" s="24">
        <f>SUM(tblSalesData[[#This Row],[FY 2000]:[FY 2012]])</f>
        <v>176035</v>
      </c>
      <c r="T324" s="11">
        <v>0.99</v>
      </c>
      <c r="U324" s="12">
        <f>tblSalesData[[#This Row],[Total Units 
to Date]]*tblSalesData[[#This Row],[Sell Price]]</f>
        <v>174274.65</v>
      </c>
      <c r="V324" s="3"/>
    </row>
    <row r="325" spans="1:22" x14ac:dyDescent="0.2">
      <c r="A325" s="4">
        <v>1056</v>
      </c>
      <c r="B325" s="9" t="s">
        <v>291</v>
      </c>
      <c r="C325" s="4" t="s">
        <v>15</v>
      </c>
      <c r="D325" s="4" t="s">
        <v>27</v>
      </c>
      <c r="E325" s="4" t="s">
        <v>19</v>
      </c>
      <c r="F325" s="10">
        <v>0</v>
      </c>
      <c r="G325" s="10">
        <v>0</v>
      </c>
      <c r="H325" s="10">
        <v>0</v>
      </c>
      <c r="I325" s="10">
        <v>0</v>
      </c>
      <c r="J325" s="10">
        <v>0</v>
      </c>
      <c r="K325" s="10">
        <v>0</v>
      </c>
      <c r="L325" s="10">
        <v>0</v>
      </c>
      <c r="M325" s="10">
        <v>0</v>
      </c>
      <c r="N325" s="10">
        <v>0</v>
      </c>
      <c r="O325" s="10">
        <v>0</v>
      </c>
      <c r="P325" s="4">
        <v>21325</v>
      </c>
      <c r="Q325" s="4">
        <v>18108</v>
      </c>
      <c r="R325" s="4">
        <v>8659</v>
      </c>
      <c r="S325" s="24">
        <f>SUM(tblSalesData[[#This Row],[FY 2000]:[FY 2012]])</f>
        <v>48092</v>
      </c>
      <c r="T325" s="11">
        <v>15.99</v>
      </c>
      <c r="U325" s="12">
        <f>tblSalesData[[#This Row],[Total Units 
to Date]]*tblSalesData[[#This Row],[Sell Price]]</f>
        <v>768991.08</v>
      </c>
      <c r="V325" s="3"/>
    </row>
    <row r="326" spans="1:22" x14ac:dyDescent="0.2">
      <c r="A326" s="4">
        <v>1056</v>
      </c>
      <c r="B326" s="9" t="s">
        <v>292</v>
      </c>
      <c r="C326" s="4" t="s">
        <v>26</v>
      </c>
      <c r="D326" s="4" t="s">
        <v>28</v>
      </c>
      <c r="E326" s="4" t="s">
        <v>19</v>
      </c>
      <c r="F326" s="10">
        <v>0</v>
      </c>
      <c r="G326" s="10">
        <v>0</v>
      </c>
      <c r="H326" s="10">
        <v>0</v>
      </c>
      <c r="I326" s="10">
        <v>0</v>
      </c>
      <c r="J326" s="10">
        <v>0</v>
      </c>
      <c r="K326" s="10">
        <v>0</v>
      </c>
      <c r="L326" s="10">
        <v>0</v>
      </c>
      <c r="M326" s="10">
        <v>0</v>
      </c>
      <c r="N326" s="10">
        <v>0</v>
      </c>
      <c r="O326" s="10">
        <v>0</v>
      </c>
      <c r="P326" s="4">
        <v>48513</v>
      </c>
      <c r="Q326" s="4">
        <v>82197</v>
      </c>
      <c r="R326" s="10">
        <v>3608</v>
      </c>
      <c r="S326" s="24">
        <f>SUM(tblSalesData[[#This Row],[FY 2000]:[FY 2012]])</f>
        <v>134318</v>
      </c>
      <c r="T326" s="11">
        <v>3.99</v>
      </c>
      <c r="U326" s="12">
        <f>tblSalesData[[#This Row],[Total Units 
to Date]]*tblSalesData[[#This Row],[Sell Price]]</f>
        <v>535928.82000000007</v>
      </c>
      <c r="V326" s="3"/>
    </row>
    <row r="327" spans="1:22" x14ac:dyDescent="0.2">
      <c r="A327" s="4">
        <v>1057</v>
      </c>
      <c r="B327" s="9" t="s">
        <v>293</v>
      </c>
      <c r="C327" s="4" t="s">
        <v>13</v>
      </c>
      <c r="D327" s="4" t="s">
        <v>28</v>
      </c>
      <c r="E327" s="4" t="s">
        <v>19</v>
      </c>
      <c r="F327" s="10">
        <v>0</v>
      </c>
      <c r="G327" s="10">
        <v>0</v>
      </c>
      <c r="H327" s="10">
        <v>0</v>
      </c>
      <c r="I327" s="10">
        <v>0</v>
      </c>
      <c r="J327" s="10">
        <v>0</v>
      </c>
      <c r="K327" s="10">
        <v>0</v>
      </c>
      <c r="L327" s="10">
        <v>46540</v>
      </c>
      <c r="M327" s="10">
        <v>73286</v>
      </c>
      <c r="N327" s="10">
        <v>33748</v>
      </c>
      <c r="O327" s="10">
        <v>2219</v>
      </c>
      <c r="P327" s="4">
        <v>78572</v>
      </c>
      <c r="Q327" s="4">
        <v>61439</v>
      </c>
      <c r="R327" s="10">
        <v>64709</v>
      </c>
      <c r="S327" s="24">
        <f>SUM(tblSalesData[[#This Row],[FY 2000]:[FY 2012]])</f>
        <v>360513</v>
      </c>
      <c r="T327" s="11">
        <v>3.99</v>
      </c>
      <c r="U327" s="12">
        <f>tblSalesData[[#This Row],[Total Units 
to Date]]*tblSalesData[[#This Row],[Sell Price]]</f>
        <v>1438446.87</v>
      </c>
      <c r="V327" s="3"/>
    </row>
    <row r="328" spans="1:22" x14ac:dyDescent="0.2">
      <c r="A328" s="4">
        <v>1057</v>
      </c>
      <c r="B328" s="9" t="s">
        <v>294</v>
      </c>
      <c r="C328" s="4" t="s">
        <v>14</v>
      </c>
      <c r="D328" s="4" t="s">
        <v>28</v>
      </c>
      <c r="E328" s="4" t="s">
        <v>18</v>
      </c>
      <c r="F328" s="10">
        <v>0</v>
      </c>
      <c r="G328" s="10">
        <v>0</v>
      </c>
      <c r="H328" s="10">
        <v>0</v>
      </c>
      <c r="I328" s="10">
        <v>0</v>
      </c>
      <c r="J328" s="10">
        <v>23540</v>
      </c>
      <c r="K328" s="10">
        <v>22959</v>
      </c>
      <c r="L328" s="10">
        <v>52784</v>
      </c>
      <c r="M328" s="10">
        <v>31679</v>
      </c>
      <c r="N328" s="10">
        <v>24145</v>
      </c>
      <c r="O328" s="10">
        <v>89525</v>
      </c>
      <c r="P328" s="4">
        <v>14373</v>
      </c>
      <c r="Q328" s="4">
        <v>51318</v>
      </c>
      <c r="R328" s="10">
        <v>97602</v>
      </c>
      <c r="S328" s="24">
        <f>SUM(tblSalesData[[#This Row],[FY 2000]:[FY 2012]])</f>
        <v>407925</v>
      </c>
      <c r="T328" s="11">
        <v>0.99</v>
      </c>
      <c r="U328" s="12">
        <f>tblSalesData[[#This Row],[Total Units 
to Date]]*tblSalesData[[#This Row],[Sell Price]]</f>
        <v>403845.75</v>
      </c>
      <c r="V328" s="3"/>
    </row>
    <row r="329" spans="1:22" x14ac:dyDescent="0.2">
      <c r="A329" s="4">
        <v>1057</v>
      </c>
      <c r="B329" s="9" t="s">
        <v>295</v>
      </c>
      <c r="C329" s="4" t="s">
        <v>15</v>
      </c>
      <c r="D329" s="4" t="s">
        <v>28</v>
      </c>
      <c r="E329" s="4" t="s">
        <v>16</v>
      </c>
      <c r="F329" s="10">
        <v>0</v>
      </c>
      <c r="G329" s="10">
        <v>0</v>
      </c>
      <c r="H329" s="10">
        <v>0</v>
      </c>
      <c r="I329" s="10">
        <v>0</v>
      </c>
      <c r="J329" s="10">
        <v>0</v>
      </c>
      <c r="K329" s="10">
        <v>0</v>
      </c>
      <c r="L329" s="10">
        <v>0</v>
      </c>
      <c r="M329" s="10">
        <v>0</v>
      </c>
      <c r="N329" s="10">
        <v>0</v>
      </c>
      <c r="O329" s="10">
        <v>58590</v>
      </c>
      <c r="P329" s="4">
        <v>105368</v>
      </c>
      <c r="Q329" s="4">
        <v>114700</v>
      </c>
      <c r="R329" s="10">
        <v>71481</v>
      </c>
      <c r="S329" s="24">
        <f>SUM(tblSalesData[[#This Row],[FY 2000]:[FY 2012]])</f>
        <v>350139</v>
      </c>
      <c r="T329" s="11">
        <v>1.49</v>
      </c>
      <c r="U329" s="12">
        <f>tblSalesData[[#This Row],[Total Units 
to Date]]*tblSalesData[[#This Row],[Sell Price]]</f>
        <v>521707.11</v>
      </c>
      <c r="V329" s="3"/>
    </row>
    <row r="330" spans="1:22" x14ac:dyDescent="0.2">
      <c r="A330" s="4">
        <v>1057</v>
      </c>
      <c r="B330" s="9" t="s">
        <v>296</v>
      </c>
      <c r="C330" s="4" t="s">
        <v>15</v>
      </c>
      <c r="D330" s="4" t="s">
        <v>27</v>
      </c>
      <c r="E330" s="4" t="s">
        <v>18</v>
      </c>
      <c r="F330" s="10">
        <v>0</v>
      </c>
      <c r="G330" s="10">
        <v>0</v>
      </c>
      <c r="H330" s="10">
        <v>0</v>
      </c>
      <c r="I330" s="10">
        <v>0</v>
      </c>
      <c r="J330" s="10">
        <v>0</v>
      </c>
      <c r="K330" s="10">
        <v>0</v>
      </c>
      <c r="L330" s="10">
        <v>0</v>
      </c>
      <c r="M330" s="10">
        <v>0</v>
      </c>
      <c r="N330" s="10">
        <v>0</v>
      </c>
      <c r="O330" s="10">
        <v>0</v>
      </c>
      <c r="P330" s="4">
        <v>60225</v>
      </c>
      <c r="Q330" s="4">
        <v>11330</v>
      </c>
      <c r="R330" s="4">
        <v>21855</v>
      </c>
      <c r="S330" s="24">
        <f>SUM(tblSalesData[[#This Row],[FY 2000]:[FY 2012]])</f>
        <v>93410</v>
      </c>
      <c r="T330" s="11">
        <v>9.99</v>
      </c>
      <c r="U330" s="12">
        <f>tblSalesData[[#This Row],[Total Units 
to Date]]*tblSalesData[[#This Row],[Sell Price]]</f>
        <v>933165.9</v>
      </c>
      <c r="V330" s="3"/>
    </row>
    <row r="331" spans="1:22" x14ac:dyDescent="0.2">
      <c r="A331" s="4">
        <v>1057</v>
      </c>
      <c r="B331" s="9" t="s">
        <v>297</v>
      </c>
      <c r="C331" s="4" t="s">
        <v>26</v>
      </c>
      <c r="D331" s="4" t="s">
        <v>28</v>
      </c>
      <c r="E331" s="4" t="s">
        <v>16</v>
      </c>
      <c r="F331" s="10">
        <v>15632</v>
      </c>
      <c r="G331" s="10">
        <v>16785</v>
      </c>
      <c r="H331" s="10">
        <v>17845</v>
      </c>
      <c r="I331" s="10">
        <v>19865</v>
      </c>
      <c r="J331" s="10">
        <v>20134</v>
      </c>
      <c r="K331" s="10">
        <v>22709</v>
      </c>
      <c r="L331" s="10">
        <v>24670</v>
      </c>
      <c r="M331" s="10">
        <v>25797</v>
      </c>
      <c r="N331" s="10">
        <v>26190</v>
      </c>
      <c r="O331" s="10">
        <v>28833</v>
      </c>
      <c r="P331" s="4">
        <v>29803</v>
      </c>
      <c r="Q331" s="4">
        <v>30147</v>
      </c>
      <c r="R331" s="10">
        <v>31246</v>
      </c>
      <c r="S331" s="24">
        <f>SUM(tblSalesData[[#This Row],[FY 2000]:[FY 2012]])</f>
        <v>309656</v>
      </c>
      <c r="T331" s="11">
        <v>1.49</v>
      </c>
      <c r="U331" s="12">
        <f>tblSalesData[[#This Row],[Total Units 
to Date]]*tblSalesData[[#This Row],[Sell Price]]</f>
        <v>461387.44</v>
      </c>
      <c r="V331" s="3"/>
    </row>
    <row r="332" spans="1:22" x14ac:dyDescent="0.2">
      <c r="A332" s="4">
        <v>1057</v>
      </c>
      <c r="B332" s="9" t="s">
        <v>298</v>
      </c>
      <c r="C332" s="4" t="s">
        <v>14</v>
      </c>
      <c r="D332" s="4" t="s">
        <v>28</v>
      </c>
      <c r="E332" s="4" t="s">
        <v>18</v>
      </c>
      <c r="F332" s="10">
        <v>0</v>
      </c>
      <c r="G332" s="10">
        <v>0</v>
      </c>
      <c r="H332" s="10">
        <v>0</v>
      </c>
      <c r="I332" s="10">
        <v>0</v>
      </c>
      <c r="J332" s="10">
        <v>0</v>
      </c>
      <c r="K332" s="10">
        <v>49600</v>
      </c>
      <c r="L332" s="10">
        <v>93660</v>
      </c>
      <c r="M332" s="10">
        <v>93158</v>
      </c>
      <c r="N332" s="10">
        <v>29979</v>
      </c>
      <c r="O332" s="10">
        <v>39268</v>
      </c>
      <c r="P332" s="4">
        <v>97719</v>
      </c>
      <c r="Q332" s="4">
        <v>26789</v>
      </c>
      <c r="R332" s="10">
        <v>33093</v>
      </c>
      <c r="S332" s="24">
        <f>SUM(tblSalesData[[#This Row],[FY 2000]:[FY 2012]])</f>
        <v>463266</v>
      </c>
      <c r="T332" s="11">
        <v>0.99</v>
      </c>
      <c r="U332" s="12">
        <f>tblSalesData[[#This Row],[Total Units 
to Date]]*tblSalesData[[#This Row],[Sell Price]]</f>
        <v>458633.33999999997</v>
      </c>
      <c r="V332" s="3"/>
    </row>
    <row r="333" spans="1:22" x14ac:dyDescent="0.2">
      <c r="A333" s="4">
        <v>1057</v>
      </c>
      <c r="B333" s="9" t="s">
        <v>299</v>
      </c>
      <c r="C333" s="4" t="s">
        <v>26</v>
      </c>
      <c r="D333" s="4" t="s">
        <v>28</v>
      </c>
      <c r="E333" s="4" t="s">
        <v>16</v>
      </c>
      <c r="F333" s="10">
        <v>2764</v>
      </c>
      <c r="G333" s="10">
        <v>47732</v>
      </c>
      <c r="H333" s="10">
        <v>38941</v>
      </c>
      <c r="I333" s="10">
        <v>8431</v>
      </c>
      <c r="J333" s="10">
        <v>23137</v>
      </c>
      <c r="K333" s="10">
        <v>51158</v>
      </c>
      <c r="L333" s="10">
        <v>88513</v>
      </c>
      <c r="M333" s="10">
        <v>33002</v>
      </c>
      <c r="N333" s="10">
        <v>39235</v>
      </c>
      <c r="O333" s="10">
        <v>12453</v>
      </c>
      <c r="P333" s="4">
        <v>37770</v>
      </c>
      <c r="Q333" s="4">
        <v>69546</v>
      </c>
      <c r="R333" s="10">
        <v>91587</v>
      </c>
      <c r="S333" s="24">
        <f>SUM(tblSalesData[[#This Row],[FY 2000]:[FY 2012]])</f>
        <v>544269</v>
      </c>
      <c r="T333" s="11">
        <v>1.49</v>
      </c>
      <c r="U333" s="12">
        <f>tblSalesData[[#This Row],[Total Units 
to Date]]*tblSalesData[[#This Row],[Sell Price]]</f>
        <v>810960.80999999994</v>
      </c>
      <c r="V333" s="3"/>
    </row>
    <row r="334" spans="1:22" x14ac:dyDescent="0.2">
      <c r="A334" s="4">
        <v>1057</v>
      </c>
      <c r="B334" s="9" t="s">
        <v>300</v>
      </c>
      <c r="C334" s="4" t="s">
        <v>13</v>
      </c>
      <c r="D334" s="4" t="s">
        <v>28</v>
      </c>
      <c r="E334" s="4" t="s">
        <v>16</v>
      </c>
      <c r="F334" s="10">
        <v>0</v>
      </c>
      <c r="G334" s="10">
        <v>0</v>
      </c>
      <c r="H334" s="10">
        <v>0</v>
      </c>
      <c r="I334" s="10">
        <v>0</v>
      </c>
      <c r="J334" s="10">
        <v>0</v>
      </c>
      <c r="K334" s="10">
        <v>0</v>
      </c>
      <c r="L334" s="10">
        <v>9299</v>
      </c>
      <c r="M334" s="10">
        <v>51246</v>
      </c>
      <c r="N334" s="10">
        <v>56746</v>
      </c>
      <c r="O334" s="10">
        <v>27494</v>
      </c>
      <c r="P334" s="4">
        <v>18261</v>
      </c>
      <c r="Q334" s="4">
        <v>75443</v>
      </c>
      <c r="R334" s="10">
        <v>49660</v>
      </c>
      <c r="S334" s="24">
        <f>SUM(tblSalesData[[#This Row],[FY 2000]:[FY 2012]])</f>
        <v>288149</v>
      </c>
      <c r="T334" s="11">
        <v>1.49</v>
      </c>
      <c r="U334" s="12">
        <f>tblSalesData[[#This Row],[Total Units 
to Date]]*tblSalesData[[#This Row],[Sell Price]]</f>
        <v>429342.01</v>
      </c>
      <c r="V334" s="3"/>
    </row>
    <row r="335" spans="1:22" x14ac:dyDescent="0.2">
      <c r="A335" s="4">
        <v>1057</v>
      </c>
      <c r="B335" s="9" t="s">
        <v>301</v>
      </c>
      <c r="C335" s="4" t="s">
        <v>26</v>
      </c>
      <c r="D335" s="4" t="s">
        <v>28</v>
      </c>
      <c r="E335" s="4" t="s">
        <v>18</v>
      </c>
      <c r="F335" s="10">
        <v>53896</v>
      </c>
      <c r="G335" s="10">
        <v>79436</v>
      </c>
      <c r="H335" s="10">
        <v>57726</v>
      </c>
      <c r="I335" s="10">
        <v>17394</v>
      </c>
      <c r="J335" s="10">
        <v>47222</v>
      </c>
      <c r="K335" s="10">
        <v>6494</v>
      </c>
      <c r="L335" s="10">
        <v>76910</v>
      </c>
      <c r="M335" s="10">
        <v>46946</v>
      </c>
      <c r="N335" s="10">
        <v>1453</v>
      </c>
      <c r="O335" s="10">
        <v>3007</v>
      </c>
      <c r="P335" s="4">
        <v>32971</v>
      </c>
      <c r="Q335" s="4">
        <v>89708</v>
      </c>
      <c r="R335" s="10">
        <v>33980</v>
      </c>
      <c r="S335" s="24">
        <f>SUM(tblSalesData[[#This Row],[FY 2000]:[FY 2012]])</f>
        <v>547143</v>
      </c>
      <c r="T335" s="11">
        <v>0.99</v>
      </c>
      <c r="U335" s="12">
        <f>tblSalesData[[#This Row],[Total Units 
to Date]]*tblSalesData[[#This Row],[Sell Price]]</f>
        <v>541671.56999999995</v>
      </c>
      <c r="V335" s="3"/>
    </row>
    <row r="336" spans="1:22" x14ac:dyDescent="0.2">
      <c r="A336" s="4">
        <v>1057</v>
      </c>
      <c r="B336" s="9" t="s">
        <v>302</v>
      </c>
      <c r="C336" s="4" t="s">
        <v>15</v>
      </c>
      <c r="D336" s="4" t="s">
        <v>27</v>
      </c>
      <c r="E336" s="4" t="s">
        <v>16</v>
      </c>
      <c r="F336" s="10">
        <v>0</v>
      </c>
      <c r="G336" s="10">
        <v>0</v>
      </c>
      <c r="H336" s="10">
        <v>0</v>
      </c>
      <c r="I336" s="10">
        <v>0</v>
      </c>
      <c r="J336" s="10">
        <v>0</v>
      </c>
      <c r="K336" s="10">
        <v>0</v>
      </c>
      <c r="L336" s="10">
        <v>0</v>
      </c>
      <c r="M336" s="10">
        <v>0</v>
      </c>
      <c r="N336" s="10">
        <v>0</v>
      </c>
      <c r="O336" s="10">
        <v>0</v>
      </c>
      <c r="P336" s="4">
        <v>0</v>
      </c>
      <c r="Q336" s="4">
        <v>66061</v>
      </c>
      <c r="R336" s="4">
        <v>33983</v>
      </c>
      <c r="S336" s="24">
        <f>SUM(tblSalesData[[#This Row],[FY 2000]:[FY 2012]])</f>
        <v>100044</v>
      </c>
      <c r="T336" s="11">
        <v>11.99</v>
      </c>
      <c r="U336" s="12">
        <f>tblSalesData[[#This Row],[Total Units 
to Date]]*tblSalesData[[#This Row],[Sell Price]]</f>
        <v>1199527.56</v>
      </c>
      <c r="V336" s="3"/>
    </row>
    <row r="337" spans="1:22" x14ac:dyDescent="0.2">
      <c r="A337" s="4">
        <v>1057</v>
      </c>
      <c r="B337" s="9" t="s">
        <v>303</v>
      </c>
      <c r="C337" s="4" t="s">
        <v>13</v>
      </c>
      <c r="D337" s="4" t="s">
        <v>28</v>
      </c>
      <c r="E337" s="4" t="s">
        <v>16</v>
      </c>
      <c r="F337" s="10">
        <v>0</v>
      </c>
      <c r="G337" s="10">
        <v>0</v>
      </c>
      <c r="H337" s="10">
        <v>0</v>
      </c>
      <c r="I337" s="10">
        <v>0</v>
      </c>
      <c r="J337" s="10">
        <v>0</v>
      </c>
      <c r="K337" s="10">
        <v>0</v>
      </c>
      <c r="L337" s="10">
        <v>0</v>
      </c>
      <c r="M337" s="10">
        <v>0</v>
      </c>
      <c r="N337" s="10">
        <v>90769</v>
      </c>
      <c r="O337" s="10">
        <v>23643</v>
      </c>
      <c r="P337" s="4">
        <v>63427</v>
      </c>
      <c r="Q337" s="4">
        <v>53298</v>
      </c>
      <c r="R337" s="10">
        <v>37927</v>
      </c>
      <c r="S337" s="24">
        <f>SUM(tblSalesData[[#This Row],[FY 2000]:[FY 2012]])</f>
        <v>269064</v>
      </c>
      <c r="T337" s="11">
        <v>1.49</v>
      </c>
      <c r="U337" s="12">
        <f>tblSalesData[[#This Row],[Total Units 
to Date]]*tblSalesData[[#This Row],[Sell Price]]</f>
        <v>400905.36</v>
      </c>
      <c r="V337" s="3"/>
    </row>
    <row r="338" spans="1:22" x14ac:dyDescent="0.2">
      <c r="A338" s="4">
        <v>1057</v>
      </c>
      <c r="B338" s="9" t="s">
        <v>304</v>
      </c>
      <c r="C338" s="4" t="s">
        <v>13</v>
      </c>
      <c r="D338" s="4" t="s">
        <v>27</v>
      </c>
      <c r="E338" s="4" t="s">
        <v>17</v>
      </c>
      <c r="F338" s="10">
        <v>0</v>
      </c>
      <c r="G338" s="10">
        <v>0</v>
      </c>
      <c r="H338" s="10">
        <v>0</v>
      </c>
      <c r="I338" s="10">
        <v>0</v>
      </c>
      <c r="J338" s="10">
        <v>0</v>
      </c>
      <c r="K338" s="10">
        <v>0</v>
      </c>
      <c r="L338" s="10">
        <v>0</v>
      </c>
      <c r="M338" s="10">
        <v>0</v>
      </c>
      <c r="N338" s="10">
        <v>90323</v>
      </c>
      <c r="O338" s="10">
        <v>78214</v>
      </c>
      <c r="P338" s="4">
        <v>50308</v>
      </c>
      <c r="Q338" s="4">
        <v>32899</v>
      </c>
      <c r="R338" s="4">
        <v>2582</v>
      </c>
      <c r="S338" s="24">
        <f>SUM(tblSalesData[[#This Row],[FY 2000]:[FY 2012]])</f>
        <v>254326</v>
      </c>
      <c r="T338" s="11">
        <v>12.99</v>
      </c>
      <c r="U338" s="12">
        <f>tblSalesData[[#This Row],[Total Units 
to Date]]*tblSalesData[[#This Row],[Sell Price]]</f>
        <v>3303694.74</v>
      </c>
      <c r="V338" s="3"/>
    </row>
    <row r="339" spans="1:22" x14ac:dyDescent="0.2">
      <c r="A339" s="4">
        <v>1057</v>
      </c>
      <c r="B339" s="9" t="s">
        <v>305</v>
      </c>
      <c r="C339" s="4" t="s">
        <v>14</v>
      </c>
      <c r="D339" s="4" t="s">
        <v>28</v>
      </c>
      <c r="E339" s="4" t="s">
        <v>19</v>
      </c>
      <c r="F339" s="10">
        <v>0</v>
      </c>
      <c r="G339" s="10">
        <v>0</v>
      </c>
      <c r="H339" s="10">
        <v>0</v>
      </c>
      <c r="I339" s="10">
        <v>0</v>
      </c>
      <c r="J339" s="10">
        <v>0</v>
      </c>
      <c r="K339" s="10">
        <v>0</v>
      </c>
      <c r="L339" s="10">
        <v>94575</v>
      </c>
      <c r="M339" s="10">
        <v>91872</v>
      </c>
      <c r="N339" s="10">
        <v>79207</v>
      </c>
      <c r="O339" s="10">
        <v>62742</v>
      </c>
      <c r="P339" s="4">
        <v>17954</v>
      </c>
      <c r="Q339" s="4">
        <v>84534</v>
      </c>
      <c r="R339" s="10">
        <v>89648</v>
      </c>
      <c r="S339" s="24">
        <f>SUM(tblSalesData[[#This Row],[FY 2000]:[FY 2012]])</f>
        <v>520532</v>
      </c>
      <c r="T339" s="11">
        <v>3.99</v>
      </c>
      <c r="U339" s="12">
        <f>tblSalesData[[#This Row],[Total Units 
to Date]]*tblSalesData[[#This Row],[Sell Price]]</f>
        <v>2076922.6800000002</v>
      </c>
      <c r="V339" s="3"/>
    </row>
    <row r="340" spans="1:22" x14ac:dyDescent="0.2">
      <c r="A340" s="4">
        <v>1057</v>
      </c>
      <c r="B340" s="9" t="s">
        <v>306</v>
      </c>
      <c r="C340" s="4" t="s">
        <v>13</v>
      </c>
      <c r="D340" s="4" t="s">
        <v>27</v>
      </c>
      <c r="E340" s="4" t="s">
        <v>18</v>
      </c>
      <c r="F340" s="10">
        <v>0</v>
      </c>
      <c r="G340" s="10">
        <v>0</v>
      </c>
      <c r="H340" s="10">
        <v>0</v>
      </c>
      <c r="I340" s="10">
        <v>0</v>
      </c>
      <c r="J340" s="10">
        <v>0</v>
      </c>
      <c r="K340" s="10">
        <v>0</v>
      </c>
      <c r="L340" s="10">
        <v>0</v>
      </c>
      <c r="M340" s="10">
        <v>0</v>
      </c>
      <c r="N340" s="10">
        <v>38390</v>
      </c>
      <c r="O340" s="10">
        <v>98280</v>
      </c>
      <c r="P340" s="4">
        <v>24815</v>
      </c>
      <c r="Q340" s="4">
        <v>18485</v>
      </c>
      <c r="R340" s="4">
        <v>9076</v>
      </c>
      <c r="S340" s="24">
        <f>SUM(tblSalesData[[#This Row],[FY 2000]:[FY 2012]])</f>
        <v>189046</v>
      </c>
      <c r="T340" s="11">
        <v>9.99</v>
      </c>
      <c r="U340" s="12">
        <f>tblSalesData[[#This Row],[Total Units 
to Date]]*tblSalesData[[#This Row],[Sell Price]]</f>
        <v>1888569.54</v>
      </c>
      <c r="V340" s="3"/>
    </row>
    <row r="341" spans="1:22" x14ac:dyDescent="0.2">
      <c r="A341" s="4">
        <v>1057</v>
      </c>
      <c r="B341" s="9" t="s">
        <v>307</v>
      </c>
      <c r="C341" s="4" t="s">
        <v>14</v>
      </c>
      <c r="D341" s="4" t="s">
        <v>27</v>
      </c>
      <c r="E341" s="4" t="s">
        <v>18</v>
      </c>
      <c r="F341" s="10">
        <v>0</v>
      </c>
      <c r="G341" s="10">
        <v>0</v>
      </c>
      <c r="H341" s="10">
        <v>0</v>
      </c>
      <c r="I341" s="10">
        <v>0</v>
      </c>
      <c r="J341" s="10">
        <v>0</v>
      </c>
      <c r="K341" s="10">
        <v>0</v>
      </c>
      <c r="L341" s="10">
        <v>0</v>
      </c>
      <c r="M341" s="10">
        <v>97842</v>
      </c>
      <c r="N341" s="10">
        <v>39772</v>
      </c>
      <c r="O341" s="10">
        <v>38706</v>
      </c>
      <c r="P341" s="4">
        <v>28836</v>
      </c>
      <c r="Q341" s="4">
        <v>46348</v>
      </c>
      <c r="R341" s="4">
        <v>293</v>
      </c>
      <c r="S341" s="24">
        <f>SUM(tblSalesData[[#This Row],[FY 2000]:[FY 2012]])</f>
        <v>251797</v>
      </c>
      <c r="T341" s="11">
        <v>9.99</v>
      </c>
      <c r="U341" s="12">
        <f>tblSalesData[[#This Row],[Total Units 
to Date]]*tblSalesData[[#This Row],[Sell Price]]</f>
        <v>2515452.0300000003</v>
      </c>
      <c r="V341" s="3"/>
    </row>
    <row r="342" spans="1:22" x14ac:dyDescent="0.2">
      <c r="A342" s="4">
        <v>1057</v>
      </c>
      <c r="B342" s="9" t="s">
        <v>308</v>
      </c>
      <c r="C342" s="4" t="s">
        <v>26</v>
      </c>
      <c r="D342" s="4" t="s">
        <v>27</v>
      </c>
      <c r="E342" s="4" t="s">
        <v>16</v>
      </c>
      <c r="F342" s="10">
        <v>86620</v>
      </c>
      <c r="G342" s="10">
        <v>48323</v>
      </c>
      <c r="H342" s="10">
        <v>65067</v>
      </c>
      <c r="I342" s="10">
        <v>93240</v>
      </c>
      <c r="J342" s="10">
        <v>48014</v>
      </c>
      <c r="K342" s="10">
        <v>99370</v>
      </c>
      <c r="L342" s="10">
        <v>38319</v>
      </c>
      <c r="M342" s="10">
        <v>33790</v>
      </c>
      <c r="N342" s="10">
        <v>82639</v>
      </c>
      <c r="O342" s="10">
        <v>27703</v>
      </c>
      <c r="P342" s="4">
        <v>60757</v>
      </c>
      <c r="Q342" s="4">
        <v>43255</v>
      </c>
      <c r="R342" s="4">
        <v>9407</v>
      </c>
      <c r="S342" s="24">
        <f>SUM(tblSalesData[[#This Row],[FY 2000]:[FY 2012]])</f>
        <v>736504</v>
      </c>
      <c r="T342" s="11">
        <v>11.99</v>
      </c>
      <c r="U342" s="12">
        <f>tblSalesData[[#This Row],[Total Units 
to Date]]*tblSalesData[[#This Row],[Sell Price]]</f>
        <v>8830682.9600000009</v>
      </c>
      <c r="V342" s="3"/>
    </row>
    <row r="343" spans="1:22" x14ac:dyDescent="0.2">
      <c r="A343" s="4">
        <v>1057</v>
      </c>
      <c r="B343" s="9" t="s">
        <v>309</v>
      </c>
      <c r="C343" s="4" t="s">
        <v>15</v>
      </c>
      <c r="D343" s="4" t="s">
        <v>28</v>
      </c>
      <c r="E343" s="4" t="s">
        <v>19</v>
      </c>
      <c r="F343" s="10">
        <v>98264</v>
      </c>
      <c r="G343" s="10">
        <v>66526</v>
      </c>
      <c r="H343" s="10">
        <v>29736</v>
      </c>
      <c r="I343" s="10">
        <v>15395</v>
      </c>
      <c r="J343" s="10">
        <v>64053</v>
      </c>
      <c r="K343" s="10">
        <v>67625</v>
      </c>
      <c r="L343" s="10">
        <v>66757</v>
      </c>
      <c r="M343" s="10">
        <v>80534</v>
      </c>
      <c r="N343" s="10">
        <v>23142</v>
      </c>
      <c r="O343" s="10">
        <v>21739</v>
      </c>
      <c r="P343" s="4">
        <v>46397</v>
      </c>
      <c r="Q343" s="4">
        <v>88645</v>
      </c>
      <c r="R343" s="10">
        <v>56559</v>
      </c>
      <c r="S343" s="24">
        <f>SUM(tblSalesData[[#This Row],[FY 2000]:[FY 2012]])</f>
        <v>725372</v>
      </c>
      <c r="T343" s="11">
        <v>3.99</v>
      </c>
      <c r="U343" s="12">
        <f>tblSalesData[[#This Row],[Total Units 
to Date]]*tblSalesData[[#This Row],[Sell Price]]</f>
        <v>2894234.2800000003</v>
      </c>
      <c r="V343" s="3"/>
    </row>
    <row r="344" spans="1:22" x14ac:dyDescent="0.2">
      <c r="A344" s="4">
        <v>1057</v>
      </c>
      <c r="B344" s="9" t="s">
        <v>310</v>
      </c>
      <c r="C344" s="4" t="s">
        <v>13</v>
      </c>
      <c r="D344" s="4" t="s">
        <v>28</v>
      </c>
      <c r="E344" s="4" t="s">
        <v>16</v>
      </c>
      <c r="F344" s="10">
        <v>0</v>
      </c>
      <c r="G344" s="10">
        <v>0</v>
      </c>
      <c r="H344" s="10">
        <v>0</v>
      </c>
      <c r="I344" s="10">
        <v>0</v>
      </c>
      <c r="J344" s="10">
        <v>0</v>
      </c>
      <c r="K344" s="10">
        <v>0</v>
      </c>
      <c r="L344" s="10">
        <v>0</v>
      </c>
      <c r="M344" s="10">
        <v>0</v>
      </c>
      <c r="N344" s="10">
        <v>0</v>
      </c>
      <c r="O344" s="10">
        <v>0</v>
      </c>
      <c r="P344" s="4">
        <v>38176</v>
      </c>
      <c r="Q344" s="4">
        <v>108576</v>
      </c>
      <c r="R344" s="10">
        <v>23309</v>
      </c>
      <c r="S344" s="24">
        <f>SUM(tblSalesData[[#This Row],[FY 2000]:[FY 2012]])</f>
        <v>170061</v>
      </c>
      <c r="T344" s="11">
        <v>1.49</v>
      </c>
      <c r="U344" s="12">
        <f>tblSalesData[[#This Row],[Total Units 
to Date]]*tblSalesData[[#This Row],[Sell Price]]</f>
        <v>253390.88999999998</v>
      </c>
      <c r="V344" s="3"/>
    </row>
    <row r="345" spans="1:22" x14ac:dyDescent="0.2">
      <c r="A345" s="4">
        <v>1057</v>
      </c>
      <c r="B345" s="9" t="s">
        <v>311</v>
      </c>
      <c r="C345" s="4" t="s">
        <v>26</v>
      </c>
      <c r="D345" s="4" t="s">
        <v>27</v>
      </c>
      <c r="E345" s="4" t="s">
        <v>16</v>
      </c>
      <c r="F345" s="10">
        <v>5090</v>
      </c>
      <c r="G345" s="10">
        <v>16589</v>
      </c>
      <c r="H345" s="10">
        <v>93559</v>
      </c>
      <c r="I345" s="10">
        <v>76165</v>
      </c>
      <c r="J345" s="10">
        <v>99104</v>
      </c>
      <c r="K345" s="10">
        <v>13272</v>
      </c>
      <c r="L345" s="10">
        <v>52100</v>
      </c>
      <c r="M345" s="10">
        <v>12109</v>
      </c>
      <c r="N345" s="10">
        <v>52710</v>
      </c>
      <c r="O345" s="10">
        <v>45867</v>
      </c>
      <c r="P345" s="4">
        <v>12326</v>
      </c>
      <c r="Q345" s="4">
        <v>19527</v>
      </c>
      <c r="R345" s="4">
        <v>6086</v>
      </c>
      <c r="S345" s="24">
        <f>SUM(tblSalesData[[#This Row],[FY 2000]:[FY 2012]])</f>
        <v>504504</v>
      </c>
      <c r="T345" s="11">
        <v>11.99</v>
      </c>
      <c r="U345" s="12">
        <f>tblSalesData[[#This Row],[Total Units 
to Date]]*tblSalesData[[#This Row],[Sell Price]]</f>
        <v>6049002.96</v>
      </c>
      <c r="V345" s="3"/>
    </row>
    <row r="346" spans="1:22" x14ac:dyDescent="0.2">
      <c r="A346" s="4">
        <v>1057</v>
      </c>
      <c r="B346" s="9" t="s">
        <v>311</v>
      </c>
      <c r="C346" s="4" t="s">
        <v>26</v>
      </c>
      <c r="D346" s="4" t="s">
        <v>27</v>
      </c>
      <c r="E346" s="4" t="s">
        <v>17</v>
      </c>
      <c r="F346" s="10">
        <v>79994</v>
      </c>
      <c r="G346" s="10">
        <v>49262</v>
      </c>
      <c r="H346" s="10">
        <v>50450</v>
      </c>
      <c r="I346" s="10">
        <v>56191</v>
      </c>
      <c r="J346" s="10">
        <v>75836</v>
      </c>
      <c r="K346" s="10">
        <v>65068</v>
      </c>
      <c r="L346" s="10">
        <v>90147</v>
      </c>
      <c r="M346" s="10">
        <v>81134</v>
      </c>
      <c r="N346" s="10">
        <v>74537</v>
      </c>
      <c r="O346" s="10">
        <v>1235</v>
      </c>
      <c r="P346" s="4">
        <v>17037</v>
      </c>
      <c r="Q346" s="4">
        <v>35302</v>
      </c>
      <c r="R346" s="4">
        <v>30613</v>
      </c>
      <c r="S346" s="24">
        <f>SUM(tblSalesData[[#This Row],[FY 2000]:[FY 2012]])</f>
        <v>706806</v>
      </c>
      <c r="T346" s="11">
        <v>12.99</v>
      </c>
      <c r="U346" s="12">
        <f>tblSalesData[[#This Row],[Total Units 
to Date]]*tblSalesData[[#This Row],[Sell Price]]</f>
        <v>9181409.9399999995</v>
      </c>
      <c r="V346" s="3"/>
    </row>
    <row r="347" spans="1:22" x14ac:dyDescent="0.2">
      <c r="A347" s="4">
        <v>1057</v>
      </c>
      <c r="B347" s="9" t="s">
        <v>312</v>
      </c>
      <c r="C347" s="4" t="s">
        <v>13</v>
      </c>
      <c r="D347" s="4" t="s">
        <v>28</v>
      </c>
      <c r="E347" s="4" t="s">
        <v>19</v>
      </c>
      <c r="F347" s="10">
        <v>0</v>
      </c>
      <c r="G347" s="10">
        <v>0</v>
      </c>
      <c r="H347" s="10">
        <v>0</v>
      </c>
      <c r="I347" s="10">
        <v>0</v>
      </c>
      <c r="J347" s="10">
        <v>0</v>
      </c>
      <c r="K347" s="10">
        <v>0</v>
      </c>
      <c r="L347" s="10">
        <v>0</v>
      </c>
      <c r="M347" s="10">
        <v>0</v>
      </c>
      <c r="N347" s="10">
        <v>0</v>
      </c>
      <c r="O347" s="10">
        <v>0</v>
      </c>
      <c r="P347" s="4">
        <v>24192</v>
      </c>
      <c r="Q347" s="4">
        <v>103758</v>
      </c>
      <c r="R347" s="10">
        <v>57680</v>
      </c>
      <c r="S347" s="24">
        <f>SUM(tblSalesData[[#This Row],[FY 2000]:[FY 2012]])</f>
        <v>185630</v>
      </c>
      <c r="T347" s="11">
        <v>3.99</v>
      </c>
      <c r="U347" s="12">
        <f>tblSalesData[[#This Row],[Total Units 
to Date]]*tblSalesData[[#This Row],[Sell Price]]</f>
        <v>740663.70000000007</v>
      </c>
      <c r="V347" s="3"/>
    </row>
    <row r="348" spans="1:22" x14ac:dyDescent="0.2">
      <c r="A348" s="4">
        <v>1057</v>
      </c>
      <c r="B348" s="9" t="s">
        <v>313</v>
      </c>
      <c r="C348" s="4" t="s">
        <v>14</v>
      </c>
      <c r="D348" s="4" t="s">
        <v>27</v>
      </c>
      <c r="E348" s="4" t="s">
        <v>19</v>
      </c>
      <c r="F348" s="10">
        <v>0</v>
      </c>
      <c r="G348" s="10">
        <v>0</v>
      </c>
      <c r="H348" s="10">
        <v>0</v>
      </c>
      <c r="I348" s="10">
        <v>0</v>
      </c>
      <c r="J348" s="10">
        <v>0</v>
      </c>
      <c r="K348" s="10">
        <v>0</v>
      </c>
      <c r="L348" s="10">
        <v>0</v>
      </c>
      <c r="M348" s="10">
        <v>0</v>
      </c>
      <c r="N348" s="10">
        <v>51217</v>
      </c>
      <c r="O348" s="10">
        <v>29534</v>
      </c>
      <c r="P348" s="4">
        <v>59630</v>
      </c>
      <c r="Q348" s="4">
        <v>24892</v>
      </c>
      <c r="R348" s="4">
        <v>10780</v>
      </c>
      <c r="S348" s="24">
        <f>SUM(tblSalesData[[#This Row],[FY 2000]:[FY 2012]])</f>
        <v>176053</v>
      </c>
      <c r="T348" s="11">
        <v>15.99</v>
      </c>
      <c r="U348" s="12">
        <f>tblSalesData[[#This Row],[Total Units 
to Date]]*tblSalesData[[#This Row],[Sell Price]]</f>
        <v>2815087.47</v>
      </c>
      <c r="V348" s="3"/>
    </row>
    <row r="349" spans="1:22" x14ac:dyDescent="0.2">
      <c r="A349" s="4">
        <v>1057</v>
      </c>
      <c r="B349" s="9" t="s">
        <v>314</v>
      </c>
      <c r="C349" s="4" t="s">
        <v>13</v>
      </c>
      <c r="D349" s="4" t="s">
        <v>27</v>
      </c>
      <c r="E349" s="4" t="s">
        <v>17</v>
      </c>
      <c r="F349" s="10">
        <v>0</v>
      </c>
      <c r="G349" s="10">
        <v>0</v>
      </c>
      <c r="H349" s="10">
        <v>0</v>
      </c>
      <c r="I349" s="10">
        <v>0</v>
      </c>
      <c r="J349" s="10">
        <v>0</v>
      </c>
      <c r="K349" s="10">
        <v>0</v>
      </c>
      <c r="L349" s="10">
        <v>0</v>
      </c>
      <c r="M349" s="10">
        <v>0</v>
      </c>
      <c r="N349" s="10">
        <v>0</v>
      </c>
      <c r="O349" s="10">
        <v>0</v>
      </c>
      <c r="P349" s="4">
        <v>34283</v>
      </c>
      <c r="Q349" s="4">
        <v>2101</v>
      </c>
      <c r="R349" s="4">
        <v>25857</v>
      </c>
      <c r="S349" s="24">
        <f>SUM(tblSalesData[[#This Row],[FY 2000]:[FY 2012]])</f>
        <v>62241</v>
      </c>
      <c r="T349" s="11">
        <v>12.99</v>
      </c>
      <c r="U349" s="12">
        <f>tblSalesData[[#This Row],[Total Units 
to Date]]*tblSalesData[[#This Row],[Sell Price]]</f>
        <v>808510.59</v>
      </c>
      <c r="V349" s="3"/>
    </row>
    <row r="350" spans="1:22" x14ac:dyDescent="0.2">
      <c r="A350" s="4">
        <v>1057</v>
      </c>
      <c r="B350" s="9" t="s">
        <v>314</v>
      </c>
      <c r="C350" s="4" t="s">
        <v>13</v>
      </c>
      <c r="D350" s="4" t="s">
        <v>27</v>
      </c>
      <c r="E350" s="4" t="s">
        <v>19</v>
      </c>
      <c r="F350" s="10">
        <v>0</v>
      </c>
      <c r="G350" s="10">
        <v>0</v>
      </c>
      <c r="H350" s="10">
        <v>0</v>
      </c>
      <c r="I350" s="10">
        <v>0</v>
      </c>
      <c r="J350" s="10">
        <v>0</v>
      </c>
      <c r="K350" s="10">
        <v>0</v>
      </c>
      <c r="L350" s="10">
        <v>0</v>
      </c>
      <c r="M350" s="10">
        <v>0</v>
      </c>
      <c r="N350" s="10">
        <v>0</v>
      </c>
      <c r="O350" s="10">
        <v>0</v>
      </c>
      <c r="P350" s="4">
        <v>50987</v>
      </c>
      <c r="Q350" s="4">
        <v>35187</v>
      </c>
      <c r="R350" s="4">
        <v>28465</v>
      </c>
      <c r="S350" s="24">
        <f>SUM(tblSalesData[[#This Row],[FY 2000]:[FY 2012]])</f>
        <v>114639</v>
      </c>
      <c r="T350" s="11">
        <v>15.99</v>
      </c>
      <c r="U350" s="12">
        <f>tblSalesData[[#This Row],[Total Units 
to Date]]*tblSalesData[[#This Row],[Sell Price]]</f>
        <v>1833077.61</v>
      </c>
      <c r="V350" s="3"/>
    </row>
    <row r="351" spans="1:22" x14ac:dyDescent="0.2">
      <c r="A351" s="4">
        <v>1057</v>
      </c>
      <c r="B351" s="9" t="s">
        <v>314</v>
      </c>
      <c r="C351" s="4" t="s">
        <v>13</v>
      </c>
      <c r="D351" s="4" t="s">
        <v>27</v>
      </c>
      <c r="E351" s="4" t="s">
        <v>18</v>
      </c>
      <c r="F351" s="10">
        <v>0</v>
      </c>
      <c r="G351" s="10">
        <v>0</v>
      </c>
      <c r="H351" s="10">
        <v>0</v>
      </c>
      <c r="I351" s="10">
        <v>0</v>
      </c>
      <c r="J351" s="10">
        <v>0</v>
      </c>
      <c r="K351" s="10">
        <v>0</v>
      </c>
      <c r="L351" s="10">
        <v>0</v>
      </c>
      <c r="M351" s="10">
        <v>0</v>
      </c>
      <c r="N351" s="10">
        <v>0</v>
      </c>
      <c r="O351" s="10">
        <v>0</v>
      </c>
      <c r="P351" s="4">
        <v>12173</v>
      </c>
      <c r="Q351" s="4">
        <v>35050</v>
      </c>
      <c r="R351" s="4">
        <v>21871</v>
      </c>
      <c r="S351" s="24">
        <f>SUM(tblSalesData[[#This Row],[FY 2000]:[FY 2012]])</f>
        <v>69094</v>
      </c>
      <c r="T351" s="11">
        <v>9.99</v>
      </c>
      <c r="U351" s="12">
        <f>tblSalesData[[#This Row],[Total Units 
to Date]]*tblSalesData[[#This Row],[Sell Price]]</f>
        <v>690249.06</v>
      </c>
      <c r="V351" s="3"/>
    </row>
    <row r="352" spans="1:22" x14ac:dyDescent="0.2">
      <c r="A352" s="4">
        <v>1057</v>
      </c>
      <c r="B352" s="9" t="s">
        <v>314</v>
      </c>
      <c r="C352" s="4" t="s">
        <v>13</v>
      </c>
      <c r="D352" s="4" t="s">
        <v>28</v>
      </c>
      <c r="E352" s="4" t="s">
        <v>16</v>
      </c>
      <c r="F352" s="10">
        <v>0</v>
      </c>
      <c r="G352" s="10">
        <v>0</v>
      </c>
      <c r="H352" s="10">
        <v>0</v>
      </c>
      <c r="I352" s="10">
        <v>0</v>
      </c>
      <c r="J352" s="10">
        <v>0</v>
      </c>
      <c r="K352" s="10">
        <v>0</v>
      </c>
      <c r="L352" s="10">
        <v>0</v>
      </c>
      <c r="M352" s="10">
        <v>0</v>
      </c>
      <c r="N352" s="10">
        <v>0</v>
      </c>
      <c r="O352" s="10">
        <v>0</v>
      </c>
      <c r="P352" s="4">
        <v>70489</v>
      </c>
      <c r="Q352" s="4">
        <v>17340</v>
      </c>
      <c r="R352" s="10">
        <v>56757</v>
      </c>
      <c r="S352" s="24">
        <f>SUM(tblSalesData[[#This Row],[FY 2000]:[FY 2012]])</f>
        <v>144586</v>
      </c>
      <c r="T352" s="11">
        <v>1.49</v>
      </c>
      <c r="U352" s="12">
        <f>tblSalesData[[#This Row],[Total Units 
to Date]]*tblSalesData[[#This Row],[Sell Price]]</f>
        <v>215433.13999999998</v>
      </c>
      <c r="V352" s="3"/>
    </row>
    <row r="353" spans="1:22" x14ac:dyDescent="0.2">
      <c r="A353" s="4">
        <v>1057</v>
      </c>
      <c r="B353" s="9" t="s">
        <v>314</v>
      </c>
      <c r="C353" s="4" t="s">
        <v>13</v>
      </c>
      <c r="D353" s="4" t="s">
        <v>28</v>
      </c>
      <c r="E353" s="4" t="s">
        <v>17</v>
      </c>
      <c r="F353" s="10">
        <v>0</v>
      </c>
      <c r="G353" s="10">
        <v>0</v>
      </c>
      <c r="H353" s="10">
        <v>0</v>
      </c>
      <c r="I353" s="10">
        <v>0</v>
      </c>
      <c r="J353" s="10">
        <v>0</v>
      </c>
      <c r="K353" s="10">
        <v>0</v>
      </c>
      <c r="L353" s="10">
        <v>0</v>
      </c>
      <c r="M353" s="10">
        <v>0</v>
      </c>
      <c r="N353" s="10">
        <v>0</v>
      </c>
      <c r="O353" s="10">
        <v>0</v>
      </c>
      <c r="P353" s="4">
        <v>26262</v>
      </c>
      <c r="Q353" s="4">
        <v>65321</v>
      </c>
      <c r="R353" s="10">
        <v>12238</v>
      </c>
      <c r="S353" s="24">
        <f>SUM(tblSalesData[[#This Row],[FY 2000]:[FY 2012]])</f>
        <v>103821</v>
      </c>
      <c r="T353" s="11">
        <v>1.99</v>
      </c>
      <c r="U353" s="12">
        <f>tblSalesData[[#This Row],[Total Units 
to Date]]*tblSalesData[[#This Row],[Sell Price]]</f>
        <v>206603.79</v>
      </c>
      <c r="V353" s="3"/>
    </row>
    <row r="354" spans="1:22" x14ac:dyDescent="0.2">
      <c r="A354" s="4">
        <v>1057</v>
      </c>
      <c r="B354" s="9" t="s">
        <v>315</v>
      </c>
      <c r="C354" s="4" t="s">
        <v>15</v>
      </c>
      <c r="D354" s="4" t="s">
        <v>28</v>
      </c>
      <c r="E354" s="4" t="s">
        <v>17</v>
      </c>
      <c r="F354" s="10">
        <v>0</v>
      </c>
      <c r="G354" s="10">
        <v>76702</v>
      </c>
      <c r="H354" s="10">
        <v>69712</v>
      </c>
      <c r="I354" s="10">
        <v>62623</v>
      </c>
      <c r="J354" s="10">
        <v>39615</v>
      </c>
      <c r="K354" s="10">
        <v>25887</v>
      </c>
      <c r="L354" s="10">
        <v>2247</v>
      </c>
      <c r="M354" s="10">
        <v>43340</v>
      </c>
      <c r="N354" s="10">
        <v>97788</v>
      </c>
      <c r="O354" s="10">
        <v>29979</v>
      </c>
      <c r="P354" s="4">
        <v>38377</v>
      </c>
      <c r="Q354" s="4">
        <v>101959</v>
      </c>
      <c r="R354" s="10">
        <v>69048</v>
      </c>
      <c r="S354" s="24">
        <f>SUM(tblSalesData[[#This Row],[FY 2000]:[FY 2012]])</f>
        <v>657277</v>
      </c>
      <c r="T354" s="11">
        <v>1.99</v>
      </c>
      <c r="U354" s="12">
        <f>tblSalesData[[#This Row],[Total Units 
to Date]]*tblSalesData[[#This Row],[Sell Price]]</f>
        <v>1307981.23</v>
      </c>
      <c r="V354" s="3"/>
    </row>
    <row r="355" spans="1:22" x14ac:dyDescent="0.2">
      <c r="A355" s="4">
        <v>1057</v>
      </c>
      <c r="B355" s="9" t="s">
        <v>316</v>
      </c>
      <c r="C355" s="4" t="s">
        <v>26</v>
      </c>
      <c r="D355" s="4" t="s">
        <v>27</v>
      </c>
      <c r="E355" s="4" t="s">
        <v>18</v>
      </c>
      <c r="F355" s="10">
        <v>0</v>
      </c>
      <c r="G355" s="10">
        <v>9994</v>
      </c>
      <c r="H355" s="10">
        <v>20385</v>
      </c>
      <c r="I355" s="10">
        <v>76715</v>
      </c>
      <c r="J355" s="10">
        <v>65551</v>
      </c>
      <c r="K355" s="10">
        <v>57836</v>
      </c>
      <c r="L355" s="10">
        <v>63934</v>
      </c>
      <c r="M355" s="10">
        <v>84948</v>
      </c>
      <c r="N355" s="10">
        <v>19164</v>
      </c>
      <c r="O355" s="10">
        <v>64382</v>
      </c>
      <c r="P355" s="4">
        <v>26304</v>
      </c>
      <c r="Q355" s="4">
        <v>29814</v>
      </c>
      <c r="R355" s="4">
        <v>13192</v>
      </c>
      <c r="S355" s="24">
        <f>SUM(tblSalesData[[#This Row],[FY 2000]:[FY 2012]])</f>
        <v>532219</v>
      </c>
      <c r="T355" s="11">
        <v>9.99</v>
      </c>
      <c r="U355" s="12">
        <f>tblSalesData[[#This Row],[Total Units 
to Date]]*tblSalesData[[#This Row],[Sell Price]]</f>
        <v>5316867.8100000005</v>
      </c>
      <c r="V355" s="3"/>
    </row>
    <row r="356" spans="1:22" x14ac:dyDescent="0.2">
      <c r="A356" s="4">
        <v>1057</v>
      </c>
      <c r="B356" s="9" t="s">
        <v>316</v>
      </c>
      <c r="C356" s="4" t="s">
        <v>26</v>
      </c>
      <c r="D356" s="4" t="s">
        <v>28</v>
      </c>
      <c r="E356" s="4" t="s">
        <v>17</v>
      </c>
      <c r="F356" s="10">
        <v>0</v>
      </c>
      <c r="G356" s="10">
        <v>29695</v>
      </c>
      <c r="H356" s="10">
        <v>22492</v>
      </c>
      <c r="I356" s="10">
        <v>16166</v>
      </c>
      <c r="J356" s="10">
        <v>46644</v>
      </c>
      <c r="K356" s="10">
        <v>43629</v>
      </c>
      <c r="L356" s="10">
        <v>19299</v>
      </c>
      <c r="M356" s="10">
        <v>94652</v>
      </c>
      <c r="N356" s="10">
        <v>30304</v>
      </c>
      <c r="O356" s="10">
        <v>15559</v>
      </c>
      <c r="P356" s="4">
        <v>101478</v>
      </c>
      <c r="Q356" s="4">
        <v>36104</v>
      </c>
      <c r="R356" s="10">
        <v>92747</v>
      </c>
      <c r="S356" s="24">
        <f>SUM(tblSalesData[[#This Row],[FY 2000]:[FY 2012]])</f>
        <v>548769</v>
      </c>
      <c r="T356" s="11">
        <v>1.99</v>
      </c>
      <c r="U356" s="12">
        <f>tblSalesData[[#This Row],[Total Units 
to Date]]*tblSalesData[[#This Row],[Sell Price]]</f>
        <v>1092050.31</v>
      </c>
      <c r="V356" s="3"/>
    </row>
    <row r="357" spans="1:22" x14ac:dyDescent="0.2">
      <c r="A357" s="4">
        <v>1057</v>
      </c>
      <c r="B357" s="9" t="s">
        <v>317</v>
      </c>
      <c r="C357" s="4" t="s">
        <v>15</v>
      </c>
      <c r="D357" s="4" t="s">
        <v>27</v>
      </c>
      <c r="E357" s="4" t="s">
        <v>19</v>
      </c>
      <c r="F357" s="10">
        <v>0</v>
      </c>
      <c r="G357" s="10">
        <v>9297</v>
      </c>
      <c r="H357" s="10">
        <v>51386</v>
      </c>
      <c r="I357" s="10">
        <v>4867</v>
      </c>
      <c r="J357" s="10">
        <v>57793</v>
      </c>
      <c r="K357" s="10">
        <v>13520</v>
      </c>
      <c r="L357" s="10">
        <v>14793</v>
      </c>
      <c r="M357" s="10">
        <v>37548</v>
      </c>
      <c r="N357" s="10">
        <v>55058</v>
      </c>
      <c r="O357" s="10">
        <v>67835</v>
      </c>
      <c r="P357" s="4">
        <v>84088</v>
      </c>
      <c r="Q357" s="4">
        <v>12958</v>
      </c>
      <c r="R357" s="4">
        <v>22980</v>
      </c>
      <c r="S357" s="24">
        <f>SUM(tblSalesData[[#This Row],[FY 2000]:[FY 2012]])</f>
        <v>432123</v>
      </c>
      <c r="T357" s="11">
        <v>15.99</v>
      </c>
      <c r="U357" s="12">
        <f>tblSalesData[[#This Row],[Total Units 
to Date]]*tblSalesData[[#This Row],[Sell Price]]</f>
        <v>6909646.7700000005</v>
      </c>
      <c r="V357" s="3"/>
    </row>
    <row r="358" spans="1:22" x14ac:dyDescent="0.2">
      <c r="A358" s="4">
        <v>1057</v>
      </c>
      <c r="B358" s="9" t="s">
        <v>318</v>
      </c>
      <c r="C358" s="4" t="s">
        <v>15</v>
      </c>
      <c r="D358" s="4" t="s">
        <v>28</v>
      </c>
      <c r="E358" s="4" t="s">
        <v>19</v>
      </c>
      <c r="F358" s="10">
        <v>0</v>
      </c>
      <c r="G358" s="10">
        <v>60071</v>
      </c>
      <c r="H358" s="10">
        <v>30470</v>
      </c>
      <c r="I358" s="10">
        <v>45287</v>
      </c>
      <c r="J358" s="10">
        <v>52005</v>
      </c>
      <c r="K358" s="10">
        <v>53472</v>
      </c>
      <c r="L358" s="10">
        <v>32288</v>
      </c>
      <c r="M358" s="10">
        <v>96739</v>
      </c>
      <c r="N358" s="10">
        <v>18019</v>
      </c>
      <c r="O358" s="10">
        <v>38600</v>
      </c>
      <c r="P358" s="4">
        <v>28718</v>
      </c>
      <c r="Q358" s="4">
        <v>24742</v>
      </c>
      <c r="R358" s="10">
        <v>45654</v>
      </c>
      <c r="S358" s="24">
        <f>SUM(tblSalesData[[#This Row],[FY 2000]:[FY 2012]])</f>
        <v>526065</v>
      </c>
      <c r="T358" s="11">
        <v>3.99</v>
      </c>
      <c r="U358" s="12">
        <f>tblSalesData[[#This Row],[Total Units 
to Date]]*tblSalesData[[#This Row],[Sell Price]]</f>
        <v>2098999.35</v>
      </c>
      <c r="V358" s="3"/>
    </row>
    <row r="359" spans="1:22" x14ac:dyDescent="0.2">
      <c r="A359" s="4">
        <v>1062</v>
      </c>
      <c r="B359" s="9" t="s">
        <v>319</v>
      </c>
      <c r="C359" s="4" t="s">
        <v>15</v>
      </c>
      <c r="D359" s="4" t="s">
        <v>27</v>
      </c>
      <c r="E359" s="4" t="s">
        <v>16</v>
      </c>
      <c r="F359" s="10">
        <v>0</v>
      </c>
      <c r="G359" s="10">
        <v>0</v>
      </c>
      <c r="H359" s="10">
        <v>0</v>
      </c>
      <c r="I359" s="10">
        <v>0</v>
      </c>
      <c r="J359" s="10">
        <v>8595</v>
      </c>
      <c r="K359" s="10">
        <v>40098</v>
      </c>
      <c r="L359" s="10">
        <v>68867</v>
      </c>
      <c r="M359" s="10">
        <v>59595</v>
      </c>
      <c r="N359" s="10">
        <v>8693</v>
      </c>
      <c r="O359" s="10">
        <v>99402</v>
      </c>
      <c r="P359" s="4">
        <v>51050</v>
      </c>
      <c r="Q359" s="4">
        <v>4297</v>
      </c>
      <c r="R359" s="4">
        <v>10457</v>
      </c>
      <c r="S359" s="24">
        <f>SUM(tblSalesData[[#This Row],[FY 2000]:[FY 2012]])</f>
        <v>351054</v>
      </c>
      <c r="T359" s="11">
        <v>11.99</v>
      </c>
      <c r="U359" s="12">
        <f>tblSalesData[[#This Row],[Total Units 
to Date]]*tblSalesData[[#This Row],[Sell Price]]</f>
        <v>4209137.46</v>
      </c>
      <c r="V359" s="3"/>
    </row>
    <row r="360" spans="1:22" x14ac:dyDescent="0.2">
      <c r="A360" s="4">
        <v>1062</v>
      </c>
      <c r="B360" s="9" t="s">
        <v>320</v>
      </c>
      <c r="C360" s="4" t="s">
        <v>13</v>
      </c>
      <c r="D360" s="4" t="s">
        <v>28</v>
      </c>
      <c r="E360" s="4" t="s">
        <v>19</v>
      </c>
      <c r="F360" s="10">
        <v>0</v>
      </c>
      <c r="G360" s="10">
        <v>0</v>
      </c>
      <c r="H360" s="10">
        <v>0</v>
      </c>
      <c r="I360" s="10">
        <v>0</v>
      </c>
      <c r="J360" s="10">
        <v>78266</v>
      </c>
      <c r="K360" s="10">
        <v>62682</v>
      </c>
      <c r="L360" s="10">
        <v>70636</v>
      </c>
      <c r="M360" s="10">
        <v>20443</v>
      </c>
      <c r="N360" s="10">
        <v>98104</v>
      </c>
      <c r="O360" s="10">
        <v>80266</v>
      </c>
      <c r="P360" s="4">
        <v>84548</v>
      </c>
      <c r="Q360" s="4">
        <v>89576</v>
      </c>
      <c r="R360" s="10">
        <v>54349</v>
      </c>
      <c r="S360" s="24">
        <f>SUM(tblSalesData[[#This Row],[FY 2000]:[FY 2012]])</f>
        <v>638870</v>
      </c>
      <c r="T360" s="11">
        <v>3.99</v>
      </c>
      <c r="U360" s="12">
        <f>tblSalesData[[#This Row],[Total Units 
to Date]]*tblSalesData[[#This Row],[Sell Price]]</f>
        <v>2549091.3000000003</v>
      </c>
      <c r="V360" s="3"/>
    </row>
    <row r="361" spans="1:22" x14ac:dyDescent="0.2">
      <c r="A361" s="4">
        <v>1062</v>
      </c>
      <c r="B361" s="9" t="s">
        <v>321</v>
      </c>
      <c r="C361" s="4" t="s">
        <v>13</v>
      </c>
      <c r="D361" s="4" t="s">
        <v>28</v>
      </c>
      <c r="E361" s="4" t="s">
        <v>18</v>
      </c>
      <c r="F361" s="10">
        <v>0</v>
      </c>
      <c r="G361" s="10">
        <v>0</v>
      </c>
      <c r="H361" s="10">
        <v>0</v>
      </c>
      <c r="I361" s="10">
        <v>0</v>
      </c>
      <c r="J361" s="10">
        <v>42371</v>
      </c>
      <c r="K361" s="10">
        <v>63608</v>
      </c>
      <c r="L361" s="10">
        <v>13222</v>
      </c>
      <c r="M361" s="10">
        <v>91219</v>
      </c>
      <c r="N361" s="10">
        <v>61028</v>
      </c>
      <c r="O361" s="10">
        <v>36826</v>
      </c>
      <c r="P361" s="4">
        <v>24216</v>
      </c>
      <c r="Q361" s="4">
        <v>29772</v>
      </c>
      <c r="R361" s="10">
        <v>97344</v>
      </c>
      <c r="S361" s="24">
        <f>SUM(tblSalesData[[#This Row],[FY 2000]:[FY 2012]])</f>
        <v>459606</v>
      </c>
      <c r="T361" s="11">
        <v>0.99</v>
      </c>
      <c r="U361" s="12">
        <f>tblSalesData[[#This Row],[Total Units 
to Date]]*tblSalesData[[#This Row],[Sell Price]]</f>
        <v>455009.94</v>
      </c>
      <c r="V361" s="3"/>
    </row>
    <row r="362" spans="1:22" x14ac:dyDescent="0.2">
      <c r="A362" s="4">
        <v>1062</v>
      </c>
      <c r="B362" s="9" t="s">
        <v>322</v>
      </c>
      <c r="C362" s="4" t="s">
        <v>26</v>
      </c>
      <c r="D362" s="4" t="s">
        <v>27</v>
      </c>
      <c r="E362" s="4" t="s">
        <v>19</v>
      </c>
      <c r="F362" s="10">
        <v>0</v>
      </c>
      <c r="G362" s="10">
        <v>0</v>
      </c>
      <c r="H362" s="10">
        <v>0</v>
      </c>
      <c r="I362" s="10">
        <v>0</v>
      </c>
      <c r="J362" s="10">
        <v>11924</v>
      </c>
      <c r="K362" s="10">
        <v>1672</v>
      </c>
      <c r="L362" s="10">
        <v>1196</v>
      </c>
      <c r="M362" s="10">
        <v>47462</v>
      </c>
      <c r="N362" s="10">
        <v>46368</v>
      </c>
      <c r="O362" s="10">
        <v>74891</v>
      </c>
      <c r="P362" s="4">
        <v>62580</v>
      </c>
      <c r="Q362" s="4">
        <v>53402</v>
      </c>
      <c r="R362" s="4">
        <v>17269</v>
      </c>
      <c r="S362" s="24">
        <f>SUM(tblSalesData[[#This Row],[FY 2000]:[FY 2012]])</f>
        <v>316764</v>
      </c>
      <c r="T362" s="11">
        <v>15.99</v>
      </c>
      <c r="U362" s="12">
        <f>tblSalesData[[#This Row],[Total Units 
to Date]]*tblSalesData[[#This Row],[Sell Price]]</f>
        <v>5065056.3600000003</v>
      </c>
      <c r="V362" s="3"/>
    </row>
    <row r="363" spans="1:22" x14ac:dyDescent="0.2">
      <c r="A363" s="4">
        <v>1063</v>
      </c>
      <c r="B363" s="9" t="s">
        <v>323</v>
      </c>
      <c r="C363" s="4" t="s">
        <v>14</v>
      </c>
      <c r="D363" s="4" t="s">
        <v>28</v>
      </c>
      <c r="E363" s="4" t="s">
        <v>17</v>
      </c>
      <c r="F363" s="10">
        <v>0</v>
      </c>
      <c r="G363" s="10">
        <v>0</v>
      </c>
      <c r="H363" s="10">
        <v>0</v>
      </c>
      <c r="I363" s="10">
        <v>0</v>
      </c>
      <c r="J363" s="10">
        <v>0</v>
      </c>
      <c r="K363" s="10">
        <v>0</v>
      </c>
      <c r="L363" s="10">
        <v>0</v>
      </c>
      <c r="M363" s="10">
        <v>0</v>
      </c>
      <c r="N363" s="10">
        <v>56419</v>
      </c>
      <c r="O363" s="10">
        <v>84884</v>
      </c>
      <c r="P363" s="4">
        <v>76390</v>
      </c>
      <c r="Q363" s="4">
        <v>85064</v>
      </c>
      <c r="R363" s="10">
        <v>76431</v>
      </c>
      <c r="S363" s="24">
        <f>SUM(tblSalesData[[#This Row],[FY 2000]:[FY 2012]])</f>
        <v>379188</v>
      </c>
      <c r="T363" s="11">
        <v>1.99</v>
      </c>
      <c r="U363" s="12">
        <f>tblSalesData[[#This Row],[Total Units 
to Date]]*tblSalesData[[#This Row],[Sell Price]]</f>
        <v>754584.12</v>
      </c>
      <c r="V363" s="3"/>
    </row>
    <row r="364" spans="1:22" x14ac:dyDescent="0.2">
      <c r="A364" s="4">
        <v>1063</v>
      </c>
      <c r="B364" s="9" t="s">
        <v>324</v>
      </c>
      <c r="C364" s="4" t="s">
        <v>14</v>
      </c>
      <c r="D364" s="4" t="s">
        <v>27</v>
      </c>
      <c r="E364" s="4" t="s">
        <v>16</v>
      </c>
      <c r="F364" s="10">
        <v>0</v>
      </c>
      <c r="G364" s="10">
        <v>0</v>
      </c>
      <c r="H364" s="10">
        <v>0</v>
      </c>
      <c r="I364" s="10">
        <v>0</v>
      </c>
      <c r="J364" s="10">
        <v>0</v>
      </c>
      <c r="K364" s="10">
        <v>0</v>
      </c>
      <c r="L364" s="10">
        <v>0</v>
      </c>
      <c r="M364" s="10">
        <v>0</v>
      </c>
      <c r="N364" s="10">
        <v>91153</v>
      </c>
      <c r="O364" s="10">
        <v>66578</v>
      </c>
      <c r="P364" s="4">
        <v>38408</v>
      </c>
      <c r="Q364" s="4">
        <v>37136</v>
      </c>
      <c r="R364" s="4">
        <v>9168</v>
      </c>
      <c r="S364" s="24">
        <f>SUM(tblSalesData[[#This Row],[FY 2000]:[FY 2012]])</f>
        <v>242443</v>
      </c>
      <c r="T364" s="11">
        <v>11.99</v>
      </c>
      <c r="U364" s="12">
        <f>tblSalesData[[#This Row],[Total Units 
to Date]]*tblSalesData[[#This Row],[Sell Price]]</f>
        <v>2906891.57</v>
      </c>
      <c r="V364" s="3"/>
    </row>
    <row r="365" spans="1:22" x14ac:dyDescent="0.2">
      <c r="A365" s="4">
        <v>1063</v>
      </c>
      <c r="B365" s="9" t="s">
        <v>325</v>
      </c>
      <c r="C365" s="4" t="s">
        <v>14</v>
      </c>
      <c r="D365" s="4" t="s">
        <v>27</v>
      </c>
      <c r="E365" s="4" t="s">
        <v>16</v>
      </c>
      <c r="F365" s="10">
        <v>0</v>
      </c>
      <c r="G365" s="10">
        <v>0</v>
      </c>
      <c r="H365" s="10">
        <v>0</v>
      </c>
      <c r="I365" s="10">
        <v>0</v>
      </c>
      <c r="J365" s="10">
        <v>0</v>
      </c>
      <c r="K365" s="10">
        <v>0</v>
      </c>
      <c r="L365" s="10">
        <v>0</v>
      </c>
      <c r="M365" s="10">
        <v>0</v>
      </c>
      <c r="N365" s="10">
        <v>57334</v>
      </c>
      <c r="O365" s="10">
        <v>2456</v>
      </c>
      <c r="P365" s="4">
        <v>76578</v>
      </c>
      <c r="Q365" s="4">
        <v>2951</v>
      </c>
      <c r="R365" s="4">
        <v>8176</v>
      </c>
      <c r="S365" s="24">
        <f>SUM(tblSalesData[[#This Row],[FY 2000]:[FY 2012]])</f>
        <v>147495</v>
      </c>
      <c r="T365" s="11">
        <v>11.99</v>
      </c>
      <c r="U365" s="12">
        <f>tblSalesData[[#This Row],[Total Units 
to Date]]*tblSalesData[[#This Row],[Sell Price]]</f>
        <v>1768465.05</v>
      </c>
      <c r="V365" s="3"/>
    </row>
    <row r="366" spans="1:22" x14ac:dyDescent="0.2">
      <c r="A366" s="4">
        <v>1063</v>
      </c>
      <c r="B366" s="9" t="s">
        <v>325</v>
      </c>
      <c r="C366" s="4" t="s">
        <v>14</v>
      </c>
      <c r="D366" s="4" t="s">
        <v>27</v>
      </c>
      <c r="E366" s="4" t="s">
        <v>17</v>
      </c>
      <c r="F366" s="10">
        <v>0</v>
      </c>
      <c r="G366" s="10">
        <v>0</v>
      </c>
      <c r="H366" s="10">
        <v>0</v>
      </c>
      <c r="I366" s="10">
        <v>0</v>
      </c>
      <c r="J366" s="10">
        <v>0</v>
      </c>
      <c r="K366" s="10">
        <v>0</v>
      </c>
      <c r="L366" s="10">
        <v>0</v>
      </c>
      <c r="M366" s="10">
        <v>0</v>
      </c>
      <c r="N366" s="10">
        <v>39181</v>
      </c>
      <c r="O366" s="10">
        <v>15862</v>
      </c>
      <c r="P366" s="4">
        <v>3380</v>
      </c>
      <c r="Q366" s="4">
        <v>8294</v>
      </c>
      <c r="R366" s="4">
        <v>18906</v>
      </c>
      <c r="S366" s="24">
        <f>SUM(tblSalesData[[#This Row],[FY 2000]:[FY 2012]])</f>
        <v>85623</v>
      </c>
      <c r="T366" s="11">
        <v>12.99</v>
      </c>
      <c r="U366" s="12">
        <f>tblSalesData[[#This Row],[Total Units 
to Date]]*tblSalesData[[#This Row],[Sell Price]]</f>
        <v>1112242.77</v>
      </c>
      <c r="V366" s="3"/>
    </row>
    <row r="367" spans="1:22" x14ac:dyDescent="0.2">
      <c r="A367" s="4">
        <v>1063</v>
      </c>
      <c r="B367" s="9" t="s">
        <v>325</v>
      </c>
      <c r="C367" s="4" t="s">
        <v>14</v>
      </c>
      <c r="D367" s="4" t="s">
        <v>27</v>
      </c>
      <c r="E367" s="4" t="s">
        <v>19</v>
      </c>
      <c r="F367" s="10">
        <v>0</v>
      </c>
      <c r="G367" s="10">
        <v>0</v>
      </c>
      <c r="H367" s="10">
        <v>0</v>
      </c>
      <c r="I367" s="10">
        <v>0</v>
      </c>
      <c r="J367" s="10">
        <v>0</v>
      </c>
      <c r="K367" s="10">
        <v>0</v>
      </c>
      <c r="L367" s="10">
        <v>0</v>
      </c>
      <c r="M367" s="10">
        <v>0</v>
      </c>
      <c r="N367" s="10">
        <v>6050</v>
      </c>
      <c r="O367" s="10">
        <v>98574</v>
      </c>
      <c r="P367" s="4">
        <v>53643</v>
      </c>
      <c r="Q367" s="4">
        <v>67617</v>
      </c>
      <c r="R367" s="4">
        <v>23954</v>
      </c>
      <c r="S367" s="24">
        <f>SUM(tblSalesData[[#This Row],[FY 2000]:[FY 2012]])</f>
        <v>249838</v>
      </c>
      <c r="T367" s="11">
        <v>15.99</v>
      </c>
      <c r="U367" s="12">
        <f>tblSalesData[[#This Row],[Total Units 
to Date]]*tblSalesData[[#This Row],[Sell Price]]</f>
        <v>3994909.62</v>
      </c>
      <c r="V367" s="3"/>
    </row>
    <row r="368" spans="1:22" x14ac:dyDescent="0.2">
      <c r="A368" s="4">
        <v>1063</v>
      </c>
      <c r="B368" s="9" t="s">
        <v>325</v>
      </c>
      <c r="C368" s="4" t="s">
        <v>14</v>
      </c>
      <c r="D368" s="4" t="s">
        <v>27</v>
      </c>
      <c r="E368" s="4" t="s">
        <v>18</v>
      </c>
      <c r="F368" s="10">
        <v>0</v>
      </c>
      <c r="G368" s="10">
        <v>0</v>
      </c>
      <c r="H368" s="10">
        <v>0</v>
      </c>
      <c r="I368" s="10">
        <v>0</v>
      </c>
      <c r="J368" s="10">
        <v>0</v>
      </c>
      <c r="K368" s="10">
        <v>0</v>
      </c>
      <c r="L368" s="10">
        <v>0</v>
      </c>
      <c r="M368" s="10">
        <v>0</v>
      </c>
      <c r="N368" s="10">
        <v>62446</v>
      </c>
      <c r="O368" s="10">
        <v>65367</v>
      </c>
      <c r="P368" s="4">
        <v>4327</v>
      </c>
      <c r="Q368" s="4">
        <v>11925</v>
      </c>
      <c r="R368" s="4">
        <v>16814</v>
      </c>
      <c r="S368" s="24">
        <f>SUM(tblSalesData[[#This Row],[FY 2000]:[FY 2012]])</f>
        <v>160879</v>
      </c>
      <c r="T368" s="11">
        <v>9.99</v>
      </c>
      <c r="U368" s="12">
        <f>tblSalesData[[#This Row],[Total Units 
to Date]]*tblSalesData[[#This Row],[Sell Price]]</f>
        <v>1607181.21</v>
      </c>
      <c r="V368" s="3"/>
    </row>
    <row r="369" spans="1:22" x14ac:dyDescent="0.2">
      <c r="A369" s="4">
        <v>1063</v>
      </c>
      <c r="B369" s="9" t="s">
        <v>325</v>
      </c>
      <c r="C369" s="4" t="s">
        <v>14</v>
      </c>
      <c r="D369" s="4" t="s">
        <v>28</v>
      </c>
      <c r="E369" s="4" t="s">
        <v>18</v>
      </c>
      <c r="F369" s="10">
        <v>0</v>
      </c>
      <c r="G369" s="10">
        <v>0</v>
      </c>
      <c r="H369" s="10">
        <v>0</v>
      </c>
      <c r="I369" s="10">
        <v>0</v>
      </c>
      <c r="J369" s="10">
        <v>0</v>
      </c>
      <c r="K369" s="10">
        <v>0</v>
      </c>
      <c r="L369" s="10">
        <v>0</v>
      </c>
      <c r="M369" s="10">
        <v>0</v>
      </c>
      <c r="N369" s="10">
        <v>17353</v>
      </c>
      <c r="O369" s="10">
        <v>57161</v>
      </c>
      <c r="P369" s="4">
        <v>13738</v>
      </c>
      <c r="Q369" s="4">
        <v>48977</v>
      </c>
      <c r="R369" s="10">
        <v>80901</v>
      </c>
      <c r="S369" s="24">
        <f>SUM(tblSalesData[[#This Row],[FY 2000]:[FY 2012]])</f>
        <v>218130</v>
      </c>
      <c r="T369" s="11">
        <v>0.99</v>
      </c>
      <c r="U369" s="12">
        <f>tblSalesData[[#This Row],[Total Units 
to Date]]*tblSalesData[[#This Row],[Sell Price]]</f>
        <v>215948.7</v>
      </c>
      <c r="V369" s="3"/>
    </row>
    <row r="370" spans="1:22" x14ac:dyDescent="0.2">
      <c r="A370" s="4">
        <v>1063</v>
      </c>
      <c r="B370" s="9" t="s">
        <v>326</v>
      </c>
      <c r="C370" s="4" t="s">
        <v>15</v>
      </c>
      <c r="D370" s="4" t="s">
        <v>28</v>
      </c>
      <c r="E370" s="4" t="s">
        <v>16</v>
      </c>
      <c r="F370" s="10">
        <v>0</v>
      </c>
      <c r="G370" s="10">
        <v>0</v>
      </c>
      <c r="H370" s="10">
        <v>0</v>
      </c>
      <c r="I370" s="10">
        <v>0</v>
      </c>
      <c r="J370" s="10">
        <v>0</v>
      </c>
      <c r="K370" s="10">
        <v>0</v>
      </c>
      <c r="L370" s="10">
        <v>0</v>
      </c>
      <c r="M370" s="10">
        <v>0</v>
      </c>
      <c r="N370" s="10">
        <v>65216</v>
      </c>
      <c r="O370" s="10">
        <v>10326</v>
      </c>
      <c r="P370" s="4">
        <v>73335</v>
      </c>
      <c r="Q370" s="4">
        <v>37856</v>
      </c>
      <c r="R370" s="10">
        <v>79655</v>
      </c>
      <c r="S370" s="24">
        <f>SUM(tblSalesData[[#This Row],[FY 2000]:[FY 2012]])</f>
        <v>266388</v>
      </c>
      <c r="T370" s="11">
        <v>1.49</v>
      </c>
      <c r="U370" s="12">
        <f>tblSalesData[[#This Row],[Total Units 
to Date]]*tblSalesData[[#This Row],[Sell Price]]</f>
        <v>396918.12</v>
      </c>
      <c r="V370" s="3"/>
    </row>
    <row r="371" spans="1:22" x14ac:dyDescent="0.2">
      <c r="A371" s="4">
        <v>1063</v>
      </c>
      <c r="B371" s="9" t="s">
        <v>327</v>
      </c>
      <c r="C371" s="4" t="s">
        <v>15</v>
      </c>
      <c r="D371" s="4" t="s">
        <v>28</v>
      </c>
      <c r="E371" s="4" t="s">
        <v>16</v>
      </c>
      <c r="F371" s="10">
        <v>0</v>
      </c>
      <c r="G371" s="10">
        <v>0</v>
      </c>
      <c r="H371" s="10">
        <v>0</v>
      </c>
      <c r="I371" s="10">
        <v>0</v>
      </c>
      <c r="J371" s="10">
        <v>0</v>
      </c>
      <c r="K371" s="10">
        <v>0</v>
      </c>
      <c r="L371" s="10">
        <v>0</v>
      </c>
      <c r="M371" s="10">
        <v>0</v>
      </c>
      <c r="N371" s="10">
        <v>23536</v>
      </c>
      <c r="O371" s="10">
        <v>23076</v>
      </c>
      <c r="P371" s="4">
        <v>77669</v>
      </c>
      <c r="Q371" s="4">
        <v>87771</v>
      </c>
      <c r="R371" s="10">
        <v>50646</v>
      </c>
      <c r="S371" s="24">
        <f>SUM(tblSalesData[[#This Row],[FY 2000]:[FY 2012]])</f>
        <v>262698</v>
      </c>
      <c r="T371" s="11">
        <v>1.49</v>
      </c>
      <c r="U371" s="12">
        <f>tblSalesData[[#This Row],[Total Units 
to Date]]*tblSalesData[[#This Row],[Sell Price]]</f>
        <v>391420.02</v>
      </c>
      <c r="V371" s="3"/>
    </row>
    <row r="372" spans="1:22" x14ac:dyDescent="0.2">
      <c r="A372" s="4">
        <v>1063</v>
      </c>
      <c r="B372" s="9" t="s">
        <v>328</v>
      </c>
      <c r="C372" s="4" t="s">
        <v>15</v>
      </c>
      <c r="D372" s="4" t="s">
        <v>28</v>
      </c>
      <c r="E372" s="4" t="s">
        <v>16</v>
      </c>
      <c r="F372" s="10">
        <v>0</v>
      </c>
      <c r="G372" s="10">
        <v>0</v>
      </c>
      <c r="H372" s="10">
        <v>0</v>
      </c>
      <c r="I372" s="10">
        <v>0</v>
      </c>
      <c r="J372" s="10">
        <v>0</v>
      </c>
      <c r="K372" s="10">
        <v>0</v>
      </c>
      <c r="L372" s="10">
        <v>0</v>
      </c>
      <c r="M372" s="10">
        <v>0</v>
      </c>
      <c r="N372" s="10">
        <v>72614</v>
      </c>
      <c r="O372" s="10">
        <v>99887</v>
      </c>
      <c r="P372" s="4">
        <v>33758</v>
      </c>
      <c r="Q372" s="4">
        <v>80846</v>
      </c>
      <c r="R372" s="10">
        <v>7880</v>
      </c>
      <c r="S372" s="24">
        <f>SUM(tblSalesData[[#This Row],[FY 2000]:[FY 2012]])</f>
        <v>294985</v>
      </c>
      <c r="T372" s="11">
        <v>1.49</v>
      </c>
      <c r="U372" s="12">
        <f>tblSalesData[[#This Row],[Total Units 
to Date]]*tblSalesData[[#This Row],[Sell Price]]</f>
        <v>439527.65</v>
      </c>
      <c r="V372" s="3"/>
    </row>
    <row r="373" spans="1:22" x14ac:dyDescent="0.2">
      <c r="A373" s="4">
        <v>1063</v>
      </c>
      <c r="B373" s="9" t="s">
        <v>329</v>
      </c>
      <c r="C373" s="4" t="s">
        <v>26</v>
      </c>
      <c r="D373" s="4" t="s">
        <v>27</v>
      </c>
      <c r="E373" s="4" t="s">
        <v>19</v>
      </c>
      <c r="F373" s="10">
        <v>0</v>
      </c>
      <c r="G373" s="10">
        <v>0</v>
      </c>
      <c r="H373" s="10">
        <v>0</v>
      </c>
      <c r="I373" s="10">
        <v>0</v>
      </c>
      <c r="J373" s="10">
        <v>0</v>
      </c>
      <c r="K373" s="10">
        <v>0</v>
      </c>
      <c r="L373" s="10">
        <v>0</v>
      </c>
      <c r="M373" s="10">
        <v>0</v>
      </c>
      <c r="N373" s="10">
        <v>67033</v>
      </c>
      <c r="O373" s="10">
        <v>93632</v>
      </c>
      <c r="P373" s="4">
        <v>38939</v>
      </c>
      <c r="Q373" s="4">
        <v>37181</v>
      </c>
      <c r="R373" s="4">
        <v>14172</v>
      </c>
      <c r="S373" s="24">
        <f>SUM(tblSalesData[[#This Row],[FY 2000]:[FY 2012]])</f>
        <v>250957</v>
      </c>
      <c r="T373" s="11">
        <v>15.99</v>
      </c>
      <c r="U373" s="12">
        <f>tblSalesData[[#This Row],[Total Units 
to Date]]*tblSalesData[[#This Row],[Sell Price]]</f>
        <v>4012802.43</v>
      </c>
      <c r="V373" s="3"/>
    </row>
    <row r="374" spans="1:22" x14ac:dyDescent="0.2">
      <c r="A374" s="4">
        <v>1063</v>
      </c>
      <c r="B374" s="9" t="s">
        <v>330</v>
      </c>
      <c r="C374" s="4" t="s">
        <v>13</v>
      </c>
      <c r="D374" s="4" t="s">
        <v>27</v>
      </c>
      <c r="E374" s="4" t="s">
        <v>17</v>
      </c>
      <c r="F374" s="10">
        <v>0</v>
      </c>
      <c r="G374" s="10">
        <v>0</v>
      </c>
      <c r="H374" s="10">
        <v>0</v>
      </c>
      <c r="I374" s="10">
        <v>0</v>
      </c>
      <c r="J374" s="10">
        <v>0</v>
      </c>
      <c r="K374" s="10">
        <v>0</v>
      </c>
      <c r="L374" s="10">
        <v>0</v>
      </c>
      <c r="M374" s="10">
        <v>0</v>
      </c>
      <c r="N374" s="10">
        <v>78651</v>
      </c>
      <c r="O374" s="10">
        <v>22555</v>
      </c>
      <c r="P374" s="4">
        <v>65183</v>
      </c>
      <c r="Q374" s="4">
        <v>28585</v>
      </c>
      <c r="R374" s="4">
        <v>6588</v>
      </c>
      <c r="S374" s="24">
        <f>SUM(tblSalesData[[#This Row],[FY 2000]:[FY 2012]])</f>
        <v>201562</v>
      </c>
      <c r="T374" s="11">
        <v>12.99</v>
      </c>
      <c r="U374" s="12">
        <f>tblSalesData[[#This Row],[Total Units 
to Date]]*tblSalesData[[#This Row],[Sell Price]]</f>
        <v>2618290.38</v>
      </c>
      <c r="V374" s="3"/>
    </row>
    <row r="375" spans="1:22" x14ac:dyDescent="0.2">
      <c r="A375" s="4">
        <v>1063</v>
      </c>
      <c r="B375" s="9" t="s">
        <v>331</v>
      </c>
      <c r="C375" s="4" t="s">
        <v>26</v>
      </c>
      <c r="D375" s="4" t="s">
        <v>27</v>
      </c>
      <c r="E375" s="4" t="s">
        <v>17</v>
      </c>
      <c r="F375" s="10">
        <v>0</v>
      </c>
      <c r="G375" s="10">
        <v>0</v>
      </c>
      <c r="H375" s="10">
        <v>0</v>
      </c>
      <c r="I375" s="10">
        <v>0</v>
      </c>
      <c r="J375" s="10">
        <v>0</v>
      </c>
      <c r="K375" s="10">
        <v>0</v>
      </c>
      <c r="L375" s="10">
        <v>0</v>
      </c>
      <c r="M375" s="10">
        <v>0</v>
      </c>
      <c r="N375" s="10">
        <v>69024</v>
      </c>
      <c r="O375" s="10">
        <v>66280</v>
      </c>
      <c r="P375" s="4">
        <v>38870</v>
      </c>
      <c r="Q375" s="4">
        <v>26557</v>
      </c>
      <c r="R375" s="4">
        <v>10448</v>
      </c>
      <c r="S375" s="24">
        <f>SUM(tblSalesData[[#This Row],[FY 2000]:[FY 2012]])</f>
        <v>211179</v>
      </c>
      <c r="T375" s="11">
        <v>12.99</v>
      </c>
      <c r="U375" s="12">
        <f>tblSalesData[[#This Row],[Total Units 
to Date]]*tblSalesData[[#This Row],[Sell Price]]</f>
        <v>2743215.21</v>
      </c>
      <c r="V375" s="3"/>
    </row>
    <row r="376" spans="1:22" x14ac:dyDescent="0.2">
      <c r="A376" s="4">
        <v>1065</v>
      </c>
      <c r="B376" s="9" t="s">
        <v>332</v>
      </c>
      <c r="C376" s="4" t="s">
        <v>14</v>
      </c>
      <c r="D376" s="4" t="s">
        <v>28</v>
      </c>
      <c r="E376" s="4" t="s">
        <v>18</v>
      </c>
      <c r="F376" s="10">
        <v>0</v>
      </c>
      <c r="G376" s="10">
        <v>0</v>
      </c>
      <c r="H376" s="10">
        <v>0</v>
      </c>
      <c r="I376" s="10">
        <v>25707</v>
      </c>
      <c r="J376" s="10">
        <v>5344</v>
      </c>
      <c r="K376" s="10">
        <v>19734</v>
      </c>
      <c r="L376" s="10">
        <v>27328</v>
      </c>
      <c r="M376" s="10">
        <v>62681</v>
      </c>
      <c r="N376" s="10">
        <v>83124</v>
      </c>
      <c r="O376" s="10">
        <v>75685</v>
      </c>
      <c r="P376" s="4">
        <v>177</v>
      </c>
      <c r="Q376" s="4">
        <v>13617</v>
      </c>
      <c r="R376" s="10">
        <v>29898</v>
      </c>
      <c r="S376" s="24">
        <f>SUM(tblSalesData[[#This Row],[FY 2000]:[FY 2012]])</f>
        <v>343295</v>
      </c>
      <c r="T376" s="11">
        <v>0.99</v>
      </c>
      <c r="U376" s="12">
        <f>tblSalesData[[#This Row],[Total Units 
to Date]]*tblSalesData[[#This Row],[Sell Price]]</f>
        <v>339862.05</v>
      </c>
      <c r="V376" s="3"/>
    </row>
    <row r="377" spans="1:22" x14ac:dyDescent="0.2">
      <c r="A377" s="4">
        <v>1065</v>
      </c>
      <c r="B377" s="9" t="s">
        <v>333</v>
      </c>
      <c r="C377" s="4" t="s">
        <v>14</v>
      </c>
      <c r="D377" s="4" t="s">
        <v>27</v>
      </c>
      <c r="E377" s="4" t="s">
        <v>17</v>
      </c>
      <c r="F377" s="10">
        <v>0</v>
      </c>
      <c r="G377" s="10">
        <v>0</v>
      </c>
      <c r="H377" s="10">
        <v>0</v>
      </c>
      <c r="I377" s="10">
        <v>66064</v>
      </c>
      <c r="J377" s="10">
        <v>27106</v>
      </c>
      <c r="K377" s="10">
        <v>90039</v>
      </c>
      <c r="L377" s="10">
        <v>41900</v>
      </c>
      <c r="M377" s="10">
        <v>18673</v>
      </c>
      <c r="N377" s="10">
        <v>97761</v>
      </c>
      <c r="O377" s="10">
        <v>28506</v>
      </c>
      <c r="P377" s="4">
        <v>74239</v>
      </c>
      <c r="Q377" s="4">
        <v>57396</v>
      </c>
      <c r="R377" s="4">
        <v>1157</v>
      </c>
      <c r="S377" s="24">
        <f>SUM(tblSalesData[[#This Row],[FY 2000]:[FY 2012]])</f>
        <v>502841</v>
      </c>
      <c r="T377" s="11">
        <v>12.99</v>
      </c>
      <c r="U377" s="12">
        <f>tblSalesData[[#This Row],[Total Units 
to Date]]*tblSalesData[[#This Row],[Sell Price]]</f>
        <v>6531904.5899999999</v>
      </c>
      <c r="V377" s="3"/>
    </row>
    <row r="378" spans="1:22" x14ac:dyDescent="0.2">
      <c r="A378" s="4">
        <v>1065</v>
      </c>
      <c r="B378" s="9" t="s">
        <v>334</v>
      </c>
      <c r="C378" s="4" t="s">
        <v>14</v>
      </c>
      <c r="D378" s="4" t="s">
        <v>27</v>
      </c>
      <c r="E378" s="4" t="s">
        <v>17</v>
      </c>
      <c r="F378" s="10">
        <v>0</v>
      </c>
      <c r="G378" s="10">
        <v>0</v>
      </c>
      <c r="H378" s="10">
        <v>0</v>
      </c>
      <c r="I378" s="10">
        <v>29055</v>
      </c>
      <c r="J378" s="10">
        <v>26501</v>
      </c>
      <c r="K378" s="10">
        <v>9556</v>
      </c>
      <c r="L378" s="10">
        <v>4576</v>
      </c>
      <c r="M378" s="10">
        <v>83567</v>
      </c>
      <c r="N378" s="10">
        <v>69486</v>
      </c>
      <c r="O378" s="10">
        <v>58551</v>
      </c>
      <c r="P378" s="4">
        <v>67659</v>
      </c>
      <c r="Q378" s="4">
        <v>31856</v>
      </c>
      <c r="R378" s="4">
        <v>33963</v>
      </c>
      <c r="S378" s="24">
        <f>SUM(tblSalesData[[#This Row],[FY 2000]:[FY 2012]])</f>
        <v>414770</v>
      </c>
      <c r="T378" s="11">
        <v>12.99</v>
      </c>
      <c r="U378" s="12">
        <f>tblSalesData[[#This Row],[Total Units 
to Date]]*tblSalesData[[#This Row],[Sell Price]]</f>
        <v>5387862.2999999998</v>
      </c>
      <c r="V378" s="3"/>
    </row>
    <row r="379" spans="1:22" x14ac:dyDescent="0.2">
      <c r="A379" s="4">
        <v>1065</v>
      </c>
      <c r="B379" s="9" t="s">
        <v>335</v>
      </c>
      <c r="C379" s="4" t="s">
        <v>14</v>
      </c>
      <c r="D379" s="4" t="s">
        <v>27</v>
      </c>
      <c r="E379" s="4" t="s">
        <v>16</v>
      </c>
      <c r="F379" s="10">
        <v>0</v>
      </c>
      <c r="G379" s="10">
        <v>0</v>
      </c>
      <c r="H379" s="10">
        <v>0</v>
      </c>
      <c r="I379" s="10">
        <v>0</v>
      </c>
      <c r="J379" s="10">
        <v>64098</v>
      </c>
      <c r="K379" s="10">
        <v>41088</v>
      </c>
      <c r="L379" s="10">
        <v>49603</v>
      </c>
      <c r="M379" s="10">
        <v>18172</v>
      </c>
      <c r="N379" s="10">
        <v>58610</v>
      </c>
      <c r="O379" s="10">
        <v>7406</v>
      </c>
      <c r="P379" s="4">
        <v>55263</v>
      </c>
      <c r="Q379" s="4">
        <v>63960</v>
      </c>
      <c r="R379" s="4">
        <v>14733</v>
      </c>
      <c r="S379" s="24">
        <f>SUM(tblSalesData[[#This Row],[FY 2000]:[FY 2012]])</f>
        <v>372933</v>
      </c>
      <c r="T379" s="11">
        <v>11.99</v>
      </c>
      <c r="U379" s="12">
        <f>tblSalesData[[#This Row],[Total Units 
to Date]]*tblSalesData[[#This Row],[Sell Price]]</f>
        <v>4471466.67</v>
      </c>
      <c r="V379" s="3"/>
    </row>
    <row r="380" spans="1:22" x14ac:dyDescent="0.2">
      <c r="A380" s="4">
        <v>1065</v>
      </c>
      <c r="B380" s="9" t="s">
        <v>336</v>
      </c>
      <c r="C380" s="4" t="s">
        <v>14</v>
      </c>
      <c r="D380" s="4" t="s">
        <v>27</v>
      </c>
      <c r="E380" s="4" t="s">
        <v>16</v>
      </c>
      <c r="F380" s="10">
        <v>0</v>
      </c>
      <c r="G380" s="10">
        <v>0</v>
      </c>
      <c r="H380" s="10">
        <v>0</v>
      </c>
      <c r="I380" s="10">
        <v>0</v>
      </c>
      <c r="J380" s="10">
        <v>34920</v>
      </c>
      <c r="K380" s="10">
        <v>38427</v>
      </c>
      <c r="L380" s="10">
        <v>79307</v>
      </c>
      <c r="M380" s="10">
        <v>69158</v>
      </c>
      <c r="N380" s="10">
        <v>81472</v>
      </c>
      <c r="O380" s="10">
        <v>23241</v>
      </c>
      <c r="P380" s="4">
        <v>59793</v>
      </c>
      <c r="Q380" s="4">
        <v>35459</v>
      </c>
      <c r="R380" s="4">
        <v>26539</v>
      </c>
      <c r="S380" s="24">
        <f>SUM(tblSalesData[[#This Row],[FY 2000]:[FY 2012]])</f>
        <v>448316</v>
      </c>
      <c r="T380" s="11">
        <v>11.99</v>
      </c>
      <c r="U380" s="12">
        <f>tblSalesData[[#This Row],[Total Units 
to Date]]*tblSalesData[[#This Row],[Sell Price]]</f>
        <v>5375308.8399999999</v>
      </c>
      <c r="V380" s="3"/>
    </row>
    <row r="381" spans="1:22" x14ac:dyDescent="0.2">
      <c r="A381" s="4">
        <v>1065</v>
      </c>
      <c r="B381" s="9" t="s">
        <v>337</v>
      </c>
      <c r="C381" s="4" t="s">
        <v>14</v>
      </c>
      <c r="D381" s="4" t="s">
        <v>28</v>
      </c>
      <c r="E381" s="4" t="s">
        <v>19</v>
      </c>
      <c r="F381" s="10">
        <v>0</v>
      </c>
      <c r="G381" s="10">
        <v>0</v>
      </c>
      <c r="H381" s="10">
        <v>0</v>
      </c>
      <c r="I381" s="10">
        <v>0</v>
      </c>
      <c r="J381" s="10">
        <v>44960</v>
      </c>
      <c r="K381" s="10">
        <v>35594</v>
      </c>
      <c r="L381" s="10">
        <v>45759</v>
      </c>
      <c r="M381" s="10">
        <v>1089</v>
      </c>
      <c r="N381" s="10">
        <v>90896</v>
      </c>
      <c r="O381" s="10">
        <v>48110</v>
      </c>
      <c r="P381" s="4">
        <v>88547</v>
      </c>
      <c r="Q381" s="4">
        <v>112528</v>
      </c>
      <c r="R381" s="10">
        <v>85745</v>
      </c>
      <c r="S381" s="24">
        <f>SUM(tblSalesData[[#This Row],[FY 2000]:[FY 2012]])</f>
        <v>553228</v>
      </c>
      <c r="T381" s="11">
        <v>3.99</v>
      </c>
      <c r="U381" s="12">
        <f>tblSalesData[[#This Row],[Total Units 
to Date]]*tblSalesData[[#This Row],[Sell Price]]</f>
        <v>2207379.7200000002</v>
      </c>
      <c r="V381" s="3"/>
    </row>
    <row r="382" spans="1:22" x14ac:dyDescent="0.2">
      <c r="A382" s="4">
        <v>1065</v>
      </c>
      <c r="B382" s="9" t="s">
        <v>338</v>
      </c>
      <c r="C382" s="4" t="s">
        <v>14</v>
      </c>
      <c r="D382" s="4" t="s">
        <v>27</v>
      </c>
      <c r="E382" s="4" t="s">
        <v>18</v>
      </c>
      <c r="F382" s="10">
        <v>0</v>
      </c>
      <c r="G382" s="10">
        <v>0</v>
      </c>
      <c r="H382" s="10">
        <v>0</v>
      </c>
      <c r="I382" s="10">
        <v>0</v>
      </c>
      <c r="J382" s="10">
        <v>40667</v>
      </c>
      <c r="K382" s="10">
        <v>91175</v>
      </c>
      <c r="L382" s="10">
        <v>84026</v>
      </c>
      <c r="M382" s="10">
        <v>93595</v>
      </c>
      <c r="N382" s="10">
        <v>65966</v>
      </c>
      <c r="O382" s="10">
        <v>30573</v>
      </c>
      <c r="P382" s="4">
        <v>60831</v>
      </c>
      <c r="Q382" s="4">
        <v>20130</v>
      </c>
      <c r="R382" s="4">
        <v>2284</v>
      </c>
      <c r="S382" s="24">
        <f>SUM(tblSalesData[[#This Row],[FY 2000]:[FY 2012]])</f>
        <v>489247</v>
      </c>
      <c r="T382" s="11">
        <v>9.99</v>
      </c>
      <c r="U382" s="12">
        <f>tblSalesData[[#This Row],[Total Units 
to Date]]*tblSalesData[[#This Row],[Sell Price]]</f>
        <v>4887577.53</v>
      </c>
      <c r="V382" s="3"/>
    </row>
    <row r="383" spans="1:22" x14ac:dyDescent="0.2">
      <c r="A383" s="4">
        <v>1065</v>
      </c>
      <c r="B383" s="9" t="s">
        <v>339</v>
      </c>
      <c r="C383" s="4" t="s">
        <v>14</v>
      </c>
      <c r="D383" s="4" t="s">
        <v>28</v>
      </c>
      <c r="E383" s="4" t="s">
        <v>16</v>
      </c>
      <c r="F383" s="10">
        <v>0</v>
      </c>
      <c r="G383" s="10">
        <v>0</v>
      </c>
      <c r="H383" s="10">
        <v>0</v>
      </c>
      <c r="I383" s="10">
        <v>0</v>
      </c>
      <c r="J383" s="10">
        <v>0</v>
      </c>
      <c r="K383" s="10">
        <v>97687</v>
      </c>
      <c r="L383" s="10">
        <v>42059</v>
      </c>
      <c r="M383" s="10">
        <v>40939</v>
      </c>
      <c r="N383" s="10">
        <v>47804</v>
      </c>
      <c r="O383" s="10">
        <v>4022</v>
      </c>
      <c r="P383" s="4">
        <v>3628</v>
      </c>
      <c r="Q383" s="4">
        <v>18642</v>
      </c>
      <c r="R383" s="10">
        <v>40662</v>
      </c>
      <c r="S383" s="24">
        <f>SUM(tblSalesData[[#This Row],[FY 2000]:[FY 2012]])</f>
        <v>295443</v>
      </c>
      <c r="T383" s="11">
        <v>1.49</v>
      </c>
      <c r="U383" s="12">
        <f>tblSalesData[[#This Row],[Total Units 
to Date]]*tblSalesData[[#This Row],[Sell Price]]</f>
        <v>440210.07</v>
      </c>
      <c r="V383" s="3"/>
    </row>
    <row r="384" spans="1:22" x14ac:dyDescent="0.2">
      <c r="A384" s="4">
        <v>1065</v>
      </c>
      <c r="B384" s="9" t="s">
        <v>340</v>
      </c>
      <c r="C384" s="4" t="s">
        <v>14</v>
      </c>
      <c r="D384" s="4" t="s">
        <v>27</v>
      </c>
      <c r="E384" s="4" t="s">
        <v>16</v>
      </c>
      <c r="F384" s="10">
        <v>0</v>
      </c>
      <c r="G384" s="10">
        <v>0</v>
      </c>
      <c r="H384" s="10">
        <v>0</v>
      </c>
      <c r="I384" s="10">
        <v>0</v>
      </c>
      <c r="J384" s="10">
        <v>0</v>
      </c>
      <c r="K384" s="10">
        <v>53675</v>
      </c>
      <c r="L384" s="10">
        <v>40011</v>
      </c>
      <c r="M384" s="10">
        <v>28415</v>
      </c>
      <c r="N384" s="10">
        <v>43336</v>
      </c>
      <c r="O384" s="10">
        <v>39700</v>
      </c>
      <c r="P384" s="4">
        <v>70646</v>
      </c>
      <c r="Q384" s="4">
        <v>2911</v>
      </c>
      <c r="R384" s="4">
        <v>15233</v>
      </c>
      <c r="S384" s="24">
        <f>SUM(tblSalesData[[#This Row],[FY 2000]:[FY 2012]])</f>
        <v>293927</v>
      </c>
      <c r="T384" s="11">
        <v>11.99</v>
      </c>
      <c r="U384" s="12">
        <f>tblSalesData[[#This Row],[Total Units 
to Date]]*tblSalesData[[#This Row],[Sell Price]]</f>
        <v>3524184.73</v>
      </c>
      <c r="V384" s="3"/>
    </row>
    <row r="385" spans="1:22" x14ac:dyDescent="0.2">
      <c r="A385" s="4">
        <v>1065</v>
      </c>
      <c r="B385" s="9" t="s">
        <v>341</v>
      </c>
      <c r="C385" s="4" t="s">
        <v>14</v>
      </c>
      <c r="D385" s="4" t="s">
        <v>28</v>
      </c>
      <c r="E385" s="4" t="s">
        <v>17</v>
      </c>
      <c r="F385" s="10">
        <v>0</v>
      </c>
      <c r="G385" s="10">
        <v>0</v>
      </c>
      <c r="H385" s="10">
        <v>0</v>
      </c>
      <c r="I385" s="10">
        <v>0</v>
      </c>
      <c r="J385" s="10">
        <v>0</v>
      </c>
      <c r="K385" s="10">
        <v>0</v>
      </c>
      <c r="L385" s="10">
        <v>18603</v>
      </c>
      <c r="M385" s="10">
        <v>64505</v>
      </c>
      <c r="N385" s="10">
        <v>58145</v>
      </c>
      <c r="O385" s="10">
        <v>68398</v>
      </c>
      <c r="P385" s="4">
        <v>1303</v>
      </c>
      <c r="Q385" s="4">
        <v>41370</v>
      </c>
      <c r="R385" s="10">
        <v>16884</v>
      </c>
      <c r="S385" s="24">
        <f>SUM(tblSalesData[[#This Row],[FY 2000]:[FY 2012]])</f>
        <v>269208</v>
      </c>
      <c r="T385" s="11">
        <v>1.99</v>
      </c>
      <c r="U385" s="12">
        <f>tblSalesData[[#This Row],[Total Units 
to Date]]*tblSalesData[[#This Row],[Sell Price]]</f>
        <v>535723.92000000004</v>
      </c>
      <c r="V385" s="3"/>
    </row>
    <row r="386" spans="1:22" x14ac:dyDescent="0.2">
      <c r="A386" s="4">
        <v>1065</v>
      </c>
      <c r="B386" s="9" t="s">
        <v>342</v>
      </c>
      <c r="C386" s="4" t="s">
        <v>14</v>
      </c>
      <c r="D386" s="4" t="s">
        <v>27</v>
      </c>
      <c r="E386" s="4" t="s">
        <v>16</v>
      </c>
      <c r="F386" s="10">
        <v>0</v>
      </c>
      <c r="G386" s="10">
        <v>0</v>
      </c>
      <c r="H386" s="10">
        <v>0</v>
      </c>
      <c r="I386" s="10">
        <v>0</v>
      </c>
      <c r="J386" s="10">
        <v>0</v>
      </c>
      <c r="K386" s="10">
        <v>0</v>
      </c>
      <c r="L386" s="10">
        <v>12800</v>
      </c>
      <c r="M386" s="10">
        <v>88087</v>
      </c>
      <c r="N386" s="10">
        <v>63865</v>
      </c>
      <c r="O386" s="10">
        <v>12613</v>
      </c>
      <c r="P386" s="4">
        <v>76832</v>
      </c>
      <c r="Q386" s="4">
        <v>36260</v>
      </c>
      <c r="R386" s="4">
        <v>20813</v>
      </c>
      <c r="S386" s="24">
        <f>SUM(tblSalesData[[#This Row],[FY 2000]:[FY 2012]])</f>
        <v>311270</v>
      </c>
      <c r="T386" s="11">
        <v>11.99</v>
      </c>
      <c r="U386" s="12">
        <f>tblSalesData[[#This Row],[Total Units 
to Date]]*tblSalesData[[#This Row],[Sell Price]]</f>
        <v>3732127.3000000003</v>
      </c>
      <c r="V386" s="3"/>
    </row>
    <row r="387" spans="1:22" x14ac:dyDescent="0.2">
      <c r="A387" s="4">
        <v>1065</v>
      </c>
      <c r="B387" s="9" t="s">
        <v>342</v>
      </c>
      <c r="C387" s="4" t="s">
        <v>14</v>
      </c>
      <c r="D387" s="4" t="s">
        <v>27</v>
      </c>
      <c r="E387" s="4" t="s">
        <v>17</v>
      </c>
      <c r="F387" s="10">
        <v>0</v>
      </c>
      <c r="G387" s="10">
        <v>0</v>
      </c>
      <c r="H387" s="10">
        <v>0</v>
      </c>
      <c r="I387" s="10">
        <v>0</v>
      </c>
      <c r="J387" s="10">
        <v>0</v>
      </c>
      <c r="K387" s="10">
        <v>0</v>
      </c>
      <c r="L387" s="10">
        <v>15378</v>
      </c>
      <c r="M387" s="10">
        <v>93870</v>
      </c>
      <c r="N387" s="10">
        <v>31160</v>
      </c>
      <c r="O387" s="10">
        <v>10327</v>
      </c>
      <c r="P387" s="4">
        <v>19724</v>
      </c>
      <c r="Q387" s="4">
        <v>46541</v>
      </c>
      <c r="R387" s="4">
        <v>24085</v>
      </c>
      <c r="S387" s="24">
        <f>SUM(tblSalesData[[#This Row],[FY 2000]:[FY 2012]])</f>
        <v>241085</v>
      </c>
      <c r="T387" s="11">
        <v>12.99</v>
      </c>
      <c r="U387" s="12">
        <f>tblSalesData[[#This Row],[Total Units 
to Date]]*tblSalesData[[#This Row],[Sell Price]]</f>
        <v>3131694.15</v>
      </c>
      <c r="V387" s="3"/>
    </row>
    <row r="388" spans="1:22" x14ac:dyDescent="0.2">
      <c r="A388" s="4">
        <v>1065</v>
      </c>
      <c r="B388" s="9" t="s">
        <v>343</v>
      </c>
      <c r="C388" s="4" t="s">
        <v>14</v>
      </c>
      <c r="D388" s="4" t="s">
        <v>27</v>
      </c>
      <c r="E388" s="4" t="s">
        <v>16</v>
      </c>
      <c r="F388" s="10">
        <v>0</v>
      </c>
      <c r="G388" s="10">
        <v>0</v>
      </c>
      <c r="H388" s="10">
        <v>0</v>
      </c>
      <c r="I388" s="10">
        <v>0</v>
      </c>
      <c r="J388" s="10">
        <v>0</v>
      </c>
      <c r="K388" s="10">
        <v>0</v>
      </c>
      <c r="L388" s="10">
        <v>0</v>
      </c>
      <c r="M388" s="10">
        <v>92296</v>
      </c>
      <c r="N388" s="10">
        <v>6497</v>
      </c>
      <c r="O388" s="10">
        <v>59917</v>
      </c>
      <c r="P388" s="4">
        <v>66373</v>
      </c>
      <c r="Q388" s="4">
        <v>67164</v>
      </c>
      <c r="R388" s="4">
        <v>14842</v>
      </c>
      <c r="S388" s="24">
        <f>SUM(tblSalesData[[#This Row],[FY 2000]:[FY 2012]])</f>
        <v>307089</v>
      </c>
      <c r="T388" s="11">
        <v>11.99</v>
      </c>
      <c r="U388" s="12">
        <f>tblSalesData[[#This Row],[Total Units 
to Date]]*tblSalesData[[#This Row],[Sell Price]]</f>
        <v>3681997.11</v>
      </c>
      <c r="V388" s="3"/>
    </row>
    <row r="389" spans="1:22" x14ac:dyDescent="0.2">
      <c r="A389" s="4">
        <v>1065</v>
      </c>
      <c r="B389" s="9" t="s">
        <v>344</v>
      </c>
      <c r="C389" s="4" t="s">
        <v>14</v>
      </c>
      <c r="D389" s="4" t="s">
        <v>27</v>
      </c>
      <c r="E389" s="4" t="s">
        <v>17</v>
      </c>
      <c r="F389" s="10">
        <v>0</v>
      </c>
      <c r="G389" s="10">
        <v>0</v>
      </c>
      <c r="H389" s="10">
        <v>0</v>
      </c>
      <c r="I389" s="10">
        <v>0</v>
      </c>
      <c r="J389" s="10">
        <v>0</v>
      </c>
      <c r="K389" s="10">
        <v>0</v>
      </c>
      <c r="L389" s="10">
        <v>0</v>
      </c>
      <c r="M389" s="10">
        <v>18838</v>
      </c>
      <c r="N389" s="10">
        <v>26919</v>
      </c>
      <c r="O389" s="10">
        <v>10768</v>
      </c>
      <c r="P389" s="4">
        <v>55608</v>
      </c>
      <c r="Q389" s="4">
        <v>67345</v>
      </c>
      <c r="R389" s="4">
        <v>31452</v>
      </c>
      <c r="S389" s="24">
        <f>SUM(tblSalesData[[#This Row],[FY 2000]:[FY 2012]])</f>
        <v>210930</v>
      </c>
      <c r="T389" s="11">
        <v>12.99</v>
      </c>
      <c r="U389" s="12">
        <f>tblSalesData[[#This Row],[Total Units 
to Date]]*tblSalesData[[#This Row],[Sell Price]]</f>
        <v>2739980.7</v>
      </c>
      <c r="V389" s="3"/>
    </row>
    <row r="390" spans="1:22" x14ac:dyDescent="0.2">
      <c r="A390" s="4">
        <v>1065</v>
      </c>
      <c r="B390" s="9" t="s">
        <v>344</v>
      </c>
      <c r="C390" s="4" t="s">
        <v>14</v>
      </c>
      <c r="D390" s="4" t="s">
        <v>28</v>
      </c>
      <c r="E390" s="4" t="s">
        <v>16</v>
      </c>
      <c r="F390" s="10">
        <v>0</v>
      </c>
      <c r="G390" s="10">
        <v>0</v>
      </c>
      <c r="H390" s="10">
        <v>0</v>
      </c>
      <c r="I390" s="10">
        <v>0</v>
      </c>
      <c r="J390" s="10">
        <v>0</v>
      </c>
      <c r="K390" s="10">
        <v>0</v>
      </c>
      <c r="L390" s="10">
        <v>0</v>
      </c>
      <c r="M390" s="10">
        <v>23999</v>
      </c>
      <c r="N390" s="10">
        <v>12007</v>
      </c>
      <c r="O390" s="10">
        <v>43405</v>
      </c>
      <c r="P390" s="4">
        <v>3925</v>
      </c>
      <c r="Q390" s="4">
        <v>53343</v>
      </c>
      <c r="R390" s="10">
        <v>40672</v>
      </c>
      <c r="S390" s="24">
        <f>SUM(tblSalesData[[#This Row],[FY 2000]:[FY 2012]])</f>
        <v>177351</v>
      </c>
      <c r="T390" s="11">
        <v>1.49</v>
      </c>
      <c r="U390" s="12">
        <f>tblSalesData[[#This Row],[Total Units 
to Date]]*tblSalesData[[#This Row],[Sell Price]]</f>
        <v>264252.99</v>
      </c>
      <c r="V390" s="3"/>
    </row>
    <row r="391" spans="1:22" x14ac:dyDescent="0.2">
      <c r="A391" s="4">
        <v>1065</v>
      </c>
      <c r="B391" s="9" t="s">
        <v>345</v>
      </c>
      <c r="C391" s="4" t="s">
        <v>14</v>
      </c>
      <c r="D391" s="4" t="s">
        <v>28</v>
      </c>
      <c r="E391" s="4" t="s">
        <v>18</v>
      </c>
      <c r="F391" s="10">
        <v>0</v>
      </c>
      <c r="G391" s="10">
        <v>0</v>
      </c>
      <c r="H391" s="10">
        <v>0</v>
      </c>
      <c r="I391" s="10">
        <v>0</v>
      </c>
      <c r="J391" s="10">
        <v>0</v>
      </c>
      <c r="K391" s="10">
        <v>0</v>
      </c>
      <c r="L391" s="10">
        <v>0</v>
      </c>
      <c r="M391" s="10">
        <v>0</v>
      </c>
      <c r="N391" s="10">
        <v>59164</v>
      </c>
      <c r="O391" s="10">
        <v>92339</v>
      </c>
      <c r="P391" s="4">
        <v>38158</v>
      </c>
      <c r="Q391" s="4">
        <v>65752</v>
      </c>
      <c r="R391" s="10">
        <v>97153</v>
      </c>
      <c r="S391" s="24">
        <f>SUM(tblSalesData[[#This Row],[FY 2000]:[FY 2012]])</f>
        <v>352566</v>
      </c>
      <c r="T391" s="11">
        <v>0.99</v>
      </c>
      <c r="U391" s="12">
        <f>tblSalesData[[#This Row],[Total Units 
to Date]]*tblSalesData[[#This Row],[Sell Price]]</f>
        <v>349040.34</v>
      </c>
      <c r="V391" s="3"/>
    </row>
    <row r="392" spans="1:22" x14ac:dyDescent="0.2">
      <c r="A392" s="4">
        <v>1065</v>
      </c>
      <c r="B392" s="9" t="s">
        <v>346</v>
      </c>
      <c r="C392" s="4" t="s">
        <v>14</v>
      </c>
      <c r="D392" s="4" t="s">
        <v>27</v>
      </c>
      <c r="E392" s="4" t="s">
        <v>16</v>
      </c>
      <c r="F392" s="10">
        <v>0</v>
      </c>
      <c r="G392" s="10">
        <v>0</v>
      </c>
      <c r="H392" s="10">
        <v>0</v>
      </c>
      <c r="I392" s="10">
        <v>0</v>
      </c>
      <c r="J392" s="10">
        <v>0</v>
      </c>
      <c r="K392" s="10">
        <v>0</v>
      </c>
      <c r="L392" s="10">
        <v>0</v>
      </c>
      <c r="M392" s="10">
        <v>0</v>
      </c>
      <c r="N392" s="10">
        <v>0</v>
      </c>
      <c r="O392" s="10">
        <v>32263</v>
      </c>
      <c r="P392" s="4">
        <v>28130</v>
      </c>
      <c r="Q392" s="4">
        <v>26054</v>
      </c>
      <c r="R392" s="4">
        <v>7696</v>
      </c>
      <c r="S392" s="24">
        <f>SUM(tblSalesData[[#This Row],[FY 2000]:[FY 2012]])</f>
        <v>94143</v>
      </c>
      <c r="T392" s="11">
        <v>11.99</v>
      </c>
      <c r="U392" s="12">
        <f>tblSalesData[[#This Row],[Total Units 
to Date]]*tblSalesData[[#This Row],[Sell Price]]</f>
        <v>1128774.57</v>
      </c>
      <c r="V392" s="3"/>
    </row>
    <row r="393" spans="1:22" x14ac:dyDescent="0.2">
      <c r="A393" s="4">
        <v>1065</v>
      </c>
      <c r="B393" s="9" t="s">
        <v>346</v>
      </c>
      <c r="C393" s="4" t="s">
        <v>14</v>
      </c>
      <c r="D393" s="4" t="s">
        <v>27</v>
      </c>
      <c r="E393" s="4" t="s">
        <v>18</v>
      </c>
      <c r="F393" s="10">
        <v>0</v>
      </c>
      <c r="G393" s="10">
        <v>0</v>
      </c>
      <c r="H393" s="10">
        <v>0</v>
      </c>
      <c r="I393" s="10">
        <v>0</v>
      </c>
      <c r="J393" s="10">
        <v>0</v>
      </c>
      <c r="K393" s="10">
        <v>0</v>
      </c>
      <c r="L393" s="10">
        <v>0</v>
      </c>
      <c r="M393" s="10">
        <v>0</v>
      </c>
      <c r="N393" s="10">
        <v>37773</v>
      </c>
      <c r="O393" s="10">
        <v>51364</v>
      </c>
      <c r="P393" s="4">
        <v>4739</v>
      </c>
      <c r="Q393" s="4">
        <v>39620</v>
      </c>
      <c r="R393" s="4">
        <v>9716</v>
      </c>
      <c r="S393" s="24">
        <f>SUM(tblSalesData[[#This Row],[FY 2000]:[FY 2012]])</f>
        <v>143212</v>
      </c>
      <c r="T393" s="11">
        <v>9.99</v>
      </c>
      <c r="U393" s="12">
        <f>tblSalesData[[#This Row],[Total Units 
to Date]]*tblSalesData[[#This Row],[Sell Price]]</f>
        <v>1430687.8800000001</v>
      </c>
      <c r="V393" s="3"/>
    </row>
    <row r="394" spans="1:22" x14ac:dyDescent="0.2">
      <c r="A394" s="4">
        <v>1065</v>
      </c>
      <c r="B394" s="9" t="s">
        <v>347</v>
      </c>
      <c r="C394" s="4" t="s">
        <v>14</v>
      </c>
      <c r="D394" s="4" t="s">
        <v>27</v>
      </c>
      <c r="E394" s="4" t="s">
        <v>17</v>
      </c>
      <c r="F394" s="10">
        <v>0</v>
      </c>
      <c r="G394" s="10">
        <v>0</v>
      </c>
      <c r="H394" s="10">
        <v>0</v>
      </c>
      <c r="I394" s="10">
        <v>0</v>
      </c>
      <c r="J394" s="10">
        <v>0</v>
      </c>
      <c r="K394" s="10">
        <v>0</v>
      </c>
      <c r="L394" s="10">
        <v>0</v>
      </c>
      <c r="M394" s="10">
        <v>0</v>
      </c>
      <c r="N394" s="10">
        <v>0</v>
      </c>
      <c r="O394" s="10">
        <v>7169</v>
      </c>
      <c r="P394" s="4">
        <v>15564</v>
      </c>
      <c r="Q394" s="4">
        <v>67018</v>
      </c>
      <c r="R394" s="4">
        <v>23819</v>
      </c>
      <c r="S394" s="24">
        <f>SUM(tblSalesData[[#This Row],[FY 2000]:[FY 2012]])</f>
        <v>113570</v>
      </c>
      <c r="T394" s="11">
        <v>12.99</v>
      </c>
      <c r="U394" s="12">
        <f>tblSalesData[[#This Row],[Total Units 
to Date]]*tblSalesData[[#This Row],[Sell Price]]</f>
        <v>1475274.3</v>
      </c>
      <c r="V394" s="3"/>
    </row>
    <row r="395" spans="1:22" x14ac:dyDescent="0.2">
      <c r="A395" s="4">
        <v>1065</v>
      </c>
      <c r="B395" s="9" t="s">
        <v>348</v>
      </c>
      <c r="C395" s="4" t="s">
        <v>14</v>
      </c>
      <c r="D395" s="4" t="s">
        <v>27</v>
      </c>
      <c r="E395" s="4" t="s">
        <v>19</v>
      </c>
      <c r="F395" s="10">
        <v>0</v>
      </c>
      <c r="G395" s="10">
        <v>0</v>
      </c>
      <c r="H395" s="10">
        <v>0</v>
      </c>
      <c r="I395" s="10">
        <v>0</v>
      </c>
      <c r="J395" s="10">
        <v>0</v>
      </c>
      <c r="K395" s="10">
        <v>0</v>
      </c>
      <c r="L395" s="10">
        <v>0</v>
      </c>
      <c r="M395" s="10">
        <v>0</v>
      </c>
      <c r="N395" s="10">
        <v>0</v>
      </c>
      <c r="O395" s="10">
        <v>0</v>
      </c>
      <c r="P395" s="4">
        <v>60282</v>
      </c>
      <c r="Q395" s="4">
        <v>61151</v>
      </c>
      <c r="R395" s="4">
        <v>28111</v>
      </c>
      <c r="S395" s="24">
        <f>SUM(tblSalesData[[#This Row],[FY 2000]:[FY 2012]])</f>
        <v>149544</v>
      </c>
      <c r="T395" s="11">
        <v>15.99</v>
      </c>
      <c r="U395" s="12">
        <f>tblSalesData[[#This Row],[Total Units 
to Date]]*tblSalesData[[#This Row],[Sell Price]]</f>
        <v>2391208.56</v>
      </c>
      <c r="V395" s="3"/>
    </row>
    <row r="396" spans="1:22" x14ac:dyDescent="0.2">
      <c r="A396" s="4">
        <v>1065</v>
      </c>
      <c r="B396" s="9" t="s">
        <v>348</v>
      </c>
      <c r="C396" s="4" t="s">
        <v>14</v>
      </c>
      <c r="D396" s="4" t="s">
        <v>28</v>
      </c>
      <c r="E396" s="4" t="s">
        <v>16</v>
      </c>
      <c r="F396" s="10">
        <v>0</v>
      </c>
      <c r="G396" s="10">
        <v>0</v>
      </c>
      <c r="H396" s="10">
        <v>0</v>
      </c>
      <c r="I396" s="10">
        <v>0</v>
      </c>
      <c r="J396" s="10">
        <v>0</v>
      </c>
      <c r="K396" s="10">
        <v>0</v>
      </c>
      <c r="L396" s="10">
        <v>0</v>
      </c>
      <c r="M396" s="10">
        <v>0</v>
      </c>
      <c r="N396" s="10">
        <v>0</v>
      </c>
      <c r="O396" s="10">
        <v>59551</v>
      </c>
      <c r="P396" s="4">
        <v>36146</v>
      </c>
      <c r="Q396" s="4">
        <v>57049</v>
      </c>
      <c r="R396" s="10">
        <v>97906</v>
      </c>
      <c r="S396" s="24">
        <f>SUM(tblSalesData[[#This Row],[FY 2000]:[FY 2012]])</f>
        <v>250652</v>
      </c>
      <c r="T396" s="11">
        <v>1.49</v>
      </c>
      <c r="U396" s="12">
        <f>tblSalesData[[#This Row],[Total Units 
to Date]]*tblSalesData[[#This Row],[Sell Price]]</f>
        <v>373471.48</v>
      </c>
      <c r="V396" s="3"/>
    </row>
    <row r="397" spans="1:22" x14ac:dyDescent="0.2">
      <c r="A397" s="4">
        <v>1065</v>
      </c>
      <c r="B397" s="9" t="s">
        <v>349</v>
      </c>
      <c r="C397" s="4" t="s">
        <v>14</v>
      </c>
      <c r="D397" s="4" t="s">
        <v>28</v>
      </c>
      <c r="E397" s="4" t="s">
        <v>19</v>
      </c>
      <c r="F397" s="10">
        <v>0</v>
      </c>
      <c r="G397" s="10">
        <v>0</v>
      </c>
      <c r="H397" s="10">
        <v>0</v>
      </c>
      <c r="I397" s="10">
        <v>0</v>
      </c>
      <c r="J397" s="10">
        <v>0</v>
      </c>
      <c r="K397" s="10">
        <v>0</v>
      </c>
      <c r="L397" s="10">
        <v>0</v>
      </c>
      <c r="M397" s="10">
        <v>0</v>
      </c>
      <c r="N397" s="10">
        <v>0</v>
      </c>
      <c r="O397" s="10">
        <v>0</v>
      </c>
      <c r="P397" s="4">
        <v>103075</v>
      </c>
      <c r="Q397" s="4">
        <v>40460</v>
      </c>
      <c r="R397" s="10">
        <v>15564</v>
      </c>
      <c r="S397" s="24">
        <f>SUM(tblSalesData[[#This Row],[FY 2000]:[FY 2012]])</f>
        <v>159099</v>
      </c>
      <c r="T397" s="11">
        <v>3.99</v>
      </c>
      <c r="U397" s="12">
        <f>tblSalesData[[#This Row],[Total Units 
to Date]]*tblSalesData[[#This Row],[Sell Price]]</f>
        <v>634805.01</v>
      </c>
      <c r="V397" s="3"/>
    </row>
    <row r="398" spans="1:22" x14ac:dyDescent="0.2">
      <c r="A398" s="4">
        <v>1065</v>
      </c>
      <c r="B398" s="9" t="s">
        <v>350</v>
      </c>
      <c r="C398" s="4" t="s">
        <v>14</v>
      </c>
      <c r="D398" s="4" t="s">
        <v>27</v>
      </c>
      <c r="E398" s="4" t="s">
        <v>18</v>
      </c>
      <c r="F398" s="10">
        <v>0</v>
      </c>
      <c r="G398" s="10">
        <v>0</v>
      </c>
      <c r="H398" s="10">
        <v>0</v>
      </c>
      <c r="I398" s="10">
        <v>0</v>
      </c>
      <c r="J398" s="10">
        <v>0</v>
      </c>
      <c r="K398" s="10">
        <v>0</v>
      </c>
      <c r="L398" s="10">
        <v>0</v>
      </c>
      <c r="M398" s="10">
        <v>0</v>
      </c>
      <c r="N398" s="10">
        <v>0</v>
      </c>
      <c r="O398" s="10">
        <v>0</v>
      </c>
      <c r="P398" s="4">
        <v>8354</v>
      </c>
      <c r="Q398" s="4">
        <v>58790</v>
      </c>
      <c r="R398" s="4">
        <v>19199</v>
      </c>
      <c r="S398" s="24">
        <f>SUM(tblSalesData[[#This Row],[FY 2000]:[FY 2012]])</f>
        <v>86343</v>
      </c>
      <c r="T398" s="11">
        <v>9.99</v>
      </c>
      <c r="U398" s="12">
        <f>tblSalesData[[#This Row],[Total Units 
to Date]]*tblSalesData[[#This Row],[Sell Price]]</f>
        <v>862566.57000000007</v>
      </c>
      <c r="V398" s="3"/>
    </row>
    <row r="399" spans="1:22" x14ac:dyDescent="0.2">
      <c r="A399" s="4">
        <v>1065</v>
      </c>
      <c r="B399" s="9" t="s">
        <v>350</v>
      </c>
      <c r="C399" s="4" t="s">
        <v>14</v>
      </c>
      <c r="D399" s="4" t="s">
        <v>28</v>
      </c>
      <c r="E399" s="4" t="s">
        <v>17</v>
      </c>
      <c r="F399" s="10">
        <v>0</v>
      </c>
      <c r="G399" s="10">
        <v>0</v>
      </c>
      <c r="H399" s="10">
        <v>0</v>
      </c>
      <c r="I399" s="10">
        <v>0</v>
      </c>
      <c r="J399" s="10">
        <v>0</v>
      </c>
      <c r="K399" s="10">
        <v>0</v>
      </c>
      <c r="L399" s="10">
        <v>0</v>
      </c>
      <c r="M399" s="10">
        <v>0</v>
      </c>
      <c r="N399" s="10">
        <v>0</v>
      </c>
      <c r="O399" s="10">
        <v>0</v>
      </c>
      <c r="P399" s="4">
        <v>73506</v>
      </c>
      <c r="Q399" s="4">
        <v>36510</v>
      </c>
      <c r="R399" s="10">
        <v>97379</v>
      </c>
      <c r="S399" s="24">
        <f>SUM(tblSalesData[[#This Row],[FY 2000]:[FY 2012]])</f>
        <v>207395</v>
      </c>
      <c r="T399" s="11">
        <v>1.99</v>
      </c>
      <c r="U399" s="12">
        <f>tblSalesData[[#This Row],[Total Units 
to Date]]*tblSalesData[[#This Row],[Sell Price]]</f>
        <v>412716.05</v>
      </c>
      <c r="V399" s="3"/>
    </row>
    <row r="400" spans="1:22" x14ac:dyDescent="0.2">
      <c r="A400" s="4">
        <v>1065</v>
      </c>
      <c r="B400" s="9" t="s">
        <v>351</v>
      </c>
      <c r="C400" s="4" t="s">
        <v>14</v>
      </c>
      <c r="D400" s="4" t="s">
        <v>27</v>
      </c>
      <c r="E400" s="4" t="s">
        <v>18</v>
      </c>
      <c r="F400" s="10">
        <v>0</v>
      </c>
      <c r="G400" s="10">
        <v>0</v>
      </c>
      <c r="H400" s="10">
        <v>0</v>
      </c>
      <c r="I400" s="10">
        <v>0</v>
      </c>
      <c r="J400" s="10">
        <v>0</v>
      </c>
      <c r="K400" s="10">
        <v>0</v>
      </c>
      <c r="L400" s="10">
        <v>0</v>
      </c>
      <c r="M400" s="10">
        <v>0</v>
      </c>
      <c r="N400" s="10">
        <v>0</v>
      </c>
      <c r="O400" s="10">
        <v>0</v>
      </c>
      <c r="P400" s="4">
        <v>58644</v>
      </c>
      <c r="Q400" s="4">
        <v>52988</v>
      </c>
      <c r="R400" s="4">
        <v>9939</v>
      </c>
      <c r="S400" s="24">
        <f>SUM(tblSalesData[[#This Row],[FY 2000]:[FY 2012]])</f>
        <v>121571</v>
      </c>
      <c r="T400" s="11">
        <v>9.99</v>
      </c>
      <c r="U400" s="12">
        <f>tblSalesData[[#This Row],[Total Units 
to Date]]*tblSalesData[[#This Row],[Sell Price]]</f>
        <v>1214494.29</v>
      </c>
      <c r="V400" s="3"/>
    </row>
    <row r="401" spans="1:22" x14ac:dyDescent="0.2">
      <c r="A401" s="4">
        <v>1065</v>
      </c>
      <c r="B401" s="9" t="s">
        <v>352</v>
      </c>
      <c r="C401" s="4" t="s">
        <v>14</v>
      </c>
      <c r="D401" s="4" t="s">
        <v>27</v>
      </c>
      <c r="E401" s="4" t="s">
        <v>19</v>
      </c>
      <c r="F401" s="10">
        <v>0</v>
      </c>
      <c r="G401" s="10">
        <v>66315</v>
      </c>
      <c r="H401" s="10">
        <v>34662</v>
      </c>
      <c r="I401" s="10">
        <v>35173</v>
      </c>
      <c r="J401" s="10">
        <v>72882</v>
      </c>
      <c r="K401" s="10">
        <v>26244</v>
      </c>
      <c r="L401" s="10">
        <v>73315</v>
      </c>
      <c r="M401" s="10">
        <v>41665</v>
      </c>
      <c r="N401" s="10">
        <v>93230</v>
      </c>
      <c r="O401" s="10">
        <v>89699</v>
      </c>
      <c r="P401" s="4">
        <v>59904</v>
      </c>
      <c r="Q401" s="4">
        <v>56426</v>
      </c>
      <c r="R401" s="4">
        <v>15742</v>
      </c>
      <c r="S401" s="24">
        <f>SUM(tblSalesData[[#This Row],[FY 2000]:[FY 2012]])</f>
        <v>665257</v>
      </c>
      <c r="T401" s="11">
        <v>15.99</v>
      </c>
      <c r="U401" s="12">
        <f>tblSalesData[[#This Row],[Total Units 
to Date]]*tblSalesData[[#This Row],[Sell Price]]</f>
        <v>10637459.43</v>
      </c>
      <c r="V401" s="3"/>
    </row>
    <row r="402" spans="1:22" x14ac:dyDescent="0.2">
      <c r="A402" s="4">
        <v>1065</v>
      </c>
      <c r="B402" s="9" t="s">
        <v>352</v>
      </c>
      <c r="C402" s="4" t="s">
        <v>14</v>
      </c>
      <c r="D402" s="4" t="s">
        <v>28</v>
      </c>
      <c r="E402" s="4" t="s">
        <v>17</v>
      </c>
      <c r="F402" s="10">
        <v>0</v>
      </c>
      <c r="G402" s="10">
        <v>33561</v>
      </c>
      <c r="H402" s="10">
        <v>95542</v>
      </c>
      <c r="I402" s="10">
        <v>8850</v>
      </c>
      <c r="J402" s="10">
        <v>37290</v>
      </c>
      <c r="K402" s="10">
        <v>94143</v>
      </c>
      <c r="L402" s="10">
        <v>26408</v>
      </c>
      <c r="M402" s="10">
        <v>3216</v>
      </c>
      <c r="N402" s="10">
        <v>73131</v>
      </c>
      <c r="O402" s="10">
        <v>68338</v>
      </c>
      <c r="P402" s="4">
        <v>32618</v>
      </c>
      <c r="Q402" s="4">
        <v>102866</v>
      </c>
      <c r="R402" s="10">
        <v>73591</v>
      </c>
      <c r="S402" s="24">
        <f>SUM(tblSalesData[[#This Row],[FY 2000]:[FY 2012]])</f>
        <v>649554</v>
      </c>
      <c r="T402" s="11">
        <v>1.99</v>
      </c>
      <c r="U402" s="12">
        <f>tblSalesData[[#This Row],[Total Units 
to Date]]*tblSalesData[[#This Row],[Sell Price]]</f>
        <v>1292612.46</v>
      </c>
      <c r="V402" s="3"/>
    </row>
    <row r="403" spans="1:22" x14ac:dyDescent="0.2">
      <c r="A403" s="4">
        <v>1065</v>
      </c>
      <c r="B403" s="9" t="s">
        <v>352</v>
      </c>
      <c r="C403" s="4" t="s">
        <v>14</v>
      </c>
      <c r="D403" s="4" t="s">
        <v>28</v>
      </c>
      <c r="E403" s="4" t="s">
        <v>19</v>
      </c>
      <c r="F403" s="10">
        <v>0</v>
      </c>
      <c r="G403" s="10">
        <v>85331</v>
      </c>
      <c r="H403" s="10">
        <v>2856</v>
      </c>
      <c r="I403" s="10">
        <v>42382</v>
      </c>
      <c r="J403" s="10">
        <v>23548</v>
      </c>
      <c r="K403" s="10">
        <v>98756</v>
      </c>
      <c r="L403" s="10">
        <v>8145</v>
      </c>
      <c r="M403" s="10">
        <v>49781</v>
      </c>
      <c r="N403" s="10">
        <v>52158</v>
      </c>
      <c r="O403" s="10">
        <v>24314</v>
      </c>
      <c r="P403" s="4">
        <v>34036</v>
      </c>
      <c r="Q403" s="4">
        <v>104821</v>
      </c>
      <c r="R403" s="10">
        <v>63350</v>
      </c>
      <c r="S403" s="24">
        <f>SUM(tblSalesData[[#This Row],[FY 2000]:[FY 2012]])</f>
        <v>589478</v>
      </c>
      <c r="T403" s="11">
        <v>3.99</v>
      </c>
      <c r="U403" s="12">
        <f>tblSalesData[[#This Row],[Total Units 
to Date]]*tblSalesData[[#This Row],[Sell Price]]</f>
        <v>2352017.2200000002</v>
      </c>
      <c r="V403" s="3"/>
    </row>
    <row r="404" spans="1:22" x14ac:dyDescent="0.2">
      <c r="A404" s="4">
        <v>1065</v>
      </c>
      <c r="B404" s="9" t="s">
        <v>353</v>
      </c>
      <c r="C404" s="4" t="s">
        <v>14</v>
      </c>
      <c r="D404" s="4" t="s">
        <v>27</v>
      </c>
      <c r="E404" s="4" t="s">
        <v>16</v>
      </c>
      <c r="F404" s="10">
        <v>0</v>
      </c>
      <c r="G404" s="10">
        <v>45244</v>
      </c>
      <c r="H404" s="10">
        <v>92425</v>
      </c>
      <c r="I404" s="10">
        <v>35993</v>
      </c>
      <c r="J404" s="10">
        <v>16893</v>
      </c>
      <c r="K404" s="10">
        <v>14248</v>
      </c>
      <c r="L404" s="10">
        <v>28696</v>
      </c>
      <c r="M404" s="10">
        <v>87140</v>
      </c>
      <c r="N404" s="10">
        <v>905</v>
      </c>
      <c r="O404" s="10">
        <v>48136</v>
      </c>
      <c r="P404" s="4">
        <v>39789</v>
      </c>
      <c r="Q404" s="4">
        <v>5704</v>
      </c>
      <c r="R404" s="4">
        <v>16961</v>
      </c>
      <c r="S404" s="24">
        <f>SUM(tblSalesData[[#This Row],[FY 2000]:[FY 2012]])</f>
        <v>432134</v>
      </c>
      <c r="T404" s="11">
        <v>11.99</v>
      </c>
      <c r="U404" s="12">
        <f>tblSalesData[[#This Row],[Total Units 
to Date]]*tblSalesData[[#This Row],[Sell Price]]</f>
        <v>5181286.66</v>
      </c>
      <c r="V404" s="3"/>
    </row>
    <row r="405" spans="1:22" x14ac:dyDescent="0.2">
      <c r="A405" s="4">
        <v>1066</v>
      </c>
      <c r="B405" s="9" t="s">
        <v>354</v>
      </c>
      <c r="C405" s="4" t="s">
        <v>13</v>
      </c>
      <c r="D405" s="4" t="s">
        <v>28</v>
      </c>
      <c r="E405" s="4" t="s">
        <v>18</v>
      </c>
      <c r="F405" s="10">
        <v>0</v>
      </c>
      <c r="G405" s="10">
        <v>0</v>
      </c>
      <c r="H405" s="10">
        <v>52763</v>
      </c>
      <c r="I405" s="10">
        <v>25158</v>
      </c>
      <c r="J405" s="10">
        <v>72281</v>
      </c>
      <c r="K405" s="10">
        <v>35933</v>
      </c>
      <c r="L405" s="10">
        <v>28682</v>
      </c>
      <c r="M405" s="10">
        <v>37902</v>
      </c>
      <c r="N405" s="10">
        <v>23895</v>
      </c>
      <c r="O405" s="10">
        <v>9742</v>
      </c>
      <c r="P405" s="4">
        <v>75848</v>
      </c>
      <c r="Q405" s="4">
        <v>114809</v>
      </c>
      <c r="R405" s="10">
        <v>4172</v>
      </c>
      <c r="S405" s="24">
        <f>SUM(tblSalesData[[#This Row],[FY 2000]:[FY 2012]])</f>
        <v>481185</v>
      </c>
      <c r="T405" s="11">
        <v>0.99</v>
      </c>
      <c r="U405" s="12">
        <f>tblSalesData[[#This Row],[Total Units 
to Date]]*tblSalesData[[#This Row],[Sell Price]]</f>
        <v>476373.15</v>
      </c>
      <c r="V405" s="3"/>
    </row>
    <row r="406" spans="1:22" x14ac:dyDescent="0.2">
      <c r="A406" s="4">
        <v>1066</v>
      </c>
      <c r="B406" s="9" t="s">
        <v>354</v>
      </c>
      <c r="C406" s="4" t="s">
        <v>14</v>
      </c>
      <c r="D406" s="4" t="s">
        <v>28</v>
      </c>
      <c r="E406" s="4" t="s">
        <v>18</v>
      </c>
      <c r="F406" s="10">
        <v>0</v>
      </c>
      <c r="G406" s="10">
        <v>0</v>
      </c>
      <c r="H406" s="10">
        <v>504</v>
      </c>
      <c r="I406" s="10">
        <v>87252</v>
      </c>
      <c r="J406" s="10">
        <v>793</v>
      </c>
      <c r="K406" s="10">
        <v>36800</v>
      </c>
      <c r="L406" s="10">
        <v>84801</v>
      </c>
      <c r="M406" s="10">
        <v>68120</v>
      </c>
      <c r="N406" s="10">
        <v>79304</v>
      </c>
      <c r="O406" s="10">
        <v>9714</v>
      </c>
      <c r="P406" s="4">
        <v>95781</v>
      </c>
      <c r="Q406" s="4">
        <v>113522</v>
      </c>
      <c r="R406" s="10">
        <v>77076</v>
      </c>
      <c r="S406" s="24">
        <f>SUM(tblSalesData[[#This Row],[FY 2000]:[FY 2012]])</f>
        <v>653667</v>
      </c>
      <c r="T406" s="11">
        <v>0.99</v>
      </c>
      <c r="U406" s="12">
        <f>tblSalesData[[#This Row],[Total Units 
to Date]]*tblSalesData[[#This Row],[Sell Price]]</f>
        <v>647130.32999999996</v>
      </c>
      <c r="V406" s="3"/>
    </row>
    <row r="407" spans="1:22" x14ac:dyDescent="0.2">
      <c r="A407" s="4">
        <v>1066</v>
      </c>
      <c r="B407" s="9" t="s">
        <v>355</v>
      </c>
      <c r="C407" s="4" t="s">
        <v>14</v>
      </c>
      <c r="D407" s="4" t="s">
        <v>27</v>
      </c>
      <c r="E407" s="4" t="s">
        <v>19</v>
      </c>
      <c r="F407" s="10">
        <v>0</v>
      </c>
      <c r="G407" s="10">
        <v>0</v>
      </c>
      <c r="H407" s="10">
        <v>95120</v>
      </c>
      <c r="I407" s="10">
        <v>80954</v>
      </c>
      <c r="J407" s="10">
        <v>42690</v>
      </c>
      <c r="K407" s="10">
        <v>70039</v>
      </c>
      <c r="L407" s="10">
        <v>83666</v>
      </c>
      <c r="M407" s="10">
        <v>20414</v>
      </c>
      <c r="N407" s="10">
        <v>96365</v>
      </c>
      <c r="O407" s="10">
        <v>11104</v>
      </c>
      <c r="P407" s="4">
        <v>48039</v>
      </c>
      <c r="Q407" s="4">
        <v>16607</v>
      </c>
      <c r="R407" s="4">
        <v>29244</v>
      </c>
      <c r="S407" s="24">
        <f>SUM(tblSalesData[[#This Row],[FY 2000]:[FY 2012]])</f>
        <v>594242</v>
      </c>
      <c r="T407" s="11">
        <v>15.99</v>
      </c>
      <c r="U407" s="12">
        <f>tblSalesData[[#This Row],[Total Units 
to Date]]*tblSalesData[[#This Row],[Sell Price]]</f>
        <v>9501929.5800000001</v>
      </c>
      <c r="V407" s="3"/>
    </row>
    <row r="408" spans="1:22" x14ac:dyDescent="0.2">
      <c r="A408" s="4">
        <v>1066</v>
      </c>
      <c r="B408" s="9" t="s">
        <v>356</v>
      </c>
      <c r="C408" s="4" t="s">
        <v>14</v>
      </c>
      <c r="D408" s="4" t="s">
        <v>27</v>
      </c>
      <c r="E408" s="4" t="s">
        <v>16</v>
      </c>
      <c r="F408" s="10">
        <v>0</v>
      </c>
      <c r="G408" s="10">
        <v>0</v>
      </c>
      <c r="H408" s="10">
        <v>87157</v>
      </c>
      <c r="I408" s="10">
        <v>84453</v>
      </c>
      <c r="J408" s="10">
        <v>95737</v>
      </c>
      <c r="K408" s="10">
        <v>97725</v>
      </c>
      <c r="L408" s="10">
        <v>6458</v>
      </c>
      <c r="M408" s="10">
        <v>71751</v>
      </c>
      <c r="N408" s="10">
        <v>85248</v>
      </c>
      <c r="O408" s="10">
        <v>91299</v>
      </c>
      <c r="P408" s="4">
        <v>53017</v>
      </c>
      <c r="Q408" s="4">
        <v>29616</v>
      </c>
      <c r="R408" s="4">
        <v>7895</v>
      </c>
      <c r="S408" s="24">
        <f>SUM(tblSalesData[[#This Row],[FY 2000]:[FY 2012]])</f>
        <v>710356</v>
      </c>
      <c r="T408" s="11">
        <v>11.99</v>
      </c>
      <c r="U408" s="12">
        <f>tblSalesData[[#This Row],[Total Units 
to Date]]*tblSalesData[[#This Row],[Sell Price]]</f>
        <v>8517168.4399999995</v>
      </c>
      <c r="V408" s="3"/>
    </row>
    <row r="409" spans="1:22" x14ac:dyDescent="0.2">
      <c r="A409" s="4">
        <v>1066</v>
      </c>
      <c r="B409" s="9" t="s">
        <v>356</v>
      </c>
      <c r="C409" s="4" t="s">
        <v>14</v>
      </c>
      <c r="D409" s="4" t="s">
        <v>27</v>
      </c>
      <c r="E409" s="4" t="s">
        <v>17</v>
      </c>
      <c r="F409" s="10">
        <v>0</v>
      </c>
      <c r="G409" s="10">
        <v>0</v>
      </c>
      <c r="H409" s="10">
        <v>88088</v>
      </c>
      <c r="I409" s="10">
        <v>93210</v>
      </c>
      <c r="J409" s="10">
        <v>69829</v>
      </c>
      <c r="K409" s="10">
        <v>38142</v>
      </c>
      <c r="L409" s="10">
        <v>18627</v>
      </c>
      <c r="M409" s="10">
        <v>3283</v>
      </c>
      <c r="N409" s="10">
        <v>41879</v>
      </c>
      <c r="O409" s="10">
        <v>49964</v>
      </c>
      <c r="P409" s="4">
        <v>25959</v>
      </c>
      <c r="Q409" s="4">
        <v>18382</v>
      </c>
      <c r="R409" s="4">
        <v>19085</v>
      </c>
      <c r="S409" s="24">
        <f>SUM(tblSalesData[[#This Row],[FY 2000]:[FY 2012]])</f>
        <v>466448</v>
      </c>
      <c r="T409" s="11">
        <v>12.99</v>
      </c>
      <c r="U409" s="12">
        <f>tblSalesData[[#This Row],[Total Units 
to Date]]*tblSalesData[[#This Row],[Sell Price]]</f>
        <v>6059159.5200000005</v>
      </c>
      <c r="V409" s="3"/>
    </row>
    <row r="410" spans="1:22" x14ac:dyDescent="0.2">
      <c r="A410" s="4">
        <v>1066</v>
      </c>
      <c r="B410" s="9" t="s">
        <v>356</v>
      </c>
      <c r="C410" s="4" t="s">
        <v>14</v>
      </c>
      <c r="D410" s="4" t="s">
        <v>27</v>
      </c>
      <c r="E410" s="4" t="s">
        <v>18</v>
      </c>
      <c r="F410" s="10">
        <v>0</v>
      </c>
      <c r="G410" s="10">
        <v>0</v>
      </c>
      <c r="H410" s="10">
        <v>56098</v>
      </c>
      <c r="I410" s="10">
        <v>95205</v>
      </c>
      <c r="J410" s="10">
        <v>39099</v>
      </c>
      <c r="K410" s="10">
        <v>89435</v>
      </c>
      <c r="L410" s="10">
        <v>19023</v>
      </c>
      <c r="M410" s="10">
        <v>15757</v>
      </c>
      <c r="N410" s="10">
        <v>19396</v>
      </c>
      <c r="O410" s="10">
        <v>79475</v>
      </c>
      <c r="P410" s="4">
        <v>6957</v>
      </c>
      <c r="Q410" s="4">
        <v>42783</v>
      </c>
      <c r="R410" s="4">
        <v>28296</v>
      </c>
      <c r="S410" s="24">
        <f>SUM(tblSalesData[[#This Row],[FY 2000]:[FY 2012]])</f>
        <v>491524</v>
      </c>
      <c r="T410" s="11">
        <v>9.99</v>
      </c>
      <c r="U410" s="12">
        <f>tblSalesData[[#This Row],[Total Units 
to Date]]*tblSalesData[[#This Row],[Sell Price]]</f>
        <v>4910324.76</v>
      </c>
      <c r="V410" s="3"/>
    </row>
    <row r="411" spans="1:22" x14ac:dyDescent="0.2">
      <c r="A411" s="4">
        <v>1066</v>
      </c>
      <c r="B411" s="9" t="s">
        <v>356</v>
      </c>
      <c r="C411" s="4" t="s">
        <v>14</v>
      </c>
      <c r="D411" s="4" t="s">
        <v>28</v>
      </c>
      <c r="E411" s="4" t="s">
        <v>17</v>
      </c>
      <c r="F411" s="10">
        <v>0</v>
      </c>
      <c r="G411" s="10">
        <v>0</v>
      </c>
      <c r="H411" s="10">
        <v>14571</v>
      </c>
      <c r="I411" s="10">
        <v>77229</v>
      </c>
      <c r="J411" s="10">
        <v>20542</v>
      </c>
      <c r="K411" s="10">
        <v>45784</v>
      </c>
      <c r="L411" s="10">
        <v>30600</v>
      </c>
      <c r="M411" s="10">
        <v>80961</v>
      </c>
      <c r="N411" s="10">
        <v>43434</v>
      </c>
      <c r="O411" s="10">
        <v>50921</v>
      </c>
      <c r="P411" s="4">
        <v>81721</v>
      </c>
      <c r="Q411" s="4">
        <v>37863</v>
      </c>
      <c r="R411" s="10">
        <v>66101</v>
      </c>
      <c r="S411" s="24">
        <f>SUM(tblSalesData[[#This Row],[FY 2000]:[FY 2012]])</f>
        <v>549727</v>
      </c>
      <c r="T411" s="11">
        <v>1.99</v>
      </c>
      <c r="U411" s="12">
        <f>tblSalesData[[#This Row],[Total Units 
to Date]]*tblSalesData[[#This Row],[Sell Price]]</f>
        <v>1093956.73</v>
      </c>
      <c r="V411" s="3"/>
    </row>
    <row r="412" spans="1:22" x14ac:dyDescent="0.2">
      <c r="A412" s="4">
        <v>1066</v>
      </c>
      <c r="B412" s="9" t="s">
        <v>357</v>
      </c>
      <c r="C412" s="4" t="s">
        <v>13</v>
      </c>
      <c r="D412" s="4" t="s">
        <v>27</v>
      </c>
      <c r="E412" s="4" t="s">
        <v>16</v>
      </c>
      <c r="F412" s="10">
        <v>0</v>
      </c>
      <c r="G412" s="10">
        <v>0</v>
      </c>
      <c r="H412" s="10">
        <v>38948</v>
      </c>
      <c r="I412" s="10">
        <v>43280</v>
      </c>
      <c r="J412" s="10">
        <v>42559</v>
      </c>
      <c r="K412" s="10">
        <v>50796</v>
      </c>
      <c r="L412" s="10">
        <v>82162</v>
      </c>
      <c r="M412" s="10">
        <v>14205</v>
      </c>
      <c r="N412" s="10">
        <v>74192</v>
      </c>
      <c r="O412" s="10">
        <v>52156</v>
      </c>
      <c r="P412" s="4">
        <v>25892</v>
      </c>
      <c r="Q412" s="4">
        <v>6377</v>
      </c>
      <c r="R412" s="4">
        <v>4848</v>
      </c>
      <c r="S412" s="24">
        <f>SUM(tblSalesData[[#This Row],[FY 2000]:[FY 2012]])</f>
        <v>435415</v>
      </c>
      <c r="T412" s="11">
        <v>11.99</v>
      </c>
      <c r="U412" s="12">
        <f>tblSalesData[[#This Row],[Total Units 
to Date]]*tblSalesData[[#This Row],[Sell Price]]</f>
        <v>5220625.8499999996</v>
      </c>
      <c r="V412" s="3"/>
    </row>
    <row r="413" spans="1:22" x14ac:dyDescent="0.2">
      <c r="A413" s="4">
        <v>1066</v>
      </c>
      <c r="B413" s="9" t="s">
        <v>358</v>
      </c>
      <c r="C413" s="4" t="s">
        <v>15</v>
      </c>
      <c r="D413" s="4" t="s">
        <v>27</v>
      </c>
      <c r="E413" s="4" t="s">
        <v>18</v>
      </c>
      <c r="F413" s="10">
        <v>0</v>
      </c>
      <c r="G413" s="10">
        <v>0</v>
      </c>
      <c r="H413" s="10">
        <v>34269</v>
      </c>
      <c r="I413" s="10">
        <v>42708</v>
      </c>
      <c r="J413" s="10">
        <v>73936</v>
      </c>
      <c r="K413" s="10">
        <v>75986</v>
      </c>
      <c r="L413" s="10">
        <v>80376</v>
      </c>
      <c r="M413" s="10">
        <v>82991</v>
      </c>
      <c r="N413" s="10">
        <v>85997</v>
      </c>
      <c r="O413" s="10">
        <v>86154</v>
      </c>
      <c r="P413" s="4">
        <v>78610</v>
      </c>
      <c r="Q413" s="4">
        <v>62269</v>
      </c>
      <c r="R413" s="4">
        <v>44818</v>
      </c>
      <c r="S413" s="24">
        <f>SUM(tblSalesData[[#This Row],[FY 2000]:[FY 2012]])</f>
        <v>748114</v>
      </c>
      <c r="T413" s="11">
        <v>9.99</v>
      </c>
      <c r="U413" s="12">
        <f>tblSalesData[[#This Row],[Total Units 
to Date]]*tblSalesData[[#This Row],[Sell Price]]</f>
        <v>7473658.8600000003</v>
      </c>
      <c r="V413" s="3"/>
    </row>
    <row r="414" spans="1:22" x14ac:dyDescent="0.2">
      <c r="A414" s="4">
        <v>1066</v>
      </c>
      <c r="B414" s="9" t="s">
        <v>359</v>
      </c>
      <c r="C414" s="4" t="s">
        <v>14</v>
      </c>
      <c r="D414" s="4" t="s">
        <v>28</v>
      </c>
      <c r="E414" s="4" t="s">
        <v>18</v>
      </c>
      <c r="F414" s="10">
        <v>0</v>
      </c>
      <c r="G414" s="10">
        <v>0</v>
      </c>
      <c r="H414" s="10">
        <v>79891</v>
      </c>
      <c r="I414" s="10">
        <v>94867</v>
      </c>
      <c r="J414" s="10">
        <v>24577</v>
      </c>
      <c r="K414" s="10">
        <v>52641</v>
      </c>
      <c r="L414" s="10">
        <v>37828</v>
      </c>
      <c r="M414" s="10">
        <v>52886</v>
      </c>
      <c r="N414" s="10">
        <v>76744</v>
      </c>
      <c r="O414" s="10">
        <v>18277</v>
      </c>
      <c r="P414" s="4">
        <v>100934</v>
      </c>
      <c r="Q414" s="4">
        <v>75992</v>
      </c>
      <c r="R414" s="10">
        <v>28345</v>
      </c>
      <c r="S414" s="24">
        <f>SUM(tblSalesData[[#This Row],[FY 2000]:[FY 2012]])</f>
        <v>642982</v>
      </c>
      <c r="T414" s="11">
        <v>0.99</v>
      </c>
      <c r="U414" s="12">
        <f>tblSalesData[[#This Row],[Total Units 
to Date]]*tblSalesData[[#This Row],[Sell Price]]</f>
        <v>636552.18000000005</v>
      </c>
      <c r="V414" s="3"/>
    </row>
    <row r="415" spans="1:22" x14ac:dyDescent="0.2">
      <c r="A415" s="4">
        <v>1066</v>
      </c>
      <c r="B415" s="9" t="s">
        <v>360</v>
      </c>
      <c r="C415" s="4" t="s">
        <v>26</v>
      </c>
      <c r="D415" s="4" t="s">
        <v>28</v>
      </c>
      <c r="E415" s="4" t="s">
        <v>19</v>
      </c>
      <c r="F415" s="10">
        <v>0</v>
      </c>
      <c r="G415" s="10">
        <v>0</v>
      </c>
      <c r="H415" s="10">
        <v>76387</v>
      </c>
      <c r="I415" s="10">
        <v>26339</v>
      </c>
      <c r="J415" s="10">
        <v>91243</v>
      </c>
      <c r="K415" s="10">
        <v>17250</v>
      </c>
      <c r="L415" s="10">
        <v>47768</v>
      </c>
      <c r="M415" s="10">
        <v>10761</v>
      </c>
      <c r="N415" s="10">
        <v>49649</v>
      </c>
      <c r="O415" s="10">
        <v>89925</v>
      </c>
      <c r="P415" s="4">
        <v>97100</v>
      </c>
      <c r="Q415" s="4">
        <v>54189</v>
      </c>
      <c r="R415" s="10">
        <v>20898</v>
      </c>
      <c r="S415" s="24">
        <f>SUM(tblSalesData[[#This Row],[FY 2000]:[FY 2012]])</f>
        <v>581509</v>
      </c>
      <c r="T415" s="11">
        <v>3.99</v>
      </c>
      <c r="U415" s="12">
        <f>tblSalesData[[#This Row],[Total Units 
to Date]]*tblSalesData[[#This Row],[Sell Price]]</f>
        <v>2320220.91</v>
      </c>
      <c r="V415" s="3"/>
    </row>
    <row r="416" spans="1:22" x14ac:dyDescent="0.2">
      <c r="A416" s="4">
        <v>1066</v>
      </c>
      <c r="B416" s="9" t="s">
        <v>361</v>
      </c>
      <c r="C416" s="4" t="s">
        <v>14</v>
      </c>
      <c r="D416" s="4" t="s">
        <v>27</v>
      </c>
      <c r="E416" s="4" t="s">
        <v>16</v>
      </c>
      <c r="F416" s="10">
        <v>0</v>
      </c>
      <c r="G416" s="10">
        <v>0</v>
      </c>
      <c r="H416" s="10">
        <v>74718</v>
      </c>
      <c r="I416" s="10">
        <v>80582</v>
      </c>
      <c r="J416" s="10">
        <v>96434</v>
      </c>
      <c r="K416" s="10">
        <v>2747</v>
      </c>
      <c r="L416" s="10">
        <v>27683</v>
      </c>
      <c r="M416" s="10">
        <v>21179</v>
      </c>
      <c r="N416" s="10">
        <v>36665</v>
      </c>
      <c r="O416" s="10">
        <v>6987</v>
      </c>
      <c r="P416" s="4">
        <v>72234</v>
      </c>
      <c r="Q416" s="4">
        <v>54170</v>
      </c>
      <c r="R416" s="4">
        <v>17521</v>
      </c>
      <c r="S416" s="24">
        <f>SUM(tblSalesData[[#This Row],[FY 2000]:[FY 2012]])</f>
        <v>490920</v>
      </c>
      <c r="T416" s="11">
        <v>11.99</v>
      </c>
      <c r="U416" s="12">
        <f>tblSalesData[[#This Row],[Total Units 
to Date]]*tblSalesData[[#This Row],[Sell Price]]</f>
        <v>5886130.7999999998</v>
      </c>
      <c r="V416" s="3"/>
    </row>
    <row r="417" spans="1:22" x14ac:dyDescent="0.2">
      <c r="A417" s="4">
        <v>1066</v>
      </c>
      <c r="B417" s="9" t="s">
        <v>362</v>
      </c>
      <c r="C417" s="4" t="s">
        <v>26</v>
      </c>
      <c r="D417" s="4" t="s">
        <v>27</v>
      </c>
      <c r="E417" s="4" t="s">
        <v>19</v>
      </c>
      <c r="F417" s="10">
        <v>0</v>
      </c>
      <c r="G417" s="10">
        <v>0</v>
      </c>
      <c r="H417" s="10">
        <v>46655</v>
      </c>
      <c r="I417" s="10">
        <v>90145</v>
      </c>
      <c r="J417" s="10">
        <v>51319</v>
      </c>
      <c r="K417" s="10">
        <v>90250</v>
      </c>
      <c r="L417" s="10">
        <v>89896</v>
      </c>
      <c r="M417" s="10">
        <v>38620</v>
      </c>
      <c r="N417" s="10">
        <v>25556</v>
      </c>
      <c r="O417" s="10">
        <v>50409</v>
      </c>
      <c r="P417" s="4">
        <v>69218</v>
      </c>
      <c r="Q417" s="4">
        <v>36964</v>
      </c>
      <c r="R417" s="4">
        <v>16277</v>
      </c>
      <c r="S417" s="24">
        <f>SUM(tblSalesData[[#This Row],[FY 2000]:[FY 2012]])</f>
        <v>605309</v>
      </c>
      <c r="T417" s="11">
        <v>15.99</v>
      </c>
      <c r="U417" s="12">
        <f>tblSalesData[[#This Row],[Total Units 
to Date]]*tblSalesData[[#This Row],[Sell Price]]</f>
        <v>9678890.9100000001</v>
      </c>
      <c r="V417" s="3"/>
    </row>
    <row r="418" spans="1:22" x14ac:dyDescent="0.2">
      <c r="A418" s="4">
        <v>1067</v>
      </c>
      <c r="B418" s="9" t="s">
        <v>363</v>
      </c>
      <c r="C418" s="4" t="s">
        <v>14</v>
      </c>
      <c r="D418" s="4" t="s">
        <v>28</v>
      </c>
      <c r="E418" s="4" t="s">
        <v>16</v>
      </c>
      <c r="F418" s="10">
        <v>0</v>
      </c>
      <c r="G418" s="10">
        <v>0</v>
      </c>
      <c r="H418" s="10">
        <v>0</v>
      </c>
      <c r="I418" s="10">
        <v>0</v>
      </c>
      <c r="J418" s="10">
        <v>0</v>
      </c>
      <c r="K418" s="10">
        <v>0</v>
      </c>
      <c r="L418" s="10">
        <v>0</v>
      </c>
      <c r="M418" s="10">
        <v>0</v>
      </c>
      <c r="N418" s="10">
        <v>0</v>
      </c>
      <c r="O418" s="10">
        <v>0</v>
      </c>
      <c r="P418" s="4">
        <v>0</v>
      </c>
      <c r="Q418" s="4">
        <v>0</v>
      </c>
      <c r="R418" s="10">
        <v>2381531</v>
      </c>
      <c r="S418" s="24">
        <f>SUM(tblSalesData[[#This Row],[FY 2000]:[FY 2012]])</f>
        <v>2381531</v>
      </c>
      <c r="T418" s="11">
        <v>1.49</v>
      </c>
      <c r="U418" s="12">
        <f>tblSalesData[[#This Row],[Total Units 
to Date]]*tblSalesData[[#This Row],[Sell Price]]</f>
        <v>3548481.19</v>
      </c>
      <c r="V418" s="3"/>
    </row>
    <row r="419" spans="1:22" x14ac:dyDescent="0.2">
      <c r="A419" s="4">
        <v>1067</v>
      </c>
      <c r="B419" s="9" t="s">
        <v>364</v>
      </c>
      <c r="C419" s="4" t="s">
        <v>13</v>
      </c>
      <c r="D419" s="4" t="s">
        <v>27</v>
      </c>
      <c r="E419" s="4" t="s">
        <v>16</v>
      </c>
      <c r="F419" s="10">
        <v>0</v>
      </c>
      <c r="G419" s="10">
        <v>0</v>
      </c>
      <c r="H419" s="10">
        <v>0</v>
      </c>
      <c r="I419" s="10">
        <v>0</v>
      </c>
      <c r="J419" s="10">
        <v>0</v>
      </c>
      <c r="K419" s="10">
        <v>0</v>
      </c>
      <c r="L419" s="10">
        <v>0</v>
      </c>
      <c r="M419" s="10">
        <v>0</v>
      </c>
      <c r="N419" s="10">
        <v>0</v>
      </c>
      <c r="O419" s="10">
        <v>0</v>
      </c>
      <c r="P419" s="4">
        <v>0</v>
      </c>
      <c r="Q419" s="4">
        <v>0</v>
      </c>
      <c r="R419" s="4">
        <v>585271</v>
      </c>
      <c r="S419" s="24">
        <f>SUM(tblSalesData[[#This Row],[FY 2000]:[FY 2012]])</f>
        <v>585271</v>
      </c>
      <c r="T419" s="11">
        <v>11.99</v>
      </c>
      <c r="U419" s="12">
        <f>tblSalesData[[#This Row],[Total Units 
to Date]]*tblSalesData[[#This Row],[Sell Price]]</f>
        <v>7017399.29</v>
      </c>
      <c r="V419" s="3"/>
    </row>
    <row r="420" spans="1:22" x14ac:dyDescent="0.2">
      <c r="A420" s="4">
        <v>1067</v>
      </c>
      <c r="B420" s="9" t="s">
        <v>365</v>
      </c>
      <c r="C420" s="4" t="s">
        <v>26</v>
      </c>
      <c r="D420" s="4" t="s">
        <v>27</v>
      </c>
      <c r="E420" s="4" t="s">
        <v>19</v>
      </c>
      <c r="F420" s="10">
        <v>0</v>
      </c>
      <c r="G420" s="10">
        <v>0</v>
      </c>
      <c r="H420" s="10">
        <v>0</v>
      </c>
      <c r="I420" s="10">
        <v>0</v>
      </c>
      <c r="J420" s="10">
        <v>0</v>
      </c>
      <c r="K420" s="10">
        <v>0</v>
      </c>
      <c r="L420" s="10">
        <v>0</v>
      </c>
      <c r="M420" s="10">
        <v>0</v>
      </c>
      <c r="N420" s="10">
        <v>0</v>
      </c>
      <c r="O420" s="10">
        <v>0</v>
      </c>
      <c r="P420" s="4">
        <v>0</v>
      </c>
      <c r="Q420" s="4">
        <v>0</v>
      </c>
      <c r="R420" s="4">
        <v>445259</v>
      </c>
      <c r="S420" s="24">
        <f>SUM(tblSalesData[[#This Row],[FY 2000]:[FY 2012]])</f>
        <v>445259</v>
      </c>
      <c r="T420" s="11">
        <v>15.99</v>
      </c>
      <c r="U420" s="12">
        <f>tblSalesData[[#This Row],[Total Units 
to Date]]*tblSalesData[[#This Row],[Sell Price]]</f>
        <v>7119691.4100000001</v>
      </c>
      <c r="V420" s="3"/>
    </row>
    <row r="421" spans="1:22" x14ac:dyDescent="0.2">
      <c r="A421" s="4">
        <v>1067</v>
      </c>
      <c r="B421" s="9" t="s">
        <v>366</v>
      </c>
      <c r="C421" s="4" t="s">
        <v>13</v>
      </c>
      <c r="D421" s="4" t="s">
        <v>27</v>
      </c>
      <c r="E421" s="4" t="s">
        <v>19</v>
      </c>
      <c r="F421" s="10">
        <v>0</v>
      </c>
      <c r="G421" s="10">
        <v>0</v>
      </c>
      <c r="H421" s="10">
        <v>0</v>
      </c>
      <c r="I421" s="10">
        <v>0</v>
      </c>
      <c r="J421" s="10">
        <v>0</v>
      </c>
      <c r="K421" s="10">
        <v>0</v>
      </c>
      <c r="L421" s="10">
        <v>0</v>
      </c>
      <c r="M421" s="10">
        <v>0</v>
      </c>
      <c r="N421" s="10">
        <v>0</v>
      </c>
      <c r="O421" s="10">
        <v>0</v>
      </c>
      <c r="P421" s="4">
        <v>0</v>
      </c>
      <c r="Q421" s="4">
        <v>0</v>
      </c>
      <c r="R421" s="4">
        <v>358817</v>
      </c>
      <c r="S421" s="24">
        <f>SUM(tblSalesData[[#This Row],[FY 2000]:[FY 2012]])</f>
        <v>358817</v>
      </c>
      <c r="T421" s="11">
        <v>15.99</v>
      </c>
      <c r="U421" s="12">
        <f>tblSalesData[[#This Row],[Total Units 
to Date]]*tblSalesData[[#This Row],[Sell Price]]</f>
        <v>5737483.8300000001</v>
      </c>
      <c r="V421" s="3"/>
    </row>
    <row r="422" spans="1:22" x14ac:dyDescent="0.2">
      <c r="A422" s="4">
        <v>1067</v>
      </c>
      <c r="B422" s="9" t="s">
        <v>367</v>
      </c>
      <c r="C422" s="4" t="s">
        <v>26</v>
      </c>
      <c r="D422" s="4" t="s">
        <v>28</v>
      </c>
      <c r="E422" s="4" t="s">
        <v>17</v>
      </c>
      <c r="F422" s="10">
        <v>0</v>
      </c>
      <c r="G422" s="10">
        <v>0</v>
      </c>
      <c r="H422" s="10">
        <v>0</v>
      </c>
      <c r="I422" s="10">
        <v>0</v>
      </c>
      <c r="J422" s="10">
        <v>0</v>
      </c>
      <c r="K422" s="10">
        <v>0</v>
      </c>
      <c r="L422" s="10">
        <v>0</v>
      </c>
      <c r="M422" s="10">
        <v>0</v>
      </c>
      <c r="N422" s="10">
        <v>0</v>
      </c>
      <c r="O422" s="10">
        <v>0</v>
      </c>
      <c r="P422" s="4">
        <v>0</v>
      </c>
      <c r="Q422" s="4">
        <v>0</v>
      </c>
      <c r="R422" s="10">
        <v>933101</v>
      </c>
      <c r="S422" s="24">
        <f>SUM(tblSalesData[[#This Row],[FY 2000]:[FY 2012]])</f>
        <v>933101</v>
      </c>
      <c r="T422" s="11">
        <v>1.99</v>
      </c>
      <c r="U422" s="12">
        <f>tblSalesData[[#This Row],[Total Units 
to Date]]*tblSalesData[[#This Row],[Sell Price]]</f>
        <v>1856870.99</v>
      </c>
      <c r="V422" s="3"/>
    </row>
    <row r="423" spans="1:22" x14ac:dyDescent="0.2">
      <c r="A423" s="4">
        <v>1067</v>
      </c>
      <c r="B423" s="9" t="s">
        <v>368</v>
      </c>
      <c r="C423" s="4" t="s">
        <v>15</v>
      </c>
      <c r="D423" s="4" t="s">
        <v>27</v>
      </c>
      <c r="E423" s="4" t="s">
        <v>17</v>
      </c>
      <c r="F423" s="10">
        <v>0</v>
      </c>
      <c r="G423" s="10">
        <v>0</v>
      </c>
      <c r="H423" s="10">
        <v>0</v>
      </c>
      <c r="I423" s="10">
        <v>0</v>
      </c>
      <c r="J423" s="10">
        <v>0</v>
      </c>
      <c r="K423" s="10">
        <v>0</v>
      </c>
      <c r="L423" s="10">
        <v>0</v>
      </c>
      <c r="M423" s="10">
        <v>0</v>
      </c>
      <c r="N423" s="10">
        <v>0</v>
      </c>
      <c r="O423" s="10">
        <v>0</v>
      </c>
      <c r="P423" s="4">
        <v>0</v>
      </c>
      <c r="Q423" s="4">
        <v>0</v>
      </c>
      <c r="R423" s="4">
        <v>392483</v>
      </c>
      <c r="S423" s="24">
        <f>SUM(tblSalesData[[#This Row],[FY 2000]:[FY 2012]])</f>
        <v>392483</v>
      </c>
      <c r="T423" s="11">
        <v>12.99</v>
      </c>
      <c r="U423" s="12">
        <f>tblSalesData[[#This Row],[Total Units 
to Date]]*tblSalesData[[#This Row],[Sell Price]]</f>
        <v>5098354.17</v>
      </c>
      <c r="V423" s="3"/>
    </row>
    <row r="424" spans="1:22" x14ac:dyDescent="0.2">
      <c r="A424" s="4">
        <v>1067</v>
      </c>
      <c r="B424" s="9" t="s">
        <v>369</v>
      </c>
      <c r="C424" s="4" t="s">
        <v>15</v>
      </c>
      <c r="D424" s="4" t="s">
        <v>28</v>
      </c>
      <c r="E424" s="4" t="s">
        <v>16</v>
      </c>
      <c r="F424" s="10">
        <v>0</v>
      </c>
      <c r="G424" s="10">
        <v>0</v>
      </c>
      <c r="H424" s="10">
        <v>0</v>
      </c>
      <c r="I424" s="10">
        <v>0</v>
      </c>
      <c r="J424" s="10">
        <v>0</v>
      </c>
      <c r="K424" s="10">
        <v>0</v>
      </c>
      <c r="L424" s="10">
        <v>0</v>
      </c>
      <c r="M424" s="10">
        <v>0</v>
      </c>
      <c r="N424" s="10">
        <v>0</v>
      </c>
      <c r="O424" s="10">
        <v>0</v>
      </c>
      <c r="P424" s="4">
        <v>0</v>
      </c>
      <c r="Q424" s="4">
        <v>0</v>
      </c>
      <c r="R424" s="10">
        <v>2020461</v>
      </c>
      <c r="S424" s="24">
        <f>SUM(tblSalesData[[#This Row],[FY 2000]:[FY 2012]])</f>
        <v>2020461</v>
      </c>
      <c r="T424" s="11">
        <v>1.49</v>
      </c>
      <c r="U424" s="12">
        <f>tblSalesData[[#This Row],[Total Units 
to Date]]*tblSalesData[[#This Row],[Sell Price]]</f>
        <v>3010486.89</v>
      </c>
      <c r="V424" s="3"/>
    </row>
    <row r="425" spans="1:22" x14ac:dyDescent="0.2">
      <c r="A425" s="4">
        <v>1067</v>
      </c>
      <c r="B425" s="9" t="s">
        <v>370</v>
      </c>
      <c r="C425" s="4" t="s">
        <v>13</v>
      </c>
      <c r="D425" s="4" t="s">
        <v>28</v>
      </c>
      <c r="E425" s="4" t="s">
        <v>19</v>
      </c>
      <c r="F425" s="10">
        <v>0</v>
      </c>
      <c r="G425" s="10">
        <v>0</v>
      </c>
      <c r="H425" s="10">
        <v>0</v>
      </c>
      <c r="I425" s="10">
        <v>0</v>
      </c>
      <c r="J425" s="10">
        <v>0</v>
      </c>
      <c r="K425" s="10">
        <v>0</v>
      </c>
      <c r="L425" s="10">
        <v>0</v>
      </c>
      <c r="M425" s="10">
        <v>0</v>
      </c>
      <c r="N425" s="10">
        <v>0</v>
      </c>
      <c r="O425" s="10">
        <v>0</v>
      </c>
      <c r="P425" s="4">
        <v>0</v>
      </c>
      <c r="Q425" s="4">
        <v>0</v>
      </c>
      <c r="R425" s="10">
        <v>1220314</v>
      </c>
      <c r="S425" s="24">
        <f>SUM(tblSalesData[[#This Row],[FY 2000]:[FY 2012]])</f>
        <v>1220314</v>
      </c>
      <c r="T425" s="11">
        <v>3.99</v>
      </c>
      <c r="U425" s="12">
        <f>tblSalesData[[#This Row],[Total Units 
to Date]]*tblSalesData[[#This Row],[Sell Price]]</f>
        <v>4869052.8600000003</v>
      </c>
      <c r="V425" s="3"/>
    </row>
    <row r="426" spans="1:22" x14ac:dyDescent="0.2">
      <c r="A426" s="4">
        <v>1067</v>
      </c>
      <c r="B426" s="9" t="s">
        <v>371</v>
      </c>
      <c r="C426" s="4" t="s">
        <v>26</v>
      </c>
      <c r="D426" s="4" t="s">
        <v>27</v>
      </c>
      <c r="E426" s="4" t="s">
        <v>19</v>
      </c>
      <c r="F426" s="10">
        <v>0</v>
      </c>
      <c r="G426" s="10">
        <v>0</v>
      </c>
      <c r="H426" s="10">
        <v>0</v>
      </c>
      <c r="I426" s="10">
        <v>0</v>
      </c>
      <c r="J426" s="10">
        <v>0</v>
      </c>
      <c r="K426" s="10">
        <v>0</v>
      </c>
      <c r="L426" s="10">
        <v>0</v>
      </c>
      <c r="M426" s="10">
        <v>0</v>
      </c>
      <c r="N426" s="10">
        <v>0</v>
      </c>
      <c r="O426" s="10">
        <v>0</v>
      </c>
      <c r="P426" s="4">
        <v>0</v>
      </c>
      <c r="Q426" s="4">
        <v>0</v>
      </c>
      <c r="R426" s="4">
        <v>263137</v>
      </c>
      <c r="S426" s="24">
        <f>SUM(tblSalesData[[#This Row],[FY 2000]:[FY 2012]])</f>
        <v>263137</v>
      </c>
      <c r="T426" s="11">
        <v>15.99</v>
      </c>
      <c r="U426" s="12">
        <f>tblSalesData[[#This Row],[Total Units 
to Date]]*tblSalesData[[#This Row],[Sell Price]]</f>
        <v>4207560.63</v>
      </c>
      <c r="V426" s="3"/>
    </row>
    <row r="427" spans="1:22" x14ac:dyDescent="0.2">
      <c r="A427" s="4">
        <v>1067</v>
      </c>
      <c r="B427" s="9" t="s">
        <v>372</v>
      </c>
      <c r="C427" s="4" t="s">
        <v>14</v>
      </c>
      <c r="D427" s="4" t="s">
        <v>27</v>
      </c>
      <c r="E427" s="4" t="s">
        <v>16</v>
      </c>
      <c r="F427" s="10">
        <v>0</v>
      </c>
      <c r="G427" s="10">
        <v>0</v>
      </c>
      <c r="H427" s="10">
        <v>0</v>
      </c>
      <c r="I427" s="10">
        <v>0</v>
      </c>
      <c r="J427" s="10">
        <v>0</v>
      </c>
      <c r="K427" s="10">
        <v>0</v>
      </c>
      <c r="L427" s="10">
        <v>0</v>
      </c>
      <c r="M427" s="10">
        <v>0</v>
      </c>
      <c r="N427" s="10">
        <v>0</v>
      </c>
      <c r="O427" s="10">
        <v>0</v>
      </c>
      <c r="P427" s="4">
        <v>0</v>
      </c>
      <c r="Q427" s="4">
        <v>0</v>
      </c>
      <c r="R427" s="4">
        <v>514120</v>
      </c>
      <c r="S427" s="24">
        <f>SUM(tblSalesData[[#This Row],[FY 2000]:[FY 2012]])</f>
        <v>514120</v>
      </c>
      <c r="T427" s="11">
        <v>11.99</v>
      </c>
      <c r="U427" s="12">
        <f>tblSalesData[[#This Row],[Total Units 
to Date]]*tblSalesData[[#This Row],[Sell Price]]</f>
        <v>6164298.7999999998</v>
      </c>
      <c r="V427" s="3"/>
    </row>
    <row r="428" spans="1:22" x14ac:dyDescent="0.2">
      <c r="A428" s="4">
        <v>1067</v>
      </c>
      <c r="B428" s="9" t="s">
        <v>373</v>
      </c>
      <c r="C428" s="4" t="s">
        <v>14</v>
      </c>
      <c r="D428" s="4" t="s">
        <v>27</v>
      </c>
      <c r="E428" s="4" t="s">
        <v>18</v>
      </c>
      <c r="F428" s="10">
        <v>0</v>
      </c>
      <c r="G428" s="10">
        <v>0</v>
      </c>
      <c r="H428" s="10">
        <v>0</v>
      </c>
      <c r="I428" s="10">
        <v>0</v>
      </c>
      <c r="J428" s="10">
        <v>0</v>
      </c>
      <c r="K428" s="10">
        <v>0</v>
      </c>
      <c r="L428" s="10">
        <v>0</v>
      </c>
      <c r="M428" s="10">
        <v>0</v>
      </c>
      <c r="N428" s="10">
        <v>0</v>
      </c>
      <c r="O428" s="10">
        <v>0</v>
      </c>
      <c r="P428" s="4">
        <v>0</v>
      </c>
      <c r="Q428" s="4">
        <v>0</v>
      </c>
      <c r="R428" s="4">
        <v>686755</v>
      </c>
      <c r="S428" s="24">
        <f>SUM(tblSalesData[[#This Row],[FY 2000]:[FY 2012]])</f>
        <v>686755</v>
      </c>
      <c r="T428" s="11">
        <v>9.99</v>
      </c>
      <c r="U428" s="12">
        <f>tblSalesData[[#This Row],[Total Units 
to Date]]*tblSalesData[[#This Row],[Sell Price]]</f>
        <v>6860682.4500000002</v>
      </c>
      <c r="V428" s="3"/>
    </row>
    <row r="429" spans="1:22" x14ac:dyDescent="0.2">
      <c r="A429" s="4">
        <v>1067</v>
      </c>
      <c r="B429" s="9" t="s">
        <v>374</v>
      </c>
      <c r="C429" s="4" t="s">
        <v>26</v>
      </c>
      <c r="D429" s="4" t="s">
        <v>27</v>
      </c>
      <c r="E429" s="4" t="s">
        <v>18</v>
      </c>
      <c r="F429" s="10">
        <v>0</v>
      </c>
      <c r="G429" s="10">
        <v>0</v>
      </c>
      <c r="H429" s="10">
        <v>0</v>
      </c>
      <c r="I429" s="10">
        <v>0</v>
      </c>
      <c r="J429" s="10">
        <v>0</v>
      </c>
      <c r="K429" s="10">
        <v>0</v>
      </c>
      <c r="L429" s="10">
        <v>0</v>
      </c>
      <c r="M429" s="10">
        <v>0</v>
      </c>
      <c r="N429" s="10">
        <v>0</v>
      </c>
      <c r="O429" s="10">
        <v>0</v>
      </c>
      <c r="P429" s="4">
        <v>0</v>
      </c>
      <c r="Q429" s="4">
        <v>0</v>
      </c>
      <c r="R429" s="4">
        <v>493993</v>
      </c>
      <c r="S429" s="24">
        <f>SUM(tblSalesData[[#This Row],[FY 2000]:[FY 2012]])</f>
        <v>493993</v>
      </c>
      <c r="T429" s="11">
        <v>9.99</v>
      </c>
      <c r="U429" s="12">
        <f>tblSalesData[[#This Row],[Total Units 
to Date]]*tblSalesData[[#This Row],[Sell Price]]</f>
        <v>4934990.07</v>
      </c>
      <c r="V429" s="3"/>
    </row>
    <row r="430" spans="1:22" x14ac:dyDescent="0.2">
      <c r="A430" s="4">
        <v>1067</v>
      </c>
      <c r="B430" s="9" t="s">
        <v>375</v>
      </c>
      <c r="C430" s="4" t="s">
        <v>15</v>
      </c>
      <c r="D430" s="4" t="s">
        <v>27</v>
      </c>
      <c r="E430" s="4" t="s">
        <v>16</v>
      </c>
      <c r="F430" s="10">
        <v>0</v>
      </c>
      <c r="G430" s="10">
        <v>0</v>
      </c>
      <c r="H430" s="10">
        <v>0</v>
      </c>
      <c r="I430" s="10">
        <v>0</v>
      </c>
      <c r="J430" s="10">
        <v>0</v>
      </c>
      <c r="K430" s="10">
        <v>0</v>
      </c>
      <c r="L430" s="10">
        <v>0</v>
      </c>
      <c r="M430" s="10">
        <v>0</v>
      </c>
      <c r="N430" s="10">
        <v>0</v>
      </c>
      <c r="O430" s="10">
        <v>0</v>
      </c>
      <c r="P430" s="4">
        <v>0</v>
      </c>
      <c r="Q430" s="4">
        <v>0</v>
      </c>
      <c r="R430" s="4">
        <v>663019</v>
      </c>
      <c r="S430" s="24">
        <f>SUM(tblSalesData[[#This Row],[FY 2000]:[FY 2012]])</f>
        <v>663019</v>
      </c>
      <c r="T430" s="11">
        <v>11.99</v>
      </c>
      <c r="U430" s="12">
        <f>tblSalesData[[#This Row],[Total Units 
to Date]]*tblSalesData[[#This Row],[Sell Price]]</f>
        <v>7949597.8100000005</v>
      </c>
      <c r="V430" s="3"/>
    </row>
    <row r="431" spans="1:22" x14ac:dyDescent="0.2">
      <c r="A431" s="4">
        <v>1067</v>
      </c>
      <c r="B431" s="9" t="s">
        <v>376</v>
      </c>
      <c r="C431" s="4" t="s">
        <v>15</v>
      </c>
      <c r="D431" s="4" t="s">
        <v>27</v>
      </c>
      <c r="E431" s="4" t="s">
        <v>18</v>
      </c>
      <c r="F431" s="10">
        <v>0</v>
      </c>
      <c r="G431" s="10">
        <v>0</v>
      </c>
      <c r="H431" s="10">
        <v>0</v>
      </c>
      <c r="I431" s="10">
        <v>0</v>
      </c>
      <c r="J431" s="10">
        <v>0</v>
      </c>
      <c r="K431" s="10">
        <v>0</v>
      </c>
      <c r="L431" s="10">
        <v>0</v>
      </c>
      <c r="M431" s="10">
        <v>0</v>
      </c>
      <c r="N431" s="10">
        <v>0</v>
      </c>
      <c r="O431" s="10">
        <v>0</v>
      </c>
      <c r="P431" s="4">
        <v>0</v>
      </c>
      <c r="Q431" s="4">
        <v>0</v>
      </c>
      <c r="R431" s="4">
        <v>294381</v>
      </c>
      <c r="S431" s="24">
        <f>SUM(tblSalesData[[#This Row],[FY 2000]:[FY 2012]])</f>
        <v>294381</v>
      </c>
      <c r="T431" s="11">
        <v>9.99</v>
      </c>
      <c r="U431" s="12">
        <f>tblSalesData[[#This Row],[Total Units 
to Date]]*tblSalesData[[#This Row],[Sell Price]]</f>
        <v>2940866.19</v>
      </c>
      <c r="V431" s="3"/>
    </row>
    <row r="432" spans="1:22" x14ac:dyDescent="0.2">
      <c r="A432" s="4">
        <v>1067</v>
      </c>
      <c r="B432" s="9" t="s">
        <v>377</v>
      </c>
      <c r="C432" s="4" t="s">
        <v>13</v>
      </c>
      <c r="D432" s="4" t="s">
        <v>27</v>
      </c>
      <c r="E432" s="4" t="s">
        <v>17</v>
      </c>
      <c r="F432" s="10">
        <v>0</v>
      </c>
      <c r="G432" s="10">
        <v>0</v>
      </c>
      <c r="H432" s="10">
        <v>0</v>
      </c>
      <c r="I432" s="10">
        <v>0</v>
      </c>
      <c r="J432" s="10">
        <v>0</v>
      </c>
      <c r="K432" s="10">
        <v>0</v>
      </c>
      <c r="L432" s="10">
        <v>0</v>
      </c>
      <c r="M432" s="10">
        <v>0</v>
      </c>
      <c r="N432" s="10">
        <v>0</v>
      </c>
      <c r="O432" s="10">
        <v>0</v>
      </c>
      <c r="P432" s="4">
        <v>0</v>
      </c>
      <c r="Q432" s="4">
        <v>0</v>
      </c>
      <c r="R432" s="4">
        <v>918151</v>
      </c>
      <c r="S432" s="24">
        <f>SUM(tblSalesData[[#This Row],[FY 2000]:[FY 2012]])</f>
        <v>918151</v>
      </c>
      <c r="T432" s="11">
        <v>12.99</v>
      </c>
      <c r="U432" s="12">
        <f>tblSalesData[[#This Row],[Total Units 
to Date]]*tblSalesData[[#This Row],[Sell Price]]</f>
        <v>11926781.49</v>
      </c>
      <c r="V432" s="3"/>
    </row>
    <row r="433" spans="1:23" x14ac:dyDescent="0.2">
      <c r="A433" s="4">
        <v>1067</v>
      </c>
      <c r="B433" s="9" t="s">
        <v>377</v>
      </c>
      <c r="C433" s="4" t="s">
        <v>15</v>
      </c>
      <c r="D433" s="4" t="s">
        <v>27</v>
      </c>
      <c r="E433" s="4" t="s">
        <v>17</v>
      </c>
      <c r="F433" s="10">
        <v>0</v>
      </c>
      <c r="G433" s="10">
        <v>0</v>
      </c>
      <c r="H433" s="10">
        <v>0</v>
      </c>
      <c r="I433" s="10">
        <v>0</v>
      </c>
      <c r="J433" s="10">
        <v>0</v>
      </c>
      <c r="K433" s="10">
        <v>0</v>
      </c>
      <c r="L433" s="10">
        <v>0</v>
      </c>
      <c r="M433" s="10">
        <v>0</v>
      </c>
      <c r="N433" s="10">
        <v>0</v>
      </c>
      <c r="O433" s="10">
        <v>0</v>
      </c>
      <c r="P433" s="4">
        <v>0</v>
      </c>
      <c r="Q433" s="4">
        <v>0</v>
      </c>
      <c r="R433" s="4">
        <v>689140</v>
      </c>
      <c r="S433" s="24">
        <f>SUM(tblSalesData[[#This Row],[FY 2000]:[FY 2012]])</f>
        <v>689140</v>
      </c>
      <c r="T433" s="11">
        <v>12.99</v>
      </c>
      <c r="U433" s="12">
        <f>tblSalesData[[#This Row],[Total Units 
to Date]]*tblSalesData[[#This Row],[Sell Price]]</f>
        <v>8951928.5999999996</v>
      </c>
      <c r="V433" s="3"/>
    </row>
    <row r="434" spans="1:23" x14ac:dyDescent="0.2">
      <c r="A434" s="4">
        <v>1067</v>
      </c>
      <c r="B434" s="9" t="s">
        <v>378</v>
      </c>
      <c r="C434" s="4" t="s">
        <v>14</v>
      </c>
      <c r="D434" s="4" t="s">
        <v>28</v>
      </c>
      <c r="E434" s="4" t="s">
        <v>17</v>
      </c>
      <c r="F434" s="10">
        <v>0</v>
      </c>
      <c r="G434" s="10">
        <v>0</v>
      </c>
      <c r="H434" s="10">
        <v>0</v>
      </c>
      <c r="I434" s="10">
        <v>0</v>
      </c>
      <c r="J434" s="10">
        <v>0</v>
      </c>
      <c r="K434" s="10">
        <v>0</v>
      </c>
      <c r="L434" s="10">
        <v>0</v>
      </c>
      <c r="M434" s="10">
        <v>0</v>
      </c>
      <c r="N434" s="10">
        <v>0</v>
      </c>
      <c r="O434" s="10">
        <v>0</v>
      </c>
      <c r="P434" s="4">
        <v>0</v>
      </c>
      <c r="Q434" s="4">
        <v>0</v>
      </c>
      <c r="R434" s="10">
        <v>1111437</v>
      </c>
      <c r="S434" s="24">
        <f>SUM(tblSalesData[[#This Row],[FY 2000]:[FY 2012]])</f>
        <v>1111437</v>
      </c>
      <c r="T434" s="11">
        <v>1.99</v>
      </c>
      <c r="U434" s="12">
        <f>tblSalesData[[#This Row],[Total Units 
to Date]]*tblSalesData[[#This Row],[Sell Price]]</f>
        <v>2211759.63</v>
      </c>
      <c r="V434" s="3"/>
    </row>
    <row r="435" spans="1:23" x14ac:dyDescent="0.2">
      <c r="A435" s="4">
        <v>1067</v>
      </c>
      <c r="B435" s="9" t="s">
        <v>379</v>
      </c>
      <c r="C435" s="4" t="s">
        <v>26</v>
      </c>
      <c r="D435" s="4" t="s">
        <v>28</v>
      </c>
      <c r="E435" s="4" t="s">
        <v>19</v>
      </c>
      <c r="F435" s="10">
        <v>0</v>
      </c>
      <c r="G435" s="10">
        <v>0</v>
      </c>
      <c r="H435" s="10">
        <v>0</v>
      </c>
      <c r="I435" s="10">
        <v>0</v>
      </c>
      <c r="J435" s="10">
        <v>0</v>
      </c>
      <c r="K435" s="10">
        <v>0</v>
      </c>
      <c r="L435" s="10">
        <v>0</v>
      </c>
      <c r="M435" s="10">
        <v>0</v>
      </c>
      <c r="N435" s="10">
        <v>0</v>
      </c>
      <c r="O435" s="10">
        <v>0</v>
      </c>
      <c r="P435" s="4">
        <v>0</v>
      </c>
      <c r="Q435" s="4">
        <v>0</v>
      </c>
      <c r="R435" s="10">
        <v>1897792</v>
      </c>
      <c r="S435" s="24">
        <f>SUM(tblSalesData[[#This Row],[FY 2000]:[FY 2012]])</f>
        <v>1897792</v>
      </c>
      <c r="T435" s="11">
        <v>3.99</v>
      </c>
      <c r="U435" s="12">
        <f>tblSalesData[[#This Row],[Total Units 
to Date]]*tblSalesData[[#This Row],[Sell Price]]</f>
        <v>7572190.0800000001</v>
      </c>
      <c r="V435" s="3"/>
    </row>
    <row r="436" spans="1:23" x14ac:dyDescent="0.2">
      <c r="A436" t="s">
        <v>382</v>
      </c>
      <c r="F436" s="4">
        <f>SUBTOTAL(109,tblSalesData[FY 2000])</f>
        <v>528802</v>
      </c>
      <c r="G436" s="4">
        <f>SUBTOTAL(109,tblSalesData[FY 2001])</f>
        <v>1127903</v>
      </c>
      <c r="H436" s="4">
        <f>SUBTOTAL(109,tblSalesData[FY 2002])</f>
        <v>4087014</v>
      </c>
      <c r="I436" s="4">
        <f>SUBTOTAL(109,tblSalesData[FY 2003])</f>
        <v>5078275</v>
      </c>
      <c r="J436" s="4">
        <f>SUBTOTAL(109,tblSalesData[FY 2004])</f>
        <v>6459215</v>
      </c>
      <c r="K436" s="4">
        <f>SUBTOTAL(109,tblSalesData[FY 2005])</f>
        <v>8215642</v>
      </c>
      <c r="L436" s="4">
        <f>SUBTOTAL(109,tblSalesData[FY 2006])</f>
        <v>12067080</v>
      </c>
      <c r="M436" s="4">
        <f>SUBTOTAL(109,tblSalesData[FY 2007])</f>
        <v>17053278</v>
      </c>
      <c r="N436" s="4">
        <f>SUBTOTAL(109,tblSalesData[FY 2008])</f>
        <v>21792100</v>
      </c>
      <c r="O436" s="4">
        <f>SUBTOTAL(109,tblSalesData[FY 2009])</f>
        <v>31219622</v>
      </c>
      <c r="P436" s="4">
        <f>SUBTOTAL(109,tblSalesData[FY 2010])</f>
        <v>44946579</v>
      </c>
      <c r="Q436" s="4">
        <f>SUBTOTAL(109,tblSalesData[FY 2011])</f>
        <v>54767021</v>
      </c>
      <c r="R436" s="4">
        <f>SUBTOTAL(109,tblSalesData[FY 2012])</f>
        <v>79004088</v>
      </c>
      <c r="S436" s="25">
        <f>SUBTOTAL(109,tblSalesData[Total Units 
to Date])</f>
        <v>286346619</v>
      </c>
      <c r="T436" s="2"/>
      <c r="U436" s="6">
        <f>SUBTOTAL(109,tblSalesData[Total Earnings 
to Date])</f>
        <v>2025851411.309999</v>
      </c>
      <c r="V436" s="3"/>
      <c r="W436" s="2"/>
    </row>
    <row r="437" spans="1:23" x14ac:dyDescent="0.2">
      <c r="V437" s="3"/>
      <c r="W437" s="2"/>
    </row>
    <row r="438" spans="1:23" x14ac:dyDescent="0.2">
      <c r="V438" s="3"/>
      <c r="W438" s="2"/>
    </row>
    <row r="439" spans="1:23" x14ac:dyDescent="0.2">
      <c r="V439" s="3"/>
      <c r="W439" s="2"/>
    </row>
    <row r="440" spans="1:23" x14ac:dyDescent="0.2">
      <c r="V440" s="3"/>
      <c r="W440" s="2"/>
    </row>
    <row r="441" spans="1:23" x14ac:dyDescent="0.2">
      <c r="V441" s="3"/>
      <c r="W441" s="2"/>
    </row>
    <row r="442" spans="1:23" x14ac:dyDescent="0.2">
      <c r="V442" s="3"/>
      <c r="W442" s="2"/>
    </row>
    <row r="443" spans="1:23" x14ac:dyDescent="0.2">
      <c r="V443" s="3"/>
      <c r="W443" s="2"/>
    </row>
    <row r="444" spans="1:23" x14ac:dyDescent="0.2">
      <c r="V444" s="3"/>
      <c r="W444" s="2"/>
    </row>
    <row r="445" spans="1:23" x14ac:dyDescent="0.2">
      <c r="V445" s="3"/>
      <c r="W445" s="2"/>
    </row>
    <row r="446" spans="1:23" x14ac:dyDescent="0.2">
      <c r="V446" s="3"/>
      <c r="W446" s="2"/>
    </row>
    <row r="447" spans="1:23" x14ac:dyDescent="0.2">
      <c r="V447" s="3"/>
      <c r="W447" s="2"/>
    </row>
    <row r="448" spans="1:23" x14ac:dyDescent="0.2">
      <c r="V448" s="3"/>
      <c r="W448" s="2"/>
    </row>
    <row r="449" spans="22:23" x14ac:dyDescent="0.2">
      <c r="V449" s="3"/>
      <c r="W449" s="2"/>
    </row>
    <row r="450" spans="22:23" x14ac:dyDescent="0.2">
      <c r="V450" s="3"/>
      <c r="W450" s="2"/>
    </row>
    <row r="451" spans="22:23" x14ac:dyDescent="0.2">
      <c r="V451" s="3"/>
      <c r="W451" s="2"/>
    </row>
    <row r="452" spans="22:23" x14ac:dyDescent="0.2">
      <c r="V452" s="3"/>
      <c r="W452" s="2"/>
    </row>
    <row r="453" spans="22:23" x14ac:dyDescent="0.2">
      <c r="V453" s="3"/>
      <c r="W453" s="2"/>
    </row>
    <row r="454" spans="22:23" x14ac:dyDescent="0.2">
      <c r="V454" s="3"/>
      <c r="W454" s="2"/>
    </row>
    <row r="455" spans="22:23" x14ac:dyDescent="0.2">
      <c r="V455" s="3"/>
      <c r="W455" s="2"/>
    </row>
    <row r="456" spans="22:23" x14ac:dyDescent="0.2">
      <c r="V456" s="3"/>
      <c r="W456" s="2"/>
    </row>
    <row r="457" spans="22:23" x14ac:dyDescent="0.2">
      <c r="V457" s="3"/>
      <c r="W457" s="2"/>
    </row>
    <row r="458" spans="22:23" x14ac:dyDescent="0.2">
      <c r="V458" s="3"/>
      <c r="W458" s="2"/>
    </row>
    <row r="459" spans="22:23" x14ac:dyDescent="0.2">
      <c r="V459" s="3"/>
      <c r="W459" s="2"/>
    </row>
    <row r="460" spans="22:23" x14ac:dyDescent="0.2">
      <c r="V460" s="3"/>
      <c r="W460" s="2"/>
    </row>
    <row r="461" spans="22:23" x14ac:dyDescent="0.2">
      <c r="V461" s="3"/>
      <c r="W461" s="2"/>
    </row>
    <row r="462" spans="22:23" x14ac:dyDescent="0.2">
      <c r="V462" s="3"/>
      <c r="W462" s="2"/>
    </row>
    <row r="463" spans="22:23" x14ac:dyDescent="0.2">
      <c r="V463" s="3"/>
      <c r="W463" s="2"/>
    </row>
    <row r="464" spans="22:23" x14ac:dyDescent="0.2">
      <c r="V464" s="3"/>
      <c r="W464" s="2"/>
    </row>
    <row r="465" spans="22:23" x14ac:dyDescent="0.2">
      <c r="V465" s="3"/>
      <c r="W465" s="2"/>
    </row>
    <row r="466" spans="22:23" x14ac:dyDescent="0.2">
      <c r="V466" s="3"/>
      <c r="W466" s="2"/>
    </row>
    <row r="467" spans="22:23" x14ac:dyDescent="0.2">
      <c r="V467" s="3"/>
      <c r="W467" s="2"/>
    </row>
    <row r="468" spans="22:23" x14ac:dyDescent="0.2">
      <c r="V468" s="3"/>
      <c r="W468" s="2"/>
    </row>
    <row r="469" spans="22:23" x14ac:dyDescent="0.2">
      <c r="V469" s="3"/>
      <c r="W469" s="2"/>
    </row>
    <row r="470" spans="22:23" x14ac:dyDescent="0.2">
      <c r="V470" s="3"/>
      <c r="W470" s="2"/>
    </row>
    <row r="471" spans="22:23" x14ac:dyDescent="0.2">
      <c r="V471" s="3"/>
      <c r="W471" s="2"/>
    </row>
    <row r="472" spans="22:23" x14ac:dyDescent="0.2">
      <c r="V472" s="3"/>
      <c r="W472" s="2"/>
    </row>
    <row r="473" spans="22:23" x14ac:dyDescent="0.2">
      <c r="V473" s="3"/>
      <c r="W473" s="2"/>
    </row>
    <row r="474" spans="22:23" x14ac:dyDescent="0.2">
      <c r="V474" s="3"/>
      <c r="W474" s="2"/>
    </row>
    <row r="475" spans="22:23" x14ac:dyDescent="0.2">
      <c r="V475" s="3"/>
      <c r="W475" s="2"/>
    </row>
    <row r="476" spans="22:23" x14ac:dyDescent="0.2">
      <c r="V476" s="3"/>
    </row>
    <row r="477" spans="22:23" x14ac:dyDescent="0.2">
      <c r="V477" s="3"/>
    </row>
    <row r="478" spans="22:23" x14ac:dyDescent="0.2">
      <c r="V478" s="3"/>
    </row>
    <row r="479" spans="22:23" x14ac:dyDescent="0.2">
      <c r="V479" s="3"/>
    </row>
    <row r="480" spans="22:23" x14ac:dyDescent="0.2">
      <c r="V480" s="3"/>
    </row>
  </sheetData>
  <conditionalFormatting sqref="F233:Q435 F31:O232">
    <cfRule type="containsBlanks" dxfId="44" priority="5">
      <formula>LEN(TRIM(F31))=0</formula>
    </cfRule>
  </conditionalFormatting>
  <conditionalFormatting sqref="F2:O30">
    <cfRule type="containsBlanks" dxfId="43" priority="4">
      <formula>LEN(TRIM(F2))=0</formula>
    </cfRule>
  </conditionalFormatting>
  <conditionalFormatting sqref="F233:Q435 F2:O232">
    <cfRule type="cellIs" dxfId="42" priority="3" operator="equal">
      <formula>0</formula>
    </cfRule>
  </conditionalFormatting>
  <conditionalFormatting sqref="F233:R435 F2:O232">
    <cfRule type="cellIs" dxfId="41" priority="2" operator="equal">
      <formula>0</formula>
    </cfRule>
  </conditionalFormatting>
  <conditionalFormatting sqref="P2:R232">
    <cfRule type="cellIs" dxfId="40" priority="1" operator="equal">
      <formula>0</formula>
    </cfRule>
  </conditionalFormatting>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Y1:AT17"/>
  <sheetViews>
    <sheetView workbookViewId="0">
      <selection activeCell="X9" sqref="X9"/>
    </sheetView>
  </sheetViews>
  <sheetFormatPr defaultRowHeight="14.25" x14ac:dyDescent="0.2"/>
  <cols>
    <col min="27" max="27" width="10.296875" customWidth="1"/>
    <col min="28" max="28" width="18.5" customWidth="1"/>
    <col min="29" max="29" width="1.3984375" customWidth="1"/>
    <col min="30" max="30" width="10.296875" customWidth="1"/>
    <col min="31" max="31" width="15.59765625" customWidth="1"/>
    <col min="32" max="32" width="1.3984375" customWidth="1"/>
    <col min="33" max="33" width="10.59765625" customWidth="1"/>
    <col min="34" max="34" width="13.09765625" customWidth="1"/>
    <col min="35" max="35" width="1.296875" customWidth="1"/>
    <col min="36" max="37" width="10.296875" customWidth="1"/>
    <col min="38" max="38" width="11.796875" customWidth="1"/>
    <col min="39" max="39" width="14.09765625" customWidth="1"/>
    <col min="40" max="40" width="13.69921875" customWidth="1"/>
    <col min="41" max="41" width="2" customWidth="1"/>
    <col min="42" max="42" width="17.796875" customWidth="1"/>
    <col min="43" max="43" width="16.296875" customWidth="1"/>
    <col min="44" max="44" width="13.59765625" customWidth="1"/>
    <col min="45" max="45" width="8" customWidth="1"/>
    <col min="46" max="46" width="11.296875" customWidth="1"/>
    <col min="47" max="47" width="8" customWidth="1"/>
    <col min="48" max="48" width="4.8984375" customWidth="1"/>
    <col min="49" max="49" width="5.59765625" customWidth="1"/>
    <col min="50" max="50" width="7.8984375" customWidth="1"/>
    <col min="51" max="154" width="9.5" customWidth="1"/>
    <col min="155" max="155" width="7.5" customWidth="1"/>
    <col min="156" max="158" width="6.296875" customWidth="1"/>
    <col min="159" max="159" width="7.8984375" customWidth="1"/>
    <col min="160" max="162" width="10.796875" bestFit="1" customWidth="1"/>
    <col min="163" max="164" width="10.3984375" bestFit="1" customWidth="1"/>
  </cols>
  <sheetData>
    <row r="1" spans="25:46" ht="15" thickBot="1" x14ac:dyDescent="0.25">
      <c r="AA1" s="20"/>
      <c r="AB1" s="20"/>
    </row>
    <row r="2" spans="25:46" ht="32.25" customHeight="1" thickTop="1" thickBot="1" x14ac:dyDescent="0.25">
      <c r="Y2" s="27"/>
      <c r="AA2" s="21" t="s">
        <v>21</v>
      </c>
      <c r="AB2" s="23" t="s">
        <v>385</v>
      </c>
      <c r="AD2" s="21" t="s">
        <v>12</v>
      </c>
      <c r="AE2" s="23" t="s">
        <v>385</v>
      </c>
      <c r="AG2" s="21" t="s">
        <v>25</v>
      </c>
      <c r="AH2" s="23" t="s">
        <v>385</v>
      </c>
      <c r="AJ2" s="21" t="s">
        <v>383</v>
      </c>
      <c r="AK2" s="23" t="s">
        <v>388</v>
      </c>
      <c r="AL2" s="23" t="s">
        <v>386</v>
      </c>
      <c r="AM2" s="23" t="s">
        <v>387</v>
      </c>
      <c r="AN2" s="23" t="s">
        <v>384</v>
      </c>
      <c r="AP2" s="28" t="s">
        <v>394</v>
      </c>
      <c r="AQ2" s="28" t="s">
        <v>391</v>
      </c>
    </row>
    <row r="3" spans="25:46" ht="15.75" thickTop="1" thickBot="1" x14ac:dyDescent="0.25">
      <c r="Y3" s="27"/>
      <c r="AA3" s="22" t="s">
        <v>19</v>
      </c>
      <c r="AB3" s="26">
        <f>SUMIF(Market,AA3,Total_Earnings_to_Date)</f>
        <v>757850410.05000007</v>
      </c>
      <c r="AD3" s="22" t="s">
        <v>13</v>
      </c>
      <c r="AE3" s="26">
        <f>SUMIF(Genre,AD3,Total_Earnings_to_Date)</f>
        <v>749934328.61000001</v>
      </c>
      <c r="AG3" s="22" t="s">
        <v>27</v>
      </c>
      <c r="AH3" s="26">
        <f>SUMIF(Format,AG3,Total_Earnings_to_Date)</f>
        <v>1645956700.3699994</v>
      </c>
      <c r="AJ3" s="22">
        <v>2000</v>
      </c>
      <c r="AK3" s="22">
        <f>SUMIF(Format,"Print",FY_2000)</f>
        <v>264310</v>
      </c>
      <c r="AL3" s="22">
        <f>SUMIF(Format,"Electronic",FY_2000)</f>
        <v>264492</v>
      </c>
      <c r="AM3" s="22">
        <f>SUM(FY_2000)</f>
        <v>528802</v>
      </c>
      <c r="AN3" s="26">
        <f>SUMPRODUCT(FY_2000,Sell_Price)</f>
        <v>3832258.48</v>
      </c>
      <c r="AQ3" t="s">
        <v>17</v>
      </c>
      <c r="AS3" t="s">
        <v>395</v>
      </c>
      <c r="AT3" t="s">
        <v>390</v>
      </c>
    </row>
    <row r="4" spans="25:46" ht="15.75" thickTop="1" thickBot="1" x14ac:dyDescent="0.25">
      <c r="Y4" s="27"/>
      <c r="AA4" s="22" t="s">
        <v>17</v>
      </c>
      <c r="AB4" s="26">
        <f>SUMIF(Market,AA4,Total_Earnings_to_Date)</f>
        <v>498731088.00999999</v>
      </c>
      <c r="AD4" s="22" t="s">
        <v>14</v>
      </c>
      <c r="AE4" s="26">
        <f>SUMIF(Genre,AD4,Total_Earnings_to_Date)</f>
        <v>451409499.53999984</v>
      </c>
      <c r="AG4" s="22" t="s">
        <v>28</v>
      </c>
      <c r="AH4" s="26">
        <f>SUMIF(Format,AG4,Total_Earnings_to_Date)</f>
        <v>379894710.94000012</v>
      </c>
      <c r="AJ4" s="22">
        <v>2001</v>
      </c>
      <c r="AK4" s="22">
        <f>SUMIF(Format,"Print",FY_2001)</f>
        <v>512078</v>
      </c>
      <c r="AL4" s="22">
        <f>SUMIF(Format,"Electronic",FY_2001)</f>
        <v>615825</v>
      </c>
      <c r="AM4" s="22">
        <f>SUM(FY_2001)</f>
        <v>1127903</v>
      </c>
      <c r="AN4" s="26">
        <f>SUMPRODUCT(FY_2001,Sell_Price)</f>
        <v>8701500.9700000007</v>
      </c>
      <c r="AP4" s="28" t="s">
        <v>389</v>
      </c>
      <c r="AQ4" t="s">
        <v>72</v>
      </c>
      <c r="AR4" t="s">
        <v>76</v>
      </c>
    </row>
    <row r="5" spans="25:46" ht="15.75" thickTop="1" thickBot="1" x14ac:dyDescent="0.25">
      <c r="Y5" s="27"/>
      <c r="AA5" s="22" t="s">
        <v>16</v>
      </c>
      <c r="AB5" s="26">
        <f>SUMIF(Market,AA5,Total_Earnings_to_Date)</f>
        <v>483989204.93000007</v>
      </c>
      <c r="AD5" s="22" t="s">
        <v>15</v>
      </c>
      <c r="AE5" s="26">
        <f>SUMIF(Genre,AD5,Total_Earnings_to_Date)</f>
        <v>513703279.69000012</v>
      </c>
      <c r="AJ5" s="22">
        <v>2002</v>
      </c>
      <c r="AK5" s="22">
        <f>SUMIF(Format,"Print",FY_2002)</f>
        <v>2702800</v>
      </c>
      <c r="AL5" s="22">
        <f>SUMIF(Format,"Electronic",FY_2002)</f>
        <v>1384214</v>
      </c>
      <c r="AM5" s="22">
        <f>SUM(FY_2002)</f>
        <v>4087014</v>
      </c>
      <c r="AN5" s="26">
        <f>SUMPRODUCT(FY_2002,Sell_Price)</f>
        <v>40865053.360000007</v>
      </c>
      <c r="AP5" s="29" t="s">
        <v>26</v>
      </c>
      <c r="AQ5" s="34">
        <v>252558</v>
      </c>
      <c r="AR5" s="34">
        <v>35537</v>
      </c>
      <c r="AS5" s="34">
        <v>288095</v>
      </c>
      <c r="AT5" s="34">
        <v>288095</v>
      </c>
    </row>
    <row r="6" spans="25:46" ht="15.75" thickTop="1" thickBot="1" x14ac:dyDescent="0.25">
      <c r="Y6" s="27"/>
      <c r="AA6" s="22" t="s">
        <v>18</v>
      </c>
      <c r="AB6" s="26">
        <f>SUMIF(Market,AA6,Total_Earnings_to_Date)</f>
        <v>285280708.31999999</v>
      </c>
      <c r="AD6" s="22" t="s">
        <v>26</v>
      </c>
      <c r="AE6" s="26">
        <f>SUMIF(Genre,AD6,Total_Earnings_to_Date)</f>
        <v>310804303.47000003</v>
      </c>
      <c r="AJ6" s="22">
        <v>2003</v>
      </c>
      <c r="AK6" s="22">
        <f>SUMIF(Format,"Print",FY_2003)</f>
        <v>3438234</v>
      </c>
      <c r="AL6" s="22">
        <f>SUMIF(Format,"Electronic",FY_2003)</f>
        <v>1640041</v>
      </c>
      <c r="AM6" s="22">
        <f>SUM(FY_2003)</f>
        <v>5078275</v>
      </c>
      <c r="AN6" s="26">
        <f>SUMPRODUCT(FY_2003,Sell_Price)</f>
        <v>51055026.750000022</v>
      </c>
      <c r="AP6" s="29" t="s">
        <v>15</v>
      </c>
      <c r="AQ6" s="34"/>
      <c r="AR6" s="34">
        <v>32933</v>
      </c>
      <c r="AS6" s="34">
        <v>32933</v>
      </c>
      <c r="AT6" s="34">
        <v>32933</v>
      </c>
    </row>
    <row r="7" spans="25:46" ht="15.75" thickTop="1" thickBot="1" x14ac:dyDescent="0.25">
      <c r="AD7" s="18"/>
      <c r="AE7" s="19"/>
      <c r="AJ7" s="22">
        <v>2004</v>
      </c>
      <c r="AK7" s="22">
        <f>SUMIF(Format,"Print",FY_2004)</f>
        <v>4046876</v>
      </c>
      <c r="AL7" s="22">
        <f>SUMIF(Format,"Electronic",FY_2004)</f>
        <v>2412339</v>
      </c>
      <c r="AM7" s="22">
        <f>SUM(FY_2004)</f>
        <v>6459215</v>
      </c>
      <c r="AN7" s="26">
        <f>SUMPRODUCT(FY_2004,Sell_Price)</f>
        <v>60618765.850000009</v>
      </c>
      <c r="AP7" s="29" t="s">
        <v>390</v>
      </c>
      <c r="AQ7" s="34">
        <v>252558</v>
      </c>
      <c r="AR7" s="34">
        <v>68470</v>
      </c>
      <c r="AS7" s="34">
        <v>321028</v>
      </c>
      <c r="AT7" s="34">
        <v>321028</v>
      </c>
    </row>
    <row r="8" spans="25:46" ht="18" customHeight="1" thickTop="1" thickBot="1" x14ac:dyDescent="0.25">
      <c r="AJ8" s="22">
        <v>2005</v>
      </c>
      <c r="AK8" s="22">
        <f>SUMIF(Format,"Print",FY_2005)</f>
        <v>4977337</v>
      </c>
      <c r="AL8" s="22">
        <f>SUMIF(Format,"Electronic",FY_2005)</f>
        <v>3238305</v>
      </c>
      <c r="AM8" s="22">
        <f>SUM(FY_2005)</f>
        <v>8215642</v>
      </c>
      <c r="AN8" s="26">
        <f>SUMPRODUCT(FY_2005,Sell_Price)</f>
        <v>74423324.579999998</v>
      </c>
    </row>
    <row r="9" spans="25:46" ht="15.75" thickTop="1" thickBot="1" x14ac:dyDescent="0.25">
      <c r="AJ9" s="22">
        <v>2006</v>
      </c>
      <c r="AK9" s="22">
        <f>SUMIF(Format,"Print",FY_2006)</f>
        <v>6851202</v>
      </c>
      <c r="AL9" s="22">
        <f>SUMIF(Format,"Electronic",FY_2006)</f>
        <v>5215878</v>
      </c>
      <c r="AM9" s="22">
        <f>SUM(FY_2006)</f>
        <v>12067080</v>
      </c>
      <c r="AN9" s="26">
        <f>SUMPRODUCT(FY_2006,Sell_Price)</f>
        <v>101689193.70000006</v>
      </c>
    </row>
    <row r="10" spans="25:46" ht="15.75" thickTop="1" thickBot="1" x14ac:dyDescent="0.25">
      <c r="AJ10" s="22">
        <v>2007</v>
      </c>
      <c r="AK10" s="22">
        <f>SUMIF(Format,"Print",FY_2007)</f>
        <v>10172505</v>
      </c>
      <c r="AL10" s="22">
        <f>SUMIF(Format,"Electronic",FY_2007)</f>
        <v>6880773</v>
      </c>
      <c r="AM10" s="22">
        <f>SUM(FY_2007)</f>
        <v>17053278</v>
      </c>
      <c r="AN10" s="26">
        <f>SUMPRODUCT(FY_2007,Sell_Price)</f>
        <v>148088612.71999997</v>
      </c>
      <c r="AP10" s="28" t="s">
        <v>392</v>
      </c>
      <c r="AQ10" s="28" t="s">
        <v>391</v>
      </c>
    </row>
    <row r="11" spans="25:46" ht="15.75" thickTop="1" thickBot="1" x14ac:dyDescent="0.25">
      <c r="AJ11" s="22">
        <v>2008</v>
      </c>
      <c r="AK11" s="22">
        <f>SUMIF(Format,"Print",FY_2008)</f>
        <v>11394732</v>
      </c>
      <c r="AL11" s="22">
        <f>SUMIF(Format,"Electronic",FY_2008)</f>
        <v>10397368</v>
      </c>
      <c r="AM11" s="22">
        <f>SUM(FY_2008)</f>
        <v>21792100</v>
      </c>
      <c r="AN11" s="26">
        <f>SUMPRODUCT(FY_2008,Sell_Price)</f>
        <v>171792498.50000006</v>
      </c>
      <c r="AP11" s="28" t="s">
        <v>389</v>
      </c>
      <c r="AQ11" t="s">
        <v>28</v>
      </c>
      <c r="AR11" t="s">
        <v>390</v>
      </c>
    </row>
    <row r="12" spans="25:46" ht="15.75" thickTop="1" thickBot="1" x14ac:dyDescent="0.25">
      <c r="AJ12" s="22">
        <v>2009</v>
      </c>
      <c r="AK12" s="22">
        <f>SUMIF(Format,"Print",FY_2009)</f>
        <v>16835099</v>
      </c>
      <c r="AL12" s="22">
        <f>SUMIF(Format,"Electronic",FY_2009)</f>
        <v>14384523</v>
      </c>
      <c r="AM12" s="22">
        <f>SUM(FY_2009)</f>
        <v>31219622</v>
      </c>
      <c r="AN12" s="26">
        <f>SUMPRODUCT(FY_2009,Sell_Price)</f>
        <v>251645368.28000012</v>
      </c>
      <c r="AP12" s="29">
        <v>1008</v>
      </c>
      <c r="AQ12" s="33">
        <v>638845.72</v>
      </c>
      <c r="AR12" s="33">
        <v>638845.72</v>
      </c>
    </row>
    <row r="13" spans="25:46" ht="15.75" thickTop="1" thickBot="1" x14ac:dyDescent="0.25">
      <c r="AJ13" s="22">
        <v>2010</v>
      </c>
      <c r="AK13" s="22">
        <f>SUMIF(Format,"Print",FY_2010)</f>
        <v>21265234</v>
      </c>
      <c r="AL13" s="22">
        <f>SUMIF(Format,"Electronic",FY_2010)</f>
        <v>23681345</v>
      </c>
      <c r="AM13" s="22">
        <f>SUM(FY_2010)</f>
        <v>44946579</v>
      </c>
      <c r="AN13" s="26">
        <f>SUMPRODUCT(FY_2010,Sell_Price)</f>
        <v>330389929.21000034</v>
      </c>
      <c r="AP13" s="31" t="s">
        <v>72</v>
      </c>
      <c r="AQ13" s="33">
        <v>502590.42</v>
      </c>
      <c r="AR13" s="33">
        <v>502590.42</v>
      </c>
    </row>
    <row r="14" spans="25:46" ht="15.75" thickTop="1" thickBot="1" x14ac:dyDescent="0.25">
      <c r="AJ14" s="22">
        <v>2011</v>
      </c>
      <c r="AK14" s="22">
        <f>SUMIF(Format,"Print",FY_2011)</f>
        <v>21960041</v>
      </c>
      <c r="AL14" s="22">
        <f>SUMIF(Format,"Electronic",FY_2011)</f>
        <v>32806980</v>
      </c>
      <c r="AM14" s="22">
        <f>SUM(FY_2011)</f>
        <v>54767021</v>
      </c>
      <c r="AN14" s="26">
        <f>SUMPRODUCT(FY_2011,Sell_Price)</f>
        <v>357862725.79000026</v>
      </c>
      <c r="AP14" s="32" t="s">
        <v>17</v>
      </c>
      <c r="AQ14" s="33">
        <v>502590.42</v>
      </c>
      <c r="AR14" s="33">
        <v>502590.42</v>
      </c>
    </row>
    <row r="15" spans="25:46" ht="15.75" thickTop="1" thickBot="1" x14ac:dyDescent="0.25">
      <c r="AJ15" s="22">
        <v>2012</v>
      </c>
      <c r="AK15" s="22">
        <f>SUMIF(Format,"Print",FY_2012)</f>
        <v>23279315</v>
      </c>
      <c r="AL15" s="22">
        <f>SUMIF(Format,"Electronic",FY_2012)</f>
        <v>55724773</v>
      </c>
      <c r="AM15" s="22">
        <f>SUM(FY_2012)</f>
        <v>79004088</v>
      </c>
      <c r="AN15" s="26">
        <f>SUMPRODUCT(FY_2012,Sell_Price)</f>
        <v>424887153.12000024</v>
      </c>
      <c r="AP15" s="31" t="s">
        <v>76</v>
      </c>
      <c r="AQ15" s="33">
        <v>136255.29999999999</v>
      </c>
      <c r="AR15" s="33">
        <v>136255.29999999999</v>
      </c>
    </row>
    <row r="16" spans="25:46" ht="15" thickTop="1" x14ac:dyDescent="0.2">
      <c r="AP16" s="32" t="s">
        <v>17</v>
      </c>
      <c r="AQ16" s="33">
        <v>136255.29999999999</v>
      </c>
      <c r="AR16" s="33">
        <v>136255.29999999999</v>
      </c>
    </row>
    <row r="17" spans="42:44" x14ac:dyDescent="0.2">
      <c r="AP17" s="29" t="s">
        <v>390</v>
      </c>
      <c r="AQ17" s="33">
        <v>638845.72</v>
      </c>
      <c r="AR17" s="33">
        <v>638845.72</v>
      </c>
    </row>
  </sheetData>
  <pageMargins left="0.7" right="0.7" top="0.75" bottom="0.75" header="0.3" footer="0.3"/>
  <pageSetup orientation="portrait" horizontalDpi="0" verticalDpi="0" r:id="rId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E6" sqref="E6"/>
    </sheetView>
  </sheetViews>
  <sheetFormatPr defaultColWidth="28" defaultRowHeight="58.5" customHeight="1" x14ac:dyDescent="0.2"/>
  <cols>
    <col min="2" max="2" width="11" customWidth="1"/>
  </cols>
  <sheetData>
    <row r="1" spans="1:1" ht="58.5" customHeight="1" x14ac:dyDescent="0.2">
      <c r="A1">
        <v>1005</v>
      </c>
    </row>
    <row r="2" spans="1:1" ht="58.5" customHeight="1" x14ac:dyDescent="0.2">
      <c r="A2">
        <v>1006</v>
      </c>
    </row>
    <row r="3" spans="1:1" ht="58.5" customHeight="1" x14ac:dyDescent="0.2">
      <c r="A3">
        <v>1008</v>
      </c>
    </row>
    <row r="4" spans="1:1" ht="58.5" customHeight="1" x14ac:dyDescent="0.2">
      <c r="A4">
        <v>1011</v>
      </c>
    </row>
    <row r="5" spans="1:1" ht="58.5" customHeight="1" x14ac:dyDescent="0.2">
      <c r="A5">
        <v>1012</v>
      </c>
    </row>
    <row r="6" spans="1:1" ht="58.5" customHeight="1" x14ac:dyDescent="0.2">
      <c r="A6">
        <v>1013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32</vt:i4>
      </vt:variant>
    </vt:vector>
  </HeadingPairs>
  <TitlesOfParts>
    <vt:vector size="38" baseType="lpstr">
      <vt:lpstr>Navigation</vt:lpstr>
      <vt:lpstr>Author Dashboard</vt:lpstr>
      <vt:lpstr>Summary Data</vt:lpstr>
      <vt:lpstr>Sales</vt:lpstr>
      <vt:lpstr>Sales Dashboard</vt:lpstr>
      <vt:lpstr>Author Photos</vt:lpstr>
      <vt:lpstr>_5__Years_and_350K__Units_Sold_or__1M__Earned?</vt:lpstr>
      <vt:lpstr>_5__Years_or_High_Producer?</vt:lpstr>
      <vt:lpstr>Author</vt:lpstr>
      <vt:lpstr>AuthorID</vt:lpstr>
      <vt:lpstr>AuthorPic</vt:lpstr>
      <vt:lpstr>Early_Producer?</vt:lpstr>
      <vt:lpstr>Format</vt:lpstr>
      <vt:lpstr>FY_2000</vt:lpstr>
      <vt:lpstr>FY_2001</vt:lpstr>
      <vt:lpstr>FY_2002</vt:lpstr>
      <vt:lpstr>FY_2003</vt:lpstr>
      <vt:lpstr>FY_2004</vt:lpstr>
      <vt:lpstr>FY_2005</vt:lpstr>
      <vt:lpstr>FY_2006</vt:lpstr>
      <vt:lpstr>FY_2007</vt:lpstr>
      <vt:lpstr>FY_2008</vt:lpstr>
      <vt:lpstr>FY_2009</vt:lpstr>
      <vt:lpstr>FY_2010</vt:lpstr>
      <vt:lpstr>FY_2011</vt:lpstr>
      <vt:lpstr>FY_2012</vt:lpstr>
      <vt:lpstr>Genre</vt:lpstr>
      <vt:lpstr>Income_Earned</vt:lpstr>
      <vt:lpstr>Initial_Contract_Date</vt:lpstr>
      <vt:lpstr>Market</vt:lpstr>
      <vt:lpstr>Number_of_Books_in_Print</vt:lpstr>
      <vt:lpstr>Number_of_Books_Sold</vt:lpstr>
      <vt:lpstr>Royalty_Rate</vt:lpstr>
      <vt:lpstr>Sell_Price</vt:lpstr>
      <vt:lpstr>Title</vt:lpstr>
      <vt:lpstr>Total_Earnings_to_Date</vt:lpstr>
      <vt:lpstr>Total_Units_to_Date</vt:lpstr>
      <vt:lpstr>Years_Under_Contract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Vincent</cp:lastModifiedBy>
  <dcterms:created xsi:type="dcterms:W3CDTF">2012-06-06T16:44:25Z</dcterms:created>
  <dcterms:modified xsi:type="dcterms:W3CDTF">2012-07-26T20:26:15Z</dcterms:modified>
</cp:coreProperties>
</file>