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 Division\Desktop\New Five year\Final Five year\Uploading\"/>
    </mc:Choice>
  </mc:AlternateContent>
  <bookViews>
    <workbookView xWindow="0" yWindow="0" windowWidth="20490" windowHeight="7650" tabRatio="874" activeTab="27"/>
  </bookViews>
  <sheets>
    <sheet name="Summary" sheetId="58" r:id="rId1"/>
    <sheet name="rice U" sheetId="45" r:id="rId2"/>
    <sheet name="Wheat U" sheetId="46" r:id="rId3"/>
    <sheet name="Jowar U" sheetId="47" r:id="rId4"/>
    <sheet name="Bajra U" sheetId="48" r:id="rId5"/>
    <sheet name="Maize  U" sheetId="11" r:id="rId6"/>
    <sheet name="Ragi U" sheetId="1" r:id="rId7"/>
    <sheet name="Small millets U" sheetId="16" r:id="rId8"/>
    <sheet name="Barley U" sheetId="8" r:id="rId9"/>
    <sheet name="Kharif CC U" sheetId="40" r:id="rId10"/>
    <sheet name="Rabi CC U" sheetId="28" r:id="rId11"/>
    <sheet name="Total CC U" sheetId="34" r:id="rId12"/>
    <sheet name="Kharif-Cereals U" sheetId="29" r:id="rId13"/>
    <sheet name="Rabi Cereals U" sheetId="30" r:id="rId14"/>
    <sheet name="Total Cereals" sheetId="35" r:id="rId15"/>
    <sheet name="Tur U" sheetId="7" r:id="rId16"/>
    <sheet name="Gram U" sheetId="42" r:id="rId17"/>
    <sheet name="Urad" sheetId="59" r:id="rId18"/>
    <sheet name="Moong" sheetId="60" r:id="rId19"/>
    <sheet name="Lentil" sheetId="61" r:id="rId20"/>
    <sheet name="OKP U" sheetId="62" r:id="rId21"/>
    <sheet name="ORP U" sheetId="63" r:id="rId22"/>
    <sheet name="Kharif-pulses U" sheetId="52" r:id="rId23"/>
    <sheet name="Rabi pulses U" sheetId="53" r:id="rId24"/>
    <sheet name="Total-pulses U" sheetId="54" r:id="rId25"/>
    <sheet name="Kharif-foodgrains U" sheetId="55" r:id="rId26"/>
    <sheet name="Rabi-foodgrains U" sheetId="56" r:id="rId27"/>
    <sheet name="Total-foodgrains U" sheetId="57" r:id="rId28"/>
  </sheets>
  <externalReferences>
    <externalReference r:id="rId29"/>
  </externalReferences>
  <definedNames>
    <definedName name="_xlnm.Print_Area" localSheetId="4">'Bajra U'!$A$1:$P$30</definedName>
    <definedName name="_xlnm.Print_Area" localSheetId="8">'Barley U'!$A$1:$P$26</definedName>
    <definedName name="_xlnm.Print_Area" localSheetId="16">'Gram U'!$A$1:$P$35</definedName>
    <definedName name="_xlnm.Print_Area" localSheetId="3">'Jowar U'!$A$1:$Q$53</definedName>
    <definedName name="_xlnm.Print_Area" localSheetId="9">'Kharif CC U'!$A$1:$P$44</definedName>
    <definedName name="_xlnm.Print_Area" localSheetId="12">'Kharif-Cereals U'!$A$1:$P$44</definedName>
    <definedName name="_xlnm.Print_Area" localSheetId="25">'Kharif-foodgrains U'!$A$1:$P$43</definedName>
    <definedName name="_xlnm.Print_Area" localSheetId="22">'Kharif-pulses U'!$A$1:$P$42</definedName>
    <definedName name="_xlnm.Print_Area" localSheetId="19">Lentil!$A$1:$P$26</definedName>
    <definedName name="_xlnm.Print_Area" localSheetId="5">'Maize  U'!$A$1:$Q$93</definedName>
    <definedName name="_xlnm.Print_Area" localSheetId="18">Moong!$A$1:$Q$78</definedName>
    <definedName name="_xlnm.Print_Area" localSheetId="20">'OKP U'!$A$1:$Q$117</definedName>
    <definedName name="_xlnm.Print_Area" localSheetId="21">'ORP U'!$A$1:$Q$111</definedName>
    <definedName name="_xlnm.Print_Area" localSheetId="10">'Rabi CC U'!$A$1:$P$37</definedName>
    <definedName name="_xlnm.Print_Area" localSheetId="13">'Rabi Cereals U'!$A$1:$P$42</definedName>
    <definedName name="_xlnm.Print_Area" localSheetId="23">'Rabi pulses U'!$A$1:$P$41</definedName>
    <definedName name="_xlnm.Print_Area" localSheetId="26">'Rabi-foodgrains U'!$A$1:$P$43</definedName>
    <definedName name="_xlnm.Print_Area" localSheetId="6">'Ragi U'!$A$1:$P$28</definedName>
    <definedName name="_xlnm.Print_Area" localSheetId="1">'rice U'!$A$1:$Q$102</definedName>
    <definedName name="_xlnm.Print_Area" localSheetId="7">'Small millets U'!$A$1:$P$35</definedName>
    <definedName name="_xlnm.Print_Area" localSheetId="0">Summary!$A$1:$Q$43</definedName>
    <definedName name="_xlnm.Print_Area" localSheetId="11">'Total CC U'!$A$1:$P$44</definedName>
    <definedName name="_xlnm.Print_Area" localSheetId="14">'Total Cereals'!$A$1:$P$44</definedName>
    <definedName name="_xlnm.Print_Area" localSheetId="27">'Total-foodgrains U'!$A$1:$P$43</definedName>
    <definedName name="_xlnm.Print_Area" localSheetId="24">'Total-pulses U'!$A$1:$P$42</definedName>
    <definedName name="_xlnm.Print_Area" localSheetId="15">'Tur U'!$A$1:$P$37</definedName>
    <definedName name="_xlnm.Print_Area" localSheetId="17">Urad!$A$1:$Q$83</definedName>
    <definedName name="_xlnm.Print_Area" localSheetId="2">'Wheat U'!$A$1:$P$39</definedName>
    <definedName name="_xlnm.Print_Titles" localSheetId="12">'Kharif-Cereals U'!$A:$A</definedName>
    <definedName name="_xlnm.Print_Titles" localSheetId="10">'Rabi CC U'!$A:$A</definedName>
  </definedNames>
  <calcPr calcId="162913"/>
  <fileRecoveryPr autoRecover="0"/>
</workbook>
</file>

<file path=xl/calcChain.xml><?xml version="1.0" encoding="utf-8"?>
<calcChain xmlns="http://schemas.openxmlformats.org/spreadsheetml/2006/main">
  <c r="N16" i="47" l="1"/>
  <c r="O16" i="47"/>
  <c r="P16" i="47"/>
  <c r="M16" i="47"/>
  <c r="L32" i="63"/>
  <c r="E11" i="62" l="1"/>
  <c r="H113" i="62" l="1"/>
  <c r="H114" i="62"/>
  <c r="H112" i="62"/>
  <c r="D112" i="62"/>
  <c r="E112" i="62"/>
  <c r="F112" i="62"/>
  <c r="G112" i="62"/>
  <c r="D113" i="62"/>
  <c r="E113" i="62"/>
  <c r="F113" i="62"/>
  <c r="G113" i="62"/>
  <c r="D114" i="62"/>
  <c r="E114" i="62"/>
  <c r="F114" i="62"/>
  <c r="G114" i="62"/>
  <c r="F115" i="62"/>
  <c r="H116" i="62" l="1"/>
  <c r="H36" i="58" s="1"/>
  <c r="N82" i="11"/>
  <c r="C98" i="63" l="1"/>
  <c r="C72" i="63"/>
  <c r="C50" i="63"/>
  <c r="C40" i="63"/>
  <c r="C38" i="63"/>
  <c r="C35" i="63"/>
  <c r="H98" i="63" l="1"/>
  <c r="H50" i="63"/>
  <c r="H33" i="62"/>
  <c r="H39" i="62"/>
  <c r="H87" i="62"/>
  <c r="D39" i="62" l="1"/>
  <c r="I39" i="62" l="1"/>
  <c r="F35" i="63" l="1"/>
  <c r="K98" i="63" l="1"/>
  <c r="K77" i="63"/>
  <c r="K35" i="63"/>
  <c r="J38" i="62"/>
  <c r="E35" i="63"/>
  <c r="J35" i="63"/>
  <c r="J76" i="63"/>
  <c r="G36" i="52" l="1"/>
  <c r="H36" i="52"/>
  <c r="I36" i="52"/>
  <c r="J36" i="52"/>
  <c r="K36" i="52"/>
  <c r="B36" i="52"/>
  <c r="C36" i="52"/>
  <c r="E36" i="52"/>
  <c r="F36" i="52"/>
  <c r="D36" i="52"/>
  <c r="E80" i="59"/>
  <c r="E29" i="58" s="1"/>
  <c r="D52" i="47"/>
  <c r="D12" i="58" s="1"/>
  <c r="E52" i="47"/>
  <c r="E12" i="58" s="1"/>
  <c r="F52" i="47"/>
  <c r="F12" i="58" s="1"/>
  <c r="G52" i="47"/>
  <c r="G12" i="58" s="1"/>
  <c r="H52" i="47"/>
  <c r="H12" i="58" s="1"/>
  <c r="I52" i="47"/>
  <c r="I12" i="58" s="1"/>
  <c r="J52" i="47"/>
  <c r="J12" i="58" s="1"/>
  <c r="K52" i="47"/>
  <c r="K12" i="58" s="1"/>
  <c r="L52" i="47"/>
  <c r="L12" i="58" s="1"/>
  <c r="C52" i="47"/>
  <c r="M35" i="47"/>
  <c r="N35" i="47"/>
  <c r="O35" i="47"/>
  <c r="P35" i="47"/>
  <c r="Q35" i="47"/>
  <c r="C26" i="28"/>
  <c r="D26" i="28"/>
  <c r="E26" i="28"/>
  <c r="F26" i="28"/>
  <c r="G26" i="28"/>
  <c r="H26" i="28"/>
  <c r="I26" i="28"/>
  <c r="J26" i="28"/>
  <c r="K26" i="28"/>
  <c r="B26" i="28"/>
  <c r="D36" i="47"/>
  <c r="E36" i="47"/>
  <c r="F36" i="47"/>
  <c r="G36" i="47"/>
  <c r="H36" i="47"/>
  <c r="I36" i="47"/>
  <c r="J36" i="47"/>
  <c r="K36" i="47"/>
  <c r="L36" i="47"/>
  <c r="C36" i="47"/>
  <c r="Q36" i="47" l="1"/>
  <c r="O36" i="47"/>
  <c r="M36" i="47"/>
  <c r="N36" i="47"/>
  <c r="P36" i="47"/>
  <c r="E50" i="62" l="1"/>
  <c r="L36" i="46" l="1"/>
  <c r="M36" i="46"/>
  <c r="N36" i="46"/>
  <c r="O36" i="46"/>
  <c r="P36" i="46"/>
  <c r="L99" i="45"/>
  <c r="L7" i="58" s="1"/>
  <c r="C16" i="52" l="1"/>
  <c r="G16" i="52"/>
  <c r="C38" i="52" l="1"/>
  <c r="D38" i="52"/>
  <c r="E38" i="52"/>
  <c r="F38" i="52"/>
  <c r="G38" i="52"/>
  <c r="H38" i="52"/>
  <c r="I38" i="52"/>
  <c r="J38" i="52"/>
  <c r="K38" i="52"/>
  <c r="B38" i="52"/>
  <c r="E40" i="54"/>
  <c r="K109" i="63"/>
  <c r="F109" i="63"/>
  <c r="D76" i="60"/>
  <c r="D33" i="58" s="1"/>
  <c r="E76" i="60"/>
  <c r="E33" i="58" s="1"/>
  <c r="F76" i="60"/>
  <c r="F33" i="58" s="1"/>
  <c r="G76" i="60"/>
  <c r="G33" i="58" s="1"/>
  <c r="H76" i="60"/>
  <c r="H33" i="58" s="1"/>
  <c r="I76" i="60"/>
  <c r="I33" i="58" s="1"/>
  <c r="J76" i="60"/>
  <c r="J33" i="58" s="1"/>
  <c r="K76" i="60"/>
  <c r="K33" i="58" s="1"/>
  <c r="L76" i="60"/>
  <c r="L33" i="58" s="1"/>
  <c r="G51" i="47"/>
  <c r="G11" i="58" s="1"/>
  <c r="G13" i="58" s="1"/>
  <c r="Q16" i="47"/>
  <c r="O35" i="7" l="1"/>
  <c r="F64" i="62"/>
  <c r="D81" i="59"/>
  <c r="D30" i="58" s="1"/>
  <c r="E81" i="59"/>
  <c r="F81" i="59"/>
  <c r="F30" i="58" s="1"/>
  <c r="G81" i="59"/>
  <c r="G30" i="58" s="1"/>
  <c r="H81" i="59"/>
  <c r="H30" i="58" s="1"/>
  <c r="I81" i="59"/>
  <c r="J81" i="59"/>
  <c r="J30" i="58" s="1"/>
  <c r="K81" i="59"/>
  <c r="K30" i="58" s="1"/>
  <c r="L81" i="59"/>
  <c r="L30" i="58" s="1"/>
  <c r="C81" i="59"/>
  <c r="K80" i="59"/>
  <c r="K29" i="58" s="1"/>
  <c r="K31" i="58" s="1"/>
  <c r="I75" i="60"/>
  <c r="J75" i="60"/>
  <c r="K75" i="60"/>
  <c r="K32" i="58" s="1"/>
  <c r="K34" i="58" s="1"/>
  <c r="D80" i="59"/>
  <c r="D29" i="58" s="1"/>
  <c r="D31" i="58" s="1"/>
  <c r="F80" i="59"/>
  <c r="F29" i="58" s="1"/>
  <c r="F31" i="58" s="1"/>
  <c r="G80" i="59"/>
  <c r="G29" i="58" s="1"/>
  <c r="G31" i="58" s="1"/>
  <c r="I80" i="59"/>
  <c r="I29" i="58" s="1"/>
  <c r="J80" i="59"/>
  <c r="J29" i="58" s="1"/>
  <c r="D82" i="59"/>
  <c r="F75" i="60"/>
  <c r="F32" i="58" s="1"/>
  <c r="F34" i="58" s="1"/>
  <c r="E75" i="60"/>
  <c r="D75" i="60"/>
  <c r="K77" i="60" l="1"/>
  <c r="E77" i="60"/>
  <c r="E32" i="58"/>
  <c r="E34" i="58" s="1"/>
  <c r="I77" i="60"/>
  <c r="I32" i="58"/>
  <c r="I34" i="58" s="1"/>
  <c r="D77" i="60"/>
  <c r="D32" i="58"/>
  <c r="D34" i="58" s="1"/>
  <c r="J77" i="60"/>
  <c r="J32" i="58"/>
  <c r="J34" i="58" s="1"/>
  <c r="F77" i="60"/>
  <c r="I82" i="59"/>
  <c r="I30" i="58"/>
  <c r="I31" i="58" s="1"/>
  <c r="E82" i="59"/>
  <c r="E30" i="58"/>
  <c r="E31" i="58" s="1"/>
  <c r="J31" i="58"/>
  <c r="K82" i="59"/>
  <c r="J82" i="59"/>
  <c r="F82" i="59"/>
  <c r="G82" i="59"/>
  <c r="J39" i="53" l="1"/>
  <c r="J38" i="53"/>
  <c r="J37" i="53"/>
  <c r="J36" i="53"/>
  <c r="J29" i="53"/>
  <c r="J24" i="53"/>
  <c r="J23" i="53"/>
  <c r="J12" i="53"/>
  <c r="J41" i="52"/>
  <c r="J40" i="52"/>
  <c r="J39" i="52"/>
  <c r="J37" i="52"/>
  <c r="J33" i="52"/>
  <c r="J27" i="52"/>
  <c r="J24" i="52"/>
  <c r="J23" i="52"/>
  <c r="J12" i="52"/>
  <c r="J9" i="52"/>
  <c r="E16" i="53"/>
  <c r="J16" i="53"/>
  <c r="P34" i="63"/>
  <c r="P33" i="63"/>
  <c r="J41" i="56" l="1"/>
  <c r="J36" i="56"/>
  <c r="P35" i="63"/>
  <c r="P33" i="7" l="1"/>
  <c r="F39" i="53"/>
  <c r="F41" i="56" s="1"/>
  <c r="E39" i="53"/>
  <c r="D39" i="53"/>
  <c r="D41" i="56" s="1"/>
  <c r="C39" i="53"/>
  <c r="C41" i="56" s="1"/>
  <c r="F38" i="53"/>
  <c r="E38" i="53"/>
  <c r="D38" i="53"/>
  <c r="C38" i="53"/>
  <c r="F37" i="53"/>
  <c r="E37" i="53"/>
  <c r="D37" i="53"/>
  <c r="C37" i="53"/>
  <c r="F36" i="53"/>
  <c r="F36" i="56" s="1"/>
  <c r="E36" i="53"/>
  <c r="F29" i="53"/>
  <c r="E29" i="53"/>
  <c r="D29" i="53"/>
  <c r="E24" i="53"/>
  <c r="D24" i="53"/>
  <c r="C24" i="53"/>
  <c r="F23" i="53"/>
  <c r="E23" i="53"/>
  <c r="D23" i="53"/>
  <c r="C23" i="53"/>
  <c r="F12" i="53"/>
  <c r="E12" i="53"/>
  <c r="D12" i="53"/>
  <c r="C12" i="53"/>
  <c r="H40" i="52"/>
  <c r="H39" i="52"/>
  <c r="H37" i="52"/>
  <c r="H24" i="52"/>
  <c r="H23" i="52"/>
  <c r="H12" i="52"/>
  <c r="H9" i="52"/>
  <c r="D41" i="52"/>
  <c r="D40" i="52"/>
  <c r="D39" i="52"/>
  <c r="D37" i="52"/>
  <c r="D33" i="52"/>
  <c r="D27" i="52"/>
  <c r="D25" i="52"/>
  <c r="D23" i="52"/>
  <c r="D12" i="52"/>
  <c r="D9" i="52"/>
  <c r="I41" i="52"/>
  <c r="I40" i="52"/>
  <c r="I39" i="52"/>
  <c r="I37" i="52"/>
  <c r="I33" i="52"/>
  <c r="I27" i="52"/>
  <c r="I25" i="52"/>
  <c r="I23" i="52"/>
  <c r="I12" i="52"/>
  <c r="I9" i="52"/>
  <c r="E41" i="52"/>
  <c r="E40" i="52"/>
  <c r="E39" i="52"/>
  <c r="E37" i="52"/>
  <c r="E33" i="52"/>
  <c r="E27" i="52"/>
  <c r="E25" i="52"/>
  <c r="E24" i="52"/>
  <c r="E23" i="52"/>
  <c r="E12" i="52"/>
  <c r="E9" i="52"/>
  <c r="G106" i="63"/>
  <c r="G107" i="63"/>
  <c r="K108" i="63"/>
  <c r="J108" i="63"/>
  <c r="I108" i="63"/>
  <c r="K107" i="63"/>
  <c r="J107" i="63"/>
  <c r="I107" i="63"/>
  <c r="K106" i="63"/>
  <c r="J106" i="63"/>
  <c r="I106" i="63"/>
  <c r="E106" i="63"/>
  <c r="F106" i="63"/>
  <c r="E107" i="63"/>
  <c r="F107" i="63"/>
  <c r="E108" i="63"/>
  <c r="F108" i="63"/>
  <c r="D108" i="63"/>
  <c r="D107" i="63"/>
  <c r="E12" i="54" l="1"/>
  <c r="E36" i="56"/>
  <c r="E36" i="54"/>
  <c r="E37" i="54"/>
  <c r="E38" i="54"/>
  <c r="E41" i="56"/>
  <c r="E39" i="54"/>
  <c r="E23" i="54"/>
  <c r="E24" i="54"/>
  <c r="D99" i="45"/>
  <c r="D7" i="58" s="1"/>
  <c r="E99" i="45"/>
  <c r="E7" i="58" s="1"/>
  <c r="F99" i="45"/>
  <c r="F7" i="58" s="1"/>
  <c r="G99" i="45"/>
  <c r="G7" i="58" s="1"/>
  <c r="H99" i="45"/>
  <c r="H7" i="58" s="1"/>
  <c r="I99" i="45"/>
  <c r="I7" i="58" s="1"/>
  <c r="J99" i="45"/>
  <c r="J7" i="58" s="1"/>
  <c r="K99" i="45"/>
  <c r="K7" i="58" s="1"/>
  <c r="C99" i="45"/>
  <c r="K41" i="29"/>
  <c r="M24" i="8"/>
  <c r="N24" i="8"/>
  <c r="L24" i="8"/>
  <c r="F41" i="29" l="1"/>
  <c r="C41" i="29"/>
  <c r="D41" i="29"/>
  <c r="D41" i="55" s="1"/>
  <c r="E41" i="29"/>
  <c r="E41" i="55" s="1"/>
  <c r="G41" i="29"/>
  <c r="H41" i="29"/>
  <c r="I41" i="29"/>
  <c r="I41" i="55" s="1"/>
  <c r="N41" i="55" s="1"/>
  <c r="J41" i="29"/>
  <c r="J41" i="55" s="1"/>
  <c r="L41" i="29"/>
  <c r="M41" i="29"/>
  <c r="N41" i="29"/>
  <c r="O41" i="29"/>
  <c r="P41" i="29"/>
  <c r="B41" i="29"/>
  <c r="C35" i="28"/>
  <c r="C39" i="30" s="1"/>
  <c r="C39" i="56" s="1"/>
  <c r="D35" i="28"/>
  <c r="D39" i="30" s="1"/>
  <c r="E35" i="28"/>
  <c r="E39" i="30" s="1"/>
  <c r="E39" i="56" s="1"/>
  <c r="F35" i="28"/>
  <c r="F39" i="30" s="1"/>
  <c r="F39" i="56" s="1"/>
  <c r="G35" i="28"/>
  <c r="G39" i="30" s="1"/>
  <c r="H35" i="28"/>
  <c r="H39" i="30" s="1"/>
  <c r="I35" i="28"/>
  <c r="I39" i="30" s="1"/>
  <c r="J35" i="28"/>
  <c r="J39" i="30" s="1"/>
  <c r="K35" i="28"/>
  <c r="L35" i="28"/>
  <c r="L39" i="30" s="1"/>
  <c r="M35" i="28"/>
  <c r="M39" i="30" s="1"/>
  <c r="N35" i="28"/>
  <c r="N39" i="30" s="1"/>
  <c r="B35" i="28"/>
  <c r="B39" i="30" s="1"/>
  <c r="B39" i="56" s="1"/>
  <c r="K20" i="28"/>
  <c r="G20" i="28"/>
  <c r="H20" i="28"/>
  <c r="I20" i="28"/>
  <c r="J20" i="28"/>
  <c r="C20" i="28"/>
  <c r="D20" i="28"/>
  <c r="E20" i="28"/>
  <c r="F20" i="28"/>
  <c r="B20" i="28"/>
  <c r="C9" i="28"/>
  <c r="D9" i="28"/>
  <c r="E9" i="28"/>
  <c r="F9" i="28"/>
  <c r="F9" i="30" s="1"/>
  <c r="G9" i="28"/>
  <c r="H9" i="28"/>
  <c r="I9" i="28"/>
  <c r="J9" i="28"/>
  <c r="K9" i="28"/>
  <c r="B9" i="28"/>
  <c r="K8" i="28"/>
  <c r="K8" i="30" s="1"/>
  <c r="K10" i="28"/>
  <c r="K11" i="28"/>
  <c r="K12" i="28"/>
  <c r="K13" i="28"/>
  <c r="K14" i="28"/>
  <c r="K15" i="28"/>
  <c r="K16" i="28"/>
  <c r="K17" i="28"/>
  <c r="K18" i="28"/>
  <c r="K19" i="28"/>
  <c r="K21" i="28"/>
  <c r="K22" i="28"/>
  <c r="K23" i="28"/>
  <c r="K24" i="28"/>
  <c r="K25" i="28"/>
  <c r="K27" i="28"/>
  <c r="K28" i="28"/>
  <c r="K29" i="28"/>
  <c r="K30" i="28"/>
  <c r="K31" i="28"/>
  <c r="K32" i="28"/>
  <c r="K33" i="28"/>
  <c r="K34" i="28"/>
  <c r="K36" i="28"/>
  <c r="F8" i="28"/>
  <c r="F10" i="28"/>
  <c r="F11" i="28"/>
  <c r="F12" i="28"/>
  <c r="F13" i="28"/>
  <c r="F14" i="28"/>
  <c r="F15" i="28"/>
  <c r="F16" i="28"/>
  <c r="F17" i="28"/>
  <c r="F18" i="28"/>
  <c r="F19" i="28"/>
  <c r="F21" i="28"/>
  <c r="F22" i="28"/>
  <c r="F23" i="28"/>
  <c r="F24" i="28"/>
  <c r="F25" i="28"/>
  <c r="F27" i="28"/>
  <c r="F28" i="28"/>
  <c r="F29" i="28"/>
  <c r="F30" i="28"/>
  <c r="F31" i="28"/>
  <c r="F32" i="28"/>
  <c r="F33" i="28"/>
  <c r="F34" i="28"/>
  <c r="F36" i="28"/>
  <c r="D51" i="47"/>
  <c r="D11" i="58" s="1"/>
  <c r="D13" i="58" s="1"/>
  <c r="E51" i="47"/>
  <c r="E11" i="58" s="1"/>
  <c r="E13" i="58" s="1"/>
  <c r="F51" i="47"/>
  <c r="F11" i="58" s="1"/>
  <c r="F13" i="58" s="1"/>
  <c r="H51" i="47"/>
  <c r="H11" i="58" s="1"/>
  <c r="H13" i="58" s="1"/>
  <c r="I51" i="47"/>
  <c r="I11" i="58" s="1"/>
  <c r="I13" i="58" s="1"/>
  <c r="J51" i="47"/>
  <c r="J11" i="58" s="1"/>
  <c r="J13" i="58" s="1"/>
  <c r="K51" i="47"/>
  <c r="K11" i="58" s="1"/>
  <c r="K13" i="58" s="1"/>
  <c r="L51" i="47"/>
  <c r="L11" i="58" s="1"/>
  <c r="L13" i="58" s="1"/>
  <c r="C51" i="47"/>
  <c r="C43" i="40"/>
  <c r="D43" i="40"/>
  <c r="E43" i="40"/>
  <c r="F43" i="40"/>
  <c r="F43" i="29" s="1"/>
  <c r="F37" i="55" s="1"/>
  <c r="G43" i="40"/>
  <c r="H43" i="40"/>
  <c r="I43" i="40"/>
  <c r="J43" i="40"/>
  <c r="K43" i="40"/>
  <c r="B43" i="40"/>
  <c r="C16" i="40"/>
  <c r="C16" i="29" s="1"/>
  <c r="D16" i="40"/>
  <c r="D16" i="29" s="1"/>
  <c r="E16" i="40"/>
  <c r="E16" i="29" s="1"/>
  <c r="F16" i="40"/>
  <c r="F16" i="29" s="1"/>
  <c r="G16" i="40"/>
  <c r="G16" i="29" s="1"/>
  <c r="H16" i="40"/>
  <c r="H16" i="29" s="1"/>
  <c r="I16" i="40"/>
  <c r="I16" i="29" s="1"/>
  <c r="J16" i="40"/>
  <c r="J16" i="29" s="1"/>
  <c r="K16" i="40"/>
  <c r="K16" i="29" s="1"/>
  <c r="B16" i="40"/>
  <c r="K8" i="40"/>
  <c r="K9" i="40"/>
  <c r="K10" i="40"/>
  <c r="K11" i="40"/>
  <c r="K12" i="40"/>
  <c r="K13" i="40"/>
  <c r="K14" i="40"/>
  <c r="K15" i="40"/>
  <c r="K17" i="40"/>
  <c r="K18" i="40"/>
  <c r="K19" i="40"/>
  <c r="K20" i="40"/>
  <c r="K21" i="40"/>
  <c r="K22" i="40"/>
  <c r="K23" i="40"/>
  <c r="K24" i="40"/>
  <c r="K25" i="40"/>
  <c r="K26" i="40"/>
  <c r="K27" i="40"/>
  <c r="K28" i="40"/>
  <c r="K29" i="40"/>
  <c r="K30" i="40"/>
  <c r="K31" i="40"/>
  <c r="K32" i="40"/>
  <c r="K33" i="40"/>
  <c r="K34" i="40"/>
  <c r="K35" i="40"/>
  <c r="K36" i="40"/>
  <c r="K37" i="40"/>
  <c r="K38" i="40"/>
  <c r="K39" i="40"/>
  <c r="K40" i="40"/>
  <c r="K42" i="40"/>
  <c r="F8" i="40"/>
  <c r="F8" i="29" s="1"/>
  <c r="F9" i="40"/>
  <c r="F9" i="29" s="1"/>
  <c r="F10" i="40"/>
  <c r="F10" i="29" s="1"/>
  <c r="F11" i="40"/>
  <c r="F11" i="29" s="1"/>
  <c r="F12" i="40"/>
  <c r="F12" i="29" s="1"/>
  <c r="F13" i="40"/>
  <c r="F13" i="29" s="1"/>
  <c r="F14" i="40"/>
  <c r="F14" i="29" s="1"/>
  <c r="F15" i="40"/>
  <c r="F15" i="29" s="1"/>
  <c r="F17" i="40"/>
  <c r="F17" i="29" s="1"/>
  <c r="F18" i="40"/>
  <c r="F18" i="29" s="1"/>
  <c r="F19" i="40"/>
  <c r="F19" i="29" s="1"/>
  <c r="F20" i="40"/>
  <c r="F20" i="29" s="1"/>
  <c r="F21" i="40"/>
  <c r="F21" i="29" s="1"/>
  <c r="F22" i="40"/>
  <c r="F22" i="29" s="1"/>
  <c r="F23" i="40"/>
  <c r="F23" i="29" s="1"/>
  <c r="F24" i="40"/>
  <c r="F24" i="29" s="1"/>
  <c r="F25" i="40"/>
  <c r="F25" i="29" s="1"/>
  <c r="F26" i="40"/>
  <c r="F26" i="29" s="1"/>
  <c r="F27" i="40"/>
  <c r="F27" i="29" s="1"/>
  <c r="F28" i="40"/>
  <c r="F28" i="29" s="1"/>
  <c r="F29" i="40"/>
  <c r="F29" i="29" s="1"/>
  <c r="F30" i="40"/>
  <c r="F30" i="29" s="1"/>
  <c r="F31" i="40"/>
  <c r="F31" i="29" s="1"/>
  <c r="F32" i="40"/>
  <c r="F32" i="29" s="1"/>
  <c r="F33" i="40"/>
  <c r="F33" i="29" s="1"/>
  <c r="F34" i="40"/>
  <c r="F34" i="29" s="1"/>
  <c r="F35" i="40"/>
  <c r="F35" i="29" s="1"/>
  <c r="F36" i="40"/>
  <c r="F36" i="29" s="1"/>
  <c r="F37" i="40"/>
  <c r="F37" i="29" s="1"/>
  <c r="F38" i="40"/>
  <c r="F38" i="29" s="1"/>
  <c r="F39" i="40"/>
  <c r="F39" i="29" s="1"/>
  <c r="F40" i="40"/>
  <c r="F40" i="29" s="1"/>
  <c r="F40" i="55" s="1"/>
  <c r="F41" i="57" s="1"/>
  <c r="F42" i="40"/>
  <c r="F42" i="29" s="1"/>
  <c r="H41" i="55" l="1"/>
  <c r="O41" i="55"/>
  <c r="P40" i="40"/>
  <c r="K40" i="29"/>
  <c r="J40" i="35"/>
  <c r="J39" i="56"/>
  <c r="J39" i="57" s="1"/>
  <c r="H40" i="35"/>
  <c r="H39" i="56"/>
  <c r="I40" i="35"/>
  <c r="I39" i="56"/>
  <c r="I39" i="57" s="1"/>
  <c r="G40" i="35"/>
  <c r="G39" i="56"/>
  <c r="L39" i="56" s="1"/>
  <c r="E39" i="57"/>
  <c r="O39" i="56"/>
  <c r="D40" i="35"/>
  <c r="D39" i="56"/>
  <c r="B40" i="35"/>
  <c r="L40" i="35" s="1"/>
  <c r="E40" i="35"/>
  <c r="C40" i="35"/>
  <c r="M40" i="35" s="1"/>
  <c r="N41" i="34"/>
  <c r="L41" i="34"/>
  <c r="M41" i="34"/>
  <c r="P35" i="28"/>
  <c r="K39" i="30"/>
  <c r="K39" i="56" s="1"/>
  <c r="P39" i="56" s="1"/>
  <c r="K41" i="34"/>
  <c r="I41" i="34"/>
  <c r="G41" i="34"/>
  <c r="E41" i="34"/>
  <c r="C41" i="34"/>
  <c r="F40" i="35"/>
  <c r="B41" i="34"/>
  <c r="J41" i="34"/>
  <c r="H41" i="34"/>
  <c r="F41" i="34"/>
  <c r="D41" i="34"/>
  <c r="D45" i="47"/>
  <c r="E45" i="47"/>
  <c r="F45" i="47"/>
  <c r="G45" i="47"/>
  <c r="H45" i="47"/>
  <c r="I45" i="47"/>
  <c r="J45" i="47"/>
  <c r="K45" i="47"/>
  <c r="L45" i="47"/>
  <c r="C45" i="47"/>
  <c r="D42" i="47"/>
  <c r="E42" i="47"/>
  <c r="F42" i="47"/>
  <c r="G42" i="47"/>
  <c r="H42" i="47"/>
  <c r="I42" i="47"/>
  <c r="J42" i="47"/>
  <c r="K42" i="47"/>
  <c r="L42" i="47"/>
  <c r="C42" i="47"/>
  <c r="D39" i="47"/>
  <c r="E39" i="47"/>
  <c r="F39" i="47"/>
  <c r="G39" i="47"/>
  <c r="H39" i="47"/>
  <c r="I39" i="47"/>
  <c r="J39" i="47"/>
  <c r="K39" i="47"/>
  <c r="L39" i="47"/>
  <c r="C39" i="47"/>
  <c r="D30" i="47"/>
  <c r="E30" i="47"/>
  <c r="F30" i="47"/>
  <c r="G30" i="47"/>
  <c r="H30" i="47"/>
  <c r="I30" i="47"/>
  <c r="J30" i="47"/>
  <c r="K30" i="47"/>
  <c r="L30" i="47"/>
  <c r="C30" i="47"/>
  <c r="D27" i="47"/>
  <c r="E27" i="47"/>
  <c r="F27" i="47"/>
  <c r="G27" i="47"/>
  <c r="H27" i="47"/>
  <c r="I27" i="47"/>
  <c r="J27" i="47"/>
  <c r="K27" i="47"/>
  <c r="L27" i="47"/>
  <c r="C27" i="47"/>
  <c r="D24" i="47"/>
  <c r="E24" i="47"/>
  <c r="F24" i="47"/>
  <c r="G24" i="47"/>
  <c r="H24" i="47"/>
  <c r="I24" i="47"/>
  <c r="J24" i="47"/>
  <c r="K24" i="47"/>
  <c r="L24" i="47"/>
  <c r="C24" i="47"/>
  <c r="D21" i="47"/>
  <c r="E21" i="47"/>
  <c r="F21" i="47"/>
  <c r="G21" i="47"/>
  <c r="H21" i="47"/>
  <c r="I21" i="47"/>
  <c r="J21" i="47"/>
  <c r="K21" i="47"/>
  <c r="L21" i="47"/>
  <c r="C21" i="47"/>
  <c r="E14" i="47"/>
  <c r="F14" i="47"/>
  <c r="G14" i="47"/>
  <c r="H14" i="47"/>
  <c r="I14" i="47"/>
  <c r="J14" i="47"/>
  <c r="K14" i="47"/>
  <c r="L14" i="47"/>
  <c r="C14" i="47"/>
  <c r="C9" i="47"/>
  <c r="D9" i="47"/>
  <c r="E9" i="47"/>
  <c r="F9" i="47"/>
  <c r="G9" i="47"/>
  <c r="H9" i="47"/>
  <c r="J9" i="47"/>
  <c r="K9" i="47"/>
  <c r="L9" i="47"/>
  <c r="H39" i="57" l="1"/>
  <c r="N40" i="35"/>
  <c r="M39" i="56"/>
  <c r="K40" i="55"/>
  <c r="P40" i="29"/>
  <c r="O39" i="57"/>
  <c r="O40" i="35"/>
  <c r="N39" i="56"/>
  <c r="D39" i="57"/>
  <c r="N39" i="57" s="1"/>
  <c r="P41" i="34"/>
  <c r="P39" i="30"/>
  <c r="K40" i="35"/>
  <c r="C53" i="47"/>
  <c r="K53" i="47"/>
  <c r="I53" i="47"/>
  <c r="E53" i="47"/>
  <c r="L53" i="47"/>
  <c r="J53" i="47"/>
  <c r="H53" i="47"/>
  <c r="F53" i="47"/>
  <c r="D53" i="47"/>
  <c r="G53" i="47"/>
  <c r="P40" i="35" l="1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17" i="8"/>
  <c r="P17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O35" i="28" s="1"/>
  <c r="P24" i="8"/>
  <c r="O25" i="8"/>
  <c r="P25" i="8"/>
  <c r="P7" i="8"/>
  <c r="P8" i="8"/>
  <c r="F26" i="8"/>
  <c r="G26" i="8"/>
  <c r="B26" i="8"/>
  <c r="C26" i="8"/>
  <c r="D20" i="58" s="1"/>
  <c r="D26" i="8"/>
  <c r="E20" i="58" s="1"/>
  <c r="E26" i="8"/>
  <c r="H26" i="8"/>
  <c r="I26" i="8"/>
  <c r="J26" i="8"/>
  <c r="K20" i="58" s="1"/>
  <c r="K26" i="8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F35" i="16"/>
  <c r="G35" i="16"/>
  <c r="H35" i="16"/>
  <c r="I35" i="16"/>
  <c r="J35" i="16"/>
  <c r="K35" i="16"/>
  <c r="L19" i="58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8" i="1"/>
  <c r="P9" i="1"/>
  <c r="E28" i="1"/>
  <c r="F18" i="58" s="1"/>
  <c r="F28" i="1"/>
  <c r="G18" i="58" s="1"/>
  <c r="G28" i="1"/>
  <c r="H28" i="1"/>
  <c r="K28" i="1"/>
  <c r="K29" i="48"/>
  <c r="L14" i="58" s="1"/>
  <c r="F29" i="48"/>
  <c r="G14" i="58" s="1"/>
  <c r="K39" i="46"/>
  <c r="M75" i="45"/>
  <c r="L20" i="58" l="1"/>
  <c r="F20" i="58"/>
  <c r="H20" i="58"/>
  <c r="I20" i="58"/>
  <c r="J20" i="58"/>
  <c r="G20" i="58"/>
  <c r="K19" i="58"/>
  <c r="G19" i="58"/>
  <c r="H19" i="58"/>
  <c r="I19" i="58"/>
  <c r="J19" i="58"/>
  <c r="H18" i="58"/>
  <c r="I18" i="58"/>
  <c r="L18" i="58"/>
  <c r="L10" i="58"/>
  <c r="P28" i="1"/>
  <c r="P35" i="16"/>
  <c r="O26" i="8"/>
  <c r="O39" i="30"/>
  <c r="O41" i="34"/>
  <c r="P26" i="8"/>
  <c r="C40" i="54" l="1"/>
  <c r="D40" i="54"/>
  <c r="F40" i="54"/>
  <c r="I40" i="54"/>
  <c r="J40" i="54"/>
  <c r="K40" i="54"/>
  <c r="G40" i="54"/>
  <c r="H40" i="54"/>
  <c r="B40" i="54"/>
  <c r="K12" i="53"/>
  <c r="K23" i="53"/>
  <c r="K29" i="53"/>
  <c r="K36" i="53"/>
  <c r="K36" i="56" s="1"/>
  <c r="K37" i="53"/>
  <c r="K38" i="53"/>
  <c r="J39" i="54"/>
  <c r="K39" i="53"/>
  <c r="D39" i="54"/>
  <c r="F39" i="54"/>
  <c r="K39" i="54" l="1"/>
  <c r="K41" i="56"/>
  <c r="K41" i="57" s="1"/>
  <c r="K27" i="52"/>
  <c r="K9" i="52"/>
  <c r="J12" i="54"/>
  <c r="K12" i="52"/>
  <c r="J23" i="54"/>
  <c r="K23" i="52"/>
  <c r="J24" i="54"/>
  <c r="K33" i="52"/>
  <c r="J36" i="54"/>
  <c r="J37" i="54"/>
  <c r="K37" i="52"/>
  <c r="N39" i="52"/>
  <c r="K39" i="52"/>
  <c r="J38" i="54"/>
  <c r="K40" i="52"/>
  <c r="K38" i="54" s="1"/>
  <c r="K41" i="52"/>
  <c r="C40" i="52"/>
  <c r="D38" i="54"/>
  <c r="F40" i="52"/>
  <c r="G40" i="52"/>
  <c r="B40" i="52"/>
  <c r="C39" i="52"/>
  <c r="O39" i="52"/>
  <c r="F39" i="52"/>
  <c r="F41" i="55" s="1"/>
  <c r="F39" i="57" s="1"/>
  <c r="G39" i="52"/>
  <c r="B39" i="52"/>
  <c r="B41" i="55" s="1"/>
  <c r="H108" i="63"/>
  <c r="P108" i="63"/>
  <c r="N108" i="63"/>
  <c r="C108" i="63"/>
  <c r="L107" i="63"/>
  <c r="N107" i="63"/>
  <c r="H107" i="63"/>
  <c r="C107" i="63"/>
  <c r="H106" i="63"/>
  <c r="C106" i="63"/>
  <c r="L105" i="63"/>
  <c r="K40" i="53" s="1"/>
  <c r="K105" i="63"/>
  <c r="J40" i="53" s="1"/>
  <c r="J105" i="63"/>
  <c r="I105" i="63"/>
  <c r="H105" i="63"/>
  <c r="G105" i="63"/>
  <c r="F40" i="53" s="1"/>
  <c r="F105" i="63"/>
  <c r="E40" i="53" s="1"/>
  <c r="E105" i="63"/>
  <c r="D40" i="53" s="1"/>
  <c r="D105" i="63"/>
  <c r="C40" i="53" s="1"/>
  <c r="Q104" i="63"/>
  <c r="P104" i="63"/>
  <c r="O104" i="63"/>
  <c r="N104" i="63"/>
  <c r="C104" i="63"/>
  <c r="Q103" i="63"/>
  <c r="P103" i="63"/>
  <c r="O103" i="63"/>
  <c r="N103" i="63"/>
  <c r="M103" i="63"/>
  <c r="Q102" i="63"/>
  <c r="P102" i="63"/>
  <c r="O102" i="63"/>
  <c r="N102" i="63"/>
  <c r="M102" i="63"/>
  <c r="Q101" i="63"/>
  <c r="P101" i="63"/>
  <c r="O101" i="63"/>
  <c r="N101" i="63"/>
  <c r="M101" i="63"/>
  <c r="Q100" i="63"/>
  <c r="P100" i="63"/>
  <c r="J100" i="63"/>
  <c r="I100" i="63"/>
  <c r="H100" i="63"/>
  <c r="E100" i="63"/>
  <c r="D36" i="53" s="1"/>
  <c r="D36" i="56" s="1"/>
  <c r="D100" i="63"/>
  <c r="C36" i="53" s="1"/>
  <c r="C36" i="56" s="1"/>
  <c r="C100" i="63"/>
  <c r="Q99" i="63"/>
  <c r="P99" i="63"/>
  <c r="O99" i="63"/>
  <c r="N99" i="63"/>
  <c r="M99" i="63"/>
  <c r="L98" i="63"/>
  <c r="K35" i="53" s="1"/>
  <c r="J35" i="53"/>
  <c r="J98" i="63"/>
  <c r="I98" i="63"/>
  <c r="G98" i="63"/>
  <c r="F35" i="53" s="1"/>
  <c r="F98" i="63"/>
  <c r="E35" i="53" s="1"/>
  <c r="E98" i="63"/>
  <c r="D35" i="53" s="1"/>
  <c r="D98" i="63"/>
  <c r="C35" i="53" s="1"/>
  <c r="Q97" i="63"/>
  <c r="P97" i="63"/>
  <c r="O97" i="63"/>
  <c r="N97" i="63"/>
  <c r="M97" i="63"/>
  <c r="Q96" i="63"/>
  <c r="P96" i="63"/>
  <c r="O96" i="63"/>
  <c r="N96" i="63"/>
  <c r="M96" i="63"/>
  <c r="Q95" i="63"/>
  <c r="P95" i="63"/>
  <c r="O95" i="63"/>
  <c r="N95" i="63"/>
  <c r="M95" i="63"/>
  <c r="Q94" i="63"/>
  <c r="P94" i="63"/>
  <c r="O94" i="63"/>
  <c r="N94" i="63"/>
  <c r="M94" i="63"/>
  <c r="L93" i="63"/>
  <c r="K93" i="63"/>
  <c r="J34" i="53" s="1"/>
  <c r="J93" i="63"/>
  <c r="I93" i="63"/>
  <c r="H93" i="63"/>
  <c r="G93" i="63"/>
  <c r="F34" i="53" s="1"/>
  <c r="F93" i="63"/>
  <c r="E34" i="53" s="1"/>
  <c r="E93" i="63"/>
  <c r="D34" i="53" s="1"/>
  <c r="D93" i="63"/>
  <c r="C34" i="53" s="1"/>
  <c r="C93" i="63"/>
  <c r="Q92" i="63"/>
  <c r="P92" i="63"/>
  <c r="O92" i="63"/>
  <c r="N92" i="63"/>
  <c r="M92" i="63"/>
  <c r="Q91" i="63"/>
  <c r="P91" i="63"/>
  <c r="O91" i="63"/>
  <c r="N91" i="63"/>
  <c r="M91" i="63"/>
  <c r="L90" i="63"/>
  <c r="K33" i="53" s="1"/>
  <c r="K90" i="63"/>
  <c r="J33" i="53" s="1"/>
  <c r="J90" i="63"/>
  <c r="I90" i="63"/>
  <c r="H90" i="63"/>
  <c r="G90" i="63"/>
  <c r="F33" i="53" s="1"/>
  <c r="F90" i="63"/>
  <c r="E33" i="53" s="1"/>
  <c r="E90" i="63"/>
  <c r="D33" i="53" s="1"/>
  <c r="C90" i="63"/>
  <c r="Q89" i="63"/>
  <c r="P89" i="63"/>
  <c r="O89" i="63"/>
  <c r="M89" i="63"/>
  <c r="D89" i="63"/>
  <c r="D106" i="63" s="1"/>
  <c r="K88" i="63"/>
  <c r="J32" i="53" s="1"/>
  <c r="I88" i="63"/>
  <c r="H88" i="63"/>
  <c r="F88" i="63"/>
  <c r="E32" i="53" s="1"/>
  <c r="D88" i="63"/>
  <c r="C32" i="53" s="1"/>
  <c r="C88" i="63"/>
  <c r="P87" i="63"/>
  <c r="N87" i="63"/>
  <c r="M87" i="63"/>
  <c r="L87" i="63"/>
  <c r="L88" i="63" s="1"/>
  <c r="J87" i="63"/>
  <c r="G87" i="63"/>
  <c r="G88" i="63" s="1"/>
  <c r="F32" i="53" s="1"/>
  <c r="E87" i="63"/>
  <c r="Q86" i="63"/>
  <c r="P86" i="63"/>
  <c r="O86" i="63"/>
  <c r="N86" i="63"/>
  <c r="M86" i="63"/>
  <c r="K85" i="63"/>
  <c r="J31" i="53" s="1"/>
  <c r="J85" i="63"/>
  <c r="H85" i="63"/>
  <c r="F85" i="63"/>
  <c r="E31" i="53" s="1"/>
  <c r="C85" i="63"/>
  <c r="P84" i="63"/>
  <c r="M84" i="63"/>
  <c r="L84" i="63"/>
  <c r="I84" i="63"/>
  <c r="G84" i="63"/>
  <c r="G85" i="63" s="1"/>
  <c r="F31" i="53" s="1"/>
  <c r="E84" i="63"/>
  <c r="O84" i="63" s="1"/>
  <c r="D84" i="63"/>
  <c r="Q83" i="63"/>
  <c r="P83" i="63"/>
  <c r="O83" i="63"/>
  <c r="N83" i="63"/>
  <c r="M83" i="63"/>
  <c r="L82" i="63"/>
  <c r="K30" i="53" s="1"/>
  <c r="K82" i="63"/>
  <c r="J30" i="53" s="1"/>
  <c r="J82" i="63"/>
  <c r="I82" i="63"/>
  <c r="H82" i="63"/>
  <c r="G82" i="63"/>
  <c r="F30" i="53" s="1"/>
  <c r="F82" i="63"/>
  <c r="E30" i="53" s="1"/>
  <c r="E82" i="63"/>
  <c r="D30" i="53" s="1"/>
  <c r="D82" i="63"/>
  <c r="C30" i="53" s="1"/>
  <c r="C82" i="63"/>
  <c r="Q81" i="63"/>
  <c r="P81" i="63"/>
  <c r="O81" i="63"/>
  <c r="N81" i="63"/>
  <c r="M81" i="63"/>
  <c r="Q80" i="63"/>
  <c r="P80" i="63"/>
  <c r="O80" i="63"/>
  <c r="N80" i="63"/>
  <c r="M80" i="63"/>
  <c r="Q79" i="63"/>
  <c r="P79" i="63"/>
  <c r="O79" i="63"/>
  <c r="I79" i="63"/>
  <c r="H79" i="63"/>
  <c r="D79" i="63"/>
  <c r="C29" i="53" s="1"/>
  <c r="C79" i="63"/>
  <c r="Q78" i="63"/>
  <c r="P78" i="63"/>
  <c r="O78" i="63"/>
  <c r="N78" i="63"/>
  <c r="M78" i="63"/>
  <c r="J28" i="53"/>
  <c r="J77" i="63"/>
  <c r="I77" i="63"/>
  <c r="F77" i="63"/>
  <c r="E77" i="63"/>
  <c r="D28" i="53" s="1"/>
  <c r="P76" i="63"/>
  <c r="O76" i="63"/>
  <c r="L76" i="63"/>
  <c r="H77" i="63"/>
  <c r="G76" i="63"/>
  <c r="G77" i="63" s="1"/>
  <c r="F28" i="53" s="1"/>
  <c r="D76" i="63"/>
  <c r="N76" i="63" s="1"/>
  <c r="P75" i="63"/>
  <c r="O75" i="63"/>
  <c r="N75" i="63"/>
  <c r="M75" i="63"/>
  <c r="L75" i="63"/>
  <c r="L74" i="63"/>
  <c r="K27" i="53" s="1"/>
  <c r="K74" i="63"/>
  <c r="J27" i="53" s="1"/>
  <c r="J74" i="63"/>
  <c r="I74" i="63"/>
  <c r="H74" i="63"/>
  <c r="G74" i="63"/>
  <c r="F27" i="53" s="1"/>
  <c r="F74" i="63"/>
  <c r="E27" i="53" s="1"/>
  <c r="E74" i="63"/>
  <c r="D27" i="53" s="1"/>
  <c r="D74" i="63"/>
  <c r="C27" i="53" s="1"/>
  <c r="C74" i="63"/>
  <c r="Q73" i="63"/>
  <c r="P73" i="63"/>
  <c r="O73" i="63"/>
  <c r="N73" i="63"/>
  <c r="M73" i="63"/>
  <c r="K72" i="63"/>
  <c r="J26" i="53" s="1"/>
  <c r="F72" i="63"/>
  <c r="E26" i="53" s="1"/>
  <c r="P71" i="63"/>
  <c r="L71" i="63"/>
  <c r="J71" i="63"/>
  <c r="J72" i="63" s="1"/>
  <c r="I71" i="63"/>
  <c r="I72" i="63" s="1"/>
  <c r="H71" i="63"/>
  <c r="G71" i="63"/>
  <c r="G72" i="63" s="1"/>
  <c r="F26" i="53" s="1"/>
  <c r="E71" i="63"/>
  <c r="E72" i="63" s="1"/>
  <c r="D26" i="53" s="1"/>
  <c r="D71" i="63"/>
  <c r="D72" i="63" s="1"/>
  <c r="C26" i="53" s="1"/>
  <c r="Q70" i="63"/>
  <c r="P70" i="63"/>
  <c r="O70" i="63"/>
  <c r="N70" i="63"/>
  <c r="M70" i="63"/>
  <c r="Q69" i="63"/>
  <c r="P69" i="63"/>
  <c r="O69" i="63"/>
  <c r="N69" i="63"/>
  <c r="M69" i="63"/>
  <c r="K68" i="63"/>
  <c r="J25" i="53" s="1"/>
  <c r="J68" i="63"/>
  <c r="F68" i="63"/>
  <c r="E25" i="53" s="1"/>
  <c r="E68" i="63"/>
  <c r="D25" i="53" s="1"/>
  <c r="P67" i="63"/>
  <c r="O67" i="63"/>
  <c r="L67" i="63"/>
  <c r="I67" i="63"/>
  <c r="I68" i="63" s="1"/>
  <c r="G67" i="63"/>
  <c r="G68" i="63" s="1"/>
  <c r="F25" i="53" s="1"/>
  <c r="D67" i="63"/>
  <c r="D68" i="63" s="1"/>
  <c r="C25" i="53" s="1"/>
  <c r="C68" i="63"/>
  <c r="P66" i="63"/>
  <c r="O66" i="63"/>
  <c r="N66" i="63"/>
  <c r="L66" i="63"/>
  <c r="K24" i="53" s="1"/>
  <c r="H66" i="63"/>
  <c r="G66" i="63"/>
  <c r="F24" i="53" s="1"/>
  <c r="C66" i="63"/>
  <c r="Q65" i="63"/>
  <c r="P65" i="63"/>
  <c r="O65" i="63"/>
  <c r="N65" i="63"/>
  <c r="M65" i="63"/>
  <c r="L64" i="63"/>
  <c r="K64" i="63"/>
  <c r="J22" i="53" s="1"/>
  <c r="I64" i="63"/>
  <c r="H64" i="63"/>
  <c r="G64" i="63"/>
  <c r="F22" i="53" s="1"/>
  <c r="F64" i="63"/>
  <c r="E22" i="53" s="1"/>
  <c r="D64" i="63"/>
  <c r="C22" i="53" s="1"/>
  <c r="C64" i="63"/>
  <c r="Q63" i="63"/>
  <c r="P63" i="63"/>
  <c r="N63" i="63"/>
  <c r="M63" i="63"/>
  <c r="J63" i="63"/>
  <c r="E63" i="63"/>
  <c r="Q62" i="63"/>
  <c r="P62" i="63"/>
  <c r="O62" i="63"/>
  <c r="N62" i="63"/>
  <c r="M62" i="63"/>
  <c r="K55" i="63"/>
  <c r="J21" i="53" s="1"/>
  <c r="F55" i="63"/>
  <c r="E21" i="53" s="1"/>
  <c r="P54" i="63"/>
  <c r="L54" i="63"/>
  <c r="L55" i="63" s="1"/>
  <c r="J54" i="63"/>
  <c r="J55" i="63" s="1"/>
  <c r="I54" i="63"/>
  <c r="I55" i="63" s="1"/>
  <c r="H54" i="63"/>
  <c r="G54" i="63"/>
  <c r="G55" i="63" s="1"/>
  <c r="F21" i="53" s="1"/>
  <c r="E54" i="63"/>
  <c r="E55" i="63" s="1"/>
  <c r="D21" i="53" s="1"/>
  <c r="D54" i="63"/>
  <c r="D55" i="63" s="1"/>
  <c r="C21" i="53" s="1"/>
  <c r="C54" i="63"/>
  <c r="C55" i="63" s="1"/>
  <c r="Q53" i="63"/>
  <c r="P53" i="63"/>
  <c r="O53" i="63"/>
  <c r="N53" i="63"/>
  <c r="M53" i="63"/>
  <c r="Q52" i="63"/>
  <c r="P52" i="63"/>
  <c r="O52" i="63"/>
  <c r="N52" i="63"/>
  <c r="M52" i="63"/>
  <c r="Q51" i="63"/>
  <c r="P51" i="63"/>
  <c r="O51" i="63"/>
  <c r="N51" i="63"/>
  <c r="M51" i="63"/>
  <c r="L50" i="63"/>
  <c r="K50" i="63"/>
  <c r="J20" i="53" s="1"/>
  <c r="J50" i="63"/>
  <c r="G50" i="63"/>
  <c r="F20" i="53" s="1"/>
  <c r="F50" i="63"/>
  <c r="E20" i="53" s="1"/>
  <c r="E50" i="63"/>
  <c r="D20" i="53" s="1"/>
  <c r="Q49" i="63"/>
  <c r="P49" i="63"/>
  <c r="O49" i="63"/>
  <c r="M49" i="63"/>
  <c r="I49" i="63"/>
  <c r="D49" i="63"/>
  <c r="Q48" i="63"/>
  <c r="P48" i="63"/>
  <c r="O48" i="63"/>
  <c r="N48" i="63"/>
  <c r="M48" i="63"/>
  <c r="Q47" i="63"/>
  <c r="P47" i="63"/>
  <c r="O47" i="63"/>
  <c r="N47" i="63"/>
  <c r="M47" i="63"/>
  <c r="Q46" i="63"/>
  <c r="P46" i="63"/>
  <c r="O46" i="63"/>
  <c r="N46" i="63"/>
  <c r="M46" i="63"/>
  <c r="Q45" i="63"/>
  <c r="P45" i="63"/>
  <c r="O45" i="63"/>
  <c r="N45" i="63"/>
  <c r="M45" i="63"/>
  <c r="L44" i="63"/>
  <c r="K44" i="63"/>
  <c r="J19" i="53" s="1"/>
  <c r="J44" i="63"/>
  <c r="I19" i="53" s="1"/>
  <c r="I44" i="63"/>
  <c r="H44" i="63"/>
  <c r="G44" i="63"/>
  <c r="F19" i="53" s="1"/>
  <c r="F44" i="63"/>
  <c r="E19" i="53" s="1"/>
  <c r="E44" i="63"/>
  <c r="D19" i="53" s="1"/>
  <c r="D44" i="63"/>
  <c r="C19" i="53" s="1"/>
  <c r="C44" i="63"/>
  <c r="Q43" i="63"/>
  <c r="P43" i="63"/>
  <c r="O43" i="63"/>
  <c r="N43" i="63"/>
  <c r="M43" i="63"/>
  <c r="Q42" i="63"/>
  <c r="P42" i="63"/>
  <c r="O42" i="63"/>
  <c r="N42" i="63"/>
  <c r="M42" i="63"/>
  <c r="K41" i="63"/>
  <c r="J18" i="53" s="1"/>
  <c r="J41" i="63"/>
  <c r="F41" i="63"/>
  <c r="E18" i="53" s="1"/>
  <c r="E41" i="63"/>
  <c r="D18" i="53" s="1"/>
  <c r="P40" i="63"/>
  <c r="O40" i="63"/>
  <c r="L40" i="63"/>
  <c r="I40" i="63"/>
  <c r="I41" i="63" s="1"/>
  <c r="H40" i="63"/>
  <c r="G40" i="63"/>
  <c r="D40" i="63"/>
  <c r="D41" i="63" s="1"/>
  <c r="C18" i="53" s="1"/>
  <c r="Q39" i="63"/>
  <c r="P39" i="63"/>
  <c r="O39" i="63"/>
  <c r="N39" i="63"/>
  <c r="M39" i="63"/>
  <c r="L39" i="63"/>
  <c r="G39" i="63"/>
  <c r="G108" i="63" s="1"/>
  <c r="L38" i="63"/>
  <c r="K38" i="63"/>
  <c r="J17" i="53" s="1"/>
  <c r="J38" i="63"/>
  <c r="I38" i="63"/>
  <c r="N38" i="63" s="1"/>
  <c r="H38" i="63"/>
  <c r="G38" i="63"/>
  <c r="F17" i="53" s="1"/>
  <c r="F38" i="63"/>
  <c r="E17" i="53" s="1"/>
  <c r="E38" i="63"/>
  <c r="D17" i="53" s="1"/>
  <c r="D38" i="63"/>
  <c r="C17" i="53" s="1"/>
  <c r="Q37" i="63"/>
  <c r="P37" i="63"/>
  <c r="O37" i="63"/>
  <c r="N37" i="63"/>
  <c r="M37" i="63"/>
  <c r="Q36" i="63"/>
  <c r="P36" i="63"/>
  <c r="O36" i="63"/>
  <c r="N36" i="63"/>
  <c r="M36" i="63"/>
  <c r="L35" i="63"/>
  <c r="K16" i="53" s="1"/>
  <c r="I16" i="53"/>
  <c r="H35" i="63"/>
  <c r="G16" i="53" s="1"/>
  <c r="G35" i="63"/>
  <c r="F16" i="53" s="1"/>
  <c r="B16" i="53"/>
  <c r="Q34" i="63"/>
  <c r="M34" i="63"/>
  <c r="I34" i="63"/>
  <c r="O34" i="63"/>
  <c r="D34" i="63"/>
  <c r="Q33" i="63"/>
  <c r="O33" i="63"/>
  <c r="N33" i="63"/>
  <c r="M33" i="63"/>
  <c r="K15" i="53"/>
  <c r="K32" i="63"/>
  <c r="J15" i="53" s="1"/>
  <c r="J32" i="63"/>
  <c r="I32" i="63"/>
  <c r="H32" i="63"/>
  <c r="G32" i="63"/>
  <c r="F15" i="53" s="1"/>
  <c r="F32" i="63"/>
  <c r="E15" i="53" s="1"/>
  <c r="E32" i="63"/>
  <c r="D15" i="53" s="1"/>
  <c r="D32" i="63"/>
  <c r="C15" i="53" s="1"/>
  <c r="C32" i="63"/>
  <c r="Q31" i="63"/>
  <c r="P31" i="63"/>
  <c r="O31" i="63"/>
  <c r="N31" i="63"/>
  <c r="M31" i="63"/>
  <c r="Q30" i="63"/>
  <c r="P30" i="63"/>
  <c r="O30" i="63"/>
  <c r="N30" i="63"/>
  <c r="M30" i="63"/>
  <c r="L29" i="63"/>
  <c r="K29" i="63"/>
  <c r="J14" i="53" s="1"/>
  <c r="J29" i="63"/>
  <c r="I29" i="63"/>
  <c r="H29" i="63"/>
  <c r="G29" i="63"/>
  <c r="F14" i="53" s="1"/>
  <c r="F29" i="63"/>
  <c r="E14" i="53" s="1"/>
  <c r="E29" i="63"/>
  <c r="D14" i="53" s="1"/>
  <c r="D29" i="63"/>
  <c r="C14" i="53" s="1"/>
  <c r="C29" i="63"/>
  <c r="Q28" i="63"/>
  <c r="P28" i="63"/>
  <c r="O28" i="63"/>
  <c r="N28" i="63"/>
  <c r="M28" i="63"/>
  <c r="L27" i="63"/>
  <c r="K27" i="63"/>
  <c r="J13" i="53" s="1"/>
  <c r="J27" i="63"/>
  <c r="I27" i="63"/>
  <c r="H27" i="63"/>
  <c r="G27" i="63"/>
  <c r="F13" i="53" s="1"/>
  <c r="F27" i="63"/>
  <c r="E13" i="53" s="1"/>
  <c r="E27" i="63"/>
  <c r="D13" i="53" s="1"/>
  <c r="D27" i="63"/>
  <c r="C13" i="53" s="1"/>
  <c r="C27" i="63"/>
  <c r="B13" i="53" s="1"/>
  <c r="Q26" i="63"/>
  <c r="P26" i="63"/>
  <c r="O26" i="63"/>
  <c r="N26" i="63"/>
  <c r="M26" i="63"/>
  <c r="Q25" i="63"/>
  <c r="P25" i="63"/>
  <c r="O25" i="63"/>
  <c r="N25" i="63"/>
  <c r="M25" i="63"/>
  <c r="L24" i="63"/>
  <c r="K11" i="53" s="1"/>
  <c r="K24" i="63"/>
  <c r="J11" i="53" s="1"/>
  <c r="J24" i="63"/>
  <c r="I24" i="63"/>
  <c r="H24" i="63"/>
  <c r="G24" i="63"/>
  <c r="F11" i="53" s="1"/>
  <c r="F24" i="63"/>
  <c r="E11" i="53" s="1"/>
  <c r="D24" i="63"/>
  <c r="C11" i="53" s="1"/>
  <c r="C24" i="63"/>
  <c r="Q23" i="63"/>
  <c r="P23" i="63"/>
  <c r="O23" i="63"/>
  <c r="N23" i="63"/>
  <c r="M23" i="63"/>
  <c r="Q22" i="63"/>
  <c r="P22" i="63"/>
  <c r="N22" i="63"/>
  <c r="M22" i="63"/>
  <c r="E22" i="63"/>
  <c r="Q21" i="63"/>
  <c r="P21" i="63"/>
  <c r="O21" i="63"/>
  <c r="N21" i="63"/>
  <c r="M21" i="63"/>
  <c r="Q20" i="63"/>
  <c r="P20" i="63"/>
  <c r="O20" i="63"/>
  <c r="N20" i="63"/>
  <c r="M20" i="63"/>
  <c r="Q19" i="63"/>
  <c r="P19" i="63"/>
  <c r="O19" i="63"/>
  <c r="N19" i="63"/>
  <c r="M19" i="63"/>
  <c r="Q18" i="63"/>
  <c r="P18" i="63"/>
  <c r="O18" i="63"/>
  <c r="N18" i="63"/>
  <c r="M18" i="63"/>
  <c r="L17" i="63"/>
  <c r="K10" i="53" s="1"/>
  <c r="K17" i="63"/>
  <c r="J10" i="53" s="1"/>
  <c r="J17" i="63"/>
  <c r="I17" i="63"/>
  <c r="H17" i="63"/>
  <c r="G17" i="63"/>
  <c r="F10" i="53" s="1"/>
  <c r="F17" i="63"/>
  <c r="E10" i="53" s="1"/>
  <c r="E17" i="63"/>
  <c r="D10" i="53" s="1"/>
  <c r="C17" i="63"/>
  <c r="Q16" i="63"/>
  <c r="P16" i="63"/>
  <c r="O16" i="63"/>
  <c r="M16" i="63"/>
  <c r="D16" i="63"/>
  <c r="Q15" i="63"/>
  <c r="P15" i="63"/>
  <c r="O15" i="63"/>
  <c r="N15" i="63"/>
  <c r="M15" i="63"/>
  <c r="Q14" i="63"/>
  <c r="P14" i="63"/>
  <c r="O14" i="63"/>
  <c r="N14" i="63"/>
  <c r="M14" i="63"/>
  <c r="L13" i="63"/>
  <c r="K13" i="63"/>
  <c r="J9" i="53" s="1"/>
  <c r="J13" i="63"/>
  <c r="I13" i="63"/>
  <c r="H13" i="63"/>
  <c r="G13" i="63"/>
  <c r="F9" i="53" s="1"/>
  <c r="F13" i="63"/>
  <c r="E9" i="53" s="1"/>
  <c r="C13" i="63"/>
  <c r="Q12" i="63"/>
  <c r="P12" i="63"/>
  <c r="M12" i="63"/>
  <c r="E12" i="63"/>
  <c r="E13" i="63" s="1"/>
  <c r="D9" i="53" s="1"/>
  <c r="D12" i="63"/>
  <c r="D13" i="63" s="1"/>
  <c r="Q11" i="63"/>
  <c r="P11" i="63"/>
  <c r="O11" i="63"/>
  <c r="N11" i="63"/>
  <c r="M11" i="63"/>
  <c r="K10" i="63"/>
  <c r="J8" i="53" s="1"/>
  <c r="J10" i="63"/>
  <c r="I8" i="53" s="1"/>
  <c r="F10" i="63"/>
  <c r="E8" i="53" s="1"/>
  <c r="E10" i="63"/>
  <c r="D8" i="53" s="1"/>
  <c r="P9" i="63"/>
  <c r="O9" i="63"/>
  <c r="L9" i="63"/>
  <c r="L109" i="63" s="1"/>
  <c r="I9" i="63"/>
  <c r="I10" i="63" s="1"/>
  <c r="H8" i="53" s="1"/>
  <c r="H9" i="63"/>
  <c r="H109" i="63" s="1"/>
  <c r="G9" i="63"/>
  <c r="G109" i="63" s="1"/>
  <c r="D9" i="63"/>
  <c r="D10" i="63" s="1"/>
  <c r="C8" i="53" s="1"/>
  <c r="L8" i="63"/>
  <c r="K7" i="53" s="1"/>
  <c r="K7" i="56" s="1"/>
  <c r="K8" i="63"/>
  <c r="J7" i="53" s="1"/>
  <c r="H8" i="63"/>
  <c r="G8" i="63"/>
  <c r="F7" i="53" s="1"/>
  <c r="F8" i="63"/>
  <c r="E7" i="53" s="1"/>
  <c r="C8" i="63"/>
  <c r="Q7" i="63"/>
  <c r="P7" i="63"/>
  <c r="M7" i="63"/>
  <c r="J7" i="63"/>
  <c r="J109" i="63" s="1"/>
  <c r="I7" i="63"/>
  <c r="I109" i="63" s="1"/>
  <c r="E7" i="63"/>
  <c r="D7" i="63"/>
  <c r="Q6" i="63"/>
  <c r="P6" i="63"/>
  <c r="O6" i="63"/>
  <c r="N6" i="63"/>
  <c r="M6" i="63"/>
  <c r="K115" i="62"/>
  <c r="L114" i="62"/>
  <c r="K114" i="62"/>
  <c r="J114" i="62"/>
  <c r="I114" i="62"/>
  <c r="C114" i="62"/>
  <c r="L113" i="62"/>
  <c r="K113" i="62"/>
  <c r="J113" i="62"/>
  <c r="I113" i="62"/>
  <c r="C113" i="62"/>
  <c r="L112" i="62"/>
  <c r="K112" i="62"/>
  <c r="J112" i="62"/>
  <c r="I112" i="62"/>
  <c r="C112" i="62"/>
  <c r="Q111" i="62"/>
  <c r="P111" i="62"/>
  <c r="J111" i="62"/>
  <c r="E111" i="62"/>
  <c r="Q110" i="62"/>
  <c r="P110" i="62"/>
  <c r="O110" i="62"/>
  <c r="I110" i="62"/>
  <c r="H41" i="52" s="1"/>
  <c r="H110" i="62"/>
  <c r="D110" i="62"/>
  <c r="D111" i="62" s="1"/>
  <c r="C110" i="62"/>
  <c r="C111" i="62" s="1"/>
  <c r="Q109" i="62"/>
  <c r="P109" i="62"/>
  <c r="O109" i="62"/>
  <c r="N109" i="62"/>
  <c r="M109" i="62"/>
  <c r="Q108" i="62"/>
  <c r="P40" i="54" s="1"/>
  <c r="P108" i="62"/>
  <c r="O40" i="54" s="1"/>
  <c r="O108" i="62"/>
  <c r="N40" i="54" s="1"/>
  <c r="N108" i="62"/>
  <c r="M40" i="54" s="1"/>
  <c r="M108" i="62"/>
  <c r="L40" i="54" s="1"/>
  <c r="Q107" i="62"/>
  <c r="P107" i="62"/>
  <c r="O107" i="62"/>
  <c r="N107" i="62"/>
  <c r="M107" i="62"/>
  <c r="L106" i="62"/>
  <c r="K35" i="52" s="1"/>
  <c r="K106" i="62"/>
  <c r="J35" i="52" s="1"/>
  <c r="J106" i="62"/>
  <c r="I35" i="52" s="1"/>
  <c r="I106" i="62"/>
  <c r="H35" i="52" s="1"/>
  <c r="H106" i="62"/>
  <c r="G106" i="62"/>
  <c r="F106" i="62"/>
  <c r="E35" i="52" s="1"/>
  <c r="E106" i="62"/>
  <c r="D35" i="52" s="1"/>
  <c r="D106" i="62"/>
  <c r="C106" i="62"/>
  <c r="Q105" i="62"/>
  <c r="P105" i="62"/>
  <c r="O105" i="62"/>
  <c r="N105" i="62"/>
  <c r="M105" i="62"/>
  <c r="L104" i="62"/>
  <c r="K34" i="52" s="1"/>
  <c r="K104" i="62"/>
  <c r="J34" i="52" s="1"/>
  <c r="J104" i="62"/>
  <c r="I34" i="52" s="1"/>
  <c r="I104" i="62"/>
  <c r="H34" i="52" s="1"/>
  <c r="H104" i="62"/>
  <c r="G104" i="62"/>
  <c r="F104" i="62"/>
  <c r="E34" i="52" s="1"/>
  <c r="E104" i="62"/>
  <c r="D34" i="52" s="1"/>
  <c r="D104" i="62"/>
  <c r="C104" i="62"/>
  <c r="Q103" i="62"/>
  <c r="P103" i="62"/>
  <c r="O103" i="62"/>
  <c r="N103" i="62"/>
  <c r="M103" i="62"/>
  <c r="Q102" i="62"/>
  <c r="P102" i="62"/>
  <c r="O102" i="62"/>
  <c r="N102" i="62"/>
  <c r="M102" i="62"/>
  <c r="Q101" i="62"/>
  <c r="P101" i="62"/>
  <c r="O101" i="62"/>
  <c r="N101" i="62"/>
  <c r="M101" i="62"/>
  <c r="Q100" i="62"/>
  <c r="P100" i="62"/>
  <c r="O100" i="62"/>
  <c r="N100" i="62"/>
  <c r="M100" i="62"/>
  <c r="Q99" i="62"/>
  <c r="P99" i="62"/>
  <c r="O99" i="62"/>
  <c r="I99" i="62"/>
  <c r="H33" i="52" s="1"/>
  <c r="H99" i="62"/>
  <c r="D99" i="62"/>
  <c r="C99" i="62"/>
  <c r="Q98" i="62"/>
  <c r="P98" i="62"/>
  <c r="O98" i="62"/>
  <c r="N98" i="62"/>
  <c r="M98" i="62"/>
  <c r="L97" i="62"/>
  <c r="K32" i="52" s="1"/>
  <c r="K97" i="62"/>
  <c r="J32" i="52" s="1"/>
  <c r="J97" i="62"/>
  <c r="I32" i="52" s="1"/>
  <c r="G97" i="62"/>
  <c r="F97" i="62"/>
  <c r="E32" i="52" s="1"/>
  <c r="E97" i="62"/>
  <c r="Q96" i="62"/>
  <c r="P96" i="62"/>
  <c r="O96" i="62"/>
  <c r="I96" i="62"/>
  <c r="I97" i="62" s="1"/>
  <c r="H32" i="52" s="1"/>
  <c r="H96" i="62"/>
  <c r="D96" i="62"/>
  <c r="D97" i="62" s="1"/>
  <c r="C96" i="62"/>
  <c r="L95" i="62"/>
  <c r="K31" i="52" s="1"/>
  <c r="K95" i="62"/>
  <c r="J31" i="52" s="1"/>
  <c r="J95" i="62"/>
  <c r="I31" i="52" s="1"/>
  <c r="I95" i="62"/>
  <c r="H31" i="52" s="1"/>
  <c r="H95" i="62"/>
  <c r="G95" i="62"/>
  <c r="Q95" i="62" s="1"/>
  <c r="F95" i="62"/>
  <c r="E31" i="52" s="1"/>
  <c r="E95" i="62"/>
  <c r="D95" i="62"/>
  <c r="C95" i="62"/>
  <c r="Q94" i="62"/>
  <c r="P94" i="62"/>
  <c r="O94" i="62"/>
  <c r="N94" i="62"/>
  <c r="M94" i="62"/>
  <c r="Q93" i="62"/>
  <c r="P93" i="62"/>
  <c r="O93" i="62"/>
  <c r="N93" i="62"/>
  <c r="M93" i="62"/>
  <c r="L92" i="62"/>
  <c r="K92" i="62"/>
  <c r="J30" i="52" s="1"/>
  <c r="J92" i="62"/>
  <c r="I30" i="52" s="1"/>
  <c r="I92" i="62"/>
  <c r="H30" i="52" s="1"/>
  <c r="H92" i="62"/>
  <c r="G92" i="62"/>
  <c r="F92" i="62"/>
  <c r="E92" i="62"/>
  <c r="D30" i="52" s="1"/>
  <c r="C92" i="62"/>
  <c r="Q91" i="62"/>
  <c r="P91" i="62"/>
  <c r="O91" i="62"/>
  <c r="M91" i="62"/>
  <c r="D91" i="62"/>
  <c r="Q90" i="62"/>
  <c r="P90" i="62"/>
  <c r="O90" i="62"/>
  <c r="N90" i="62"/>
  <c r="M90" i="62"/>
  <c r="L89" i="62"/>
  <c r="K29" i="52" s="1"/>
  <c r="K89" i="62"/>
  <c r="J89" i="62"/>
  <c r="I29" i="52" s="1"/>
  <c r="I89" i="62"/>
  <c r="H29" i="52" s="1"/>
  <c r="H89" i="62"/>
  <c r="G89" i="62"/>
  <c r="F89" i="62"/>
  <c r="E29" i="52" s="1"/>
  <c r="E29" i="54" s="1"/>
  <c r="E89" i="62"/>
  <c r="D29" i="52" s="1"/>
  <c r="D89" i="62"/>
  <c r="C89" i="62"/>
  <c r="Q88" i="62"/>
  <c r="P88" i="62"/>
  <c r="O88" i="62"/>
  <c r="N88" i="62"/>
  <c r="M88" i="62"/>
  <c r="L87" i="62"/>
  <c r="K28" i="52" s="1"/>
  <c r="K87" i="62"/>
  <c r="J87" i="62"/>
  <c r="I28" i="52" s="1"/>
  <c r="I87" i="62"/>
  <c r="H28" i="52" s="1"/>
  <c r="F87" i="62"/>
  <c r="E28" i="52" s="1"/>
  <c r="E87" i="62"/>
  <c r="D28" i="52" s="1"/>
  <c r="D87" i="62"/>
  <c r="C87" i="62"/>
  <c r="P86" i="62"/>
  <c r="O86" i="62"/>
  <c r="N86" i="62"/>
  <c r="M86" i="62"/>
  <c r="G86" i="62"/>
  <c r="Q86" i="62" s="1"/>
  <c r="Q85" i="62"/>
  <c r="P85" i="62"/>
  <c r="O85" i="62"/>
  <c r="N85" i="62"/>
  <c r="M85" i="62"/>
  <c r="Q84" i="62"/>
  <c r="P84" i="62"/>
  <c r="O84" i="62"/>
  <c r="N84" i="62"/>
  <c r="M84" i="62"/>
  <c r="Q77" i="62"/>
  <c r="P77" i="62"/>
  <c r="J77" i="62"/>
  <c r="H27" i="52" s="1"/>
  <c r="I77" i="62"/>
  <c r="H77" i="62"/>
  <c r="E77" i="62"/>
  <c r="D77" i="62"/>
  <c r="C77" i="62"/>
  <c r="Q76" i="62"/>
  <c r="P76" i="62"/>
  <c r="O76" i="62"/>
  <c r="N76" i="62"/>
  <c r="M76" i="62"/>
  <c r="K75" i="62"/>
  <c r="J26" i="52" s="1"/>
  <c r="F75" i="62"/>
  <c r="E26" i="52" s="1"/>
  <c r="P74" i="62"/>
  <c r="L74" i="62"/>
  <c r="J74" i="62"/>
  <c r="J75" i="62" s="1"/>
  <c r="I26" i="52" s="1"/>
  <c r="I74" i="62"/>
  <c r="H74" i="62"/>
  <c r="G74" i="62"/>
  <c r="G75" i="62" s="1"/>
  <c r="E74" i="62"/>
  <c r="E75" i="62" s="1"/>
  <c r="D26" i="52" s="1"/>
  <c r="D74" i="62"/>
  <c r="D75" i="62" s="1"/>
  <c r="C74" i="62"/>
  <c r="Q73" i="62"/>
  <c r="P73" i="62"/>
  <c r="O73" i="62"/>
  <c r="N73" i="62"/>
  <c r="M73" i="62"/>
  <c r="K72" i="62"/>
  <c r="J25" i="52" s="1"/>
  <c r="F72" i="62"/>
  <c r="E72" i="62"/>
  <c r="P71" i="62"/>
  <c r="L71" i="62"/>
  <c r="L72" i="62" s="1"/>
  <c r="O71" i="62"/>
  <c r="I71" i="62"/>
  <c r="G71" i="62"/>
  <c r="G72" i="62" s="1"/>
  <c r="D71" i="62"/>
  <c r="D72" i="62" s="1"/>
  <c r="C25" i="52" s="1"/>
  <c r="C71" i="62"/>
  <c r="P70" i="62"/>
  <c r="N70" i="62"/>
  <c r="L70" i="62"/>
  <c r="K24" i="52" s="1"/>
  <c r="J70" i="62"/>
  <c r="I24" i="52" s="1"/>
  <c r="H70" i="62"/>
  <c r="G70" i="62"/>
  <c r="E70" i="62"/>
  <c r="D24" i="52" s="1"/>
  <c r="C70" i="62"/>
  <c r="Q69" i="62"/>
  <c r="P69" i="62"/>
  <c r="O69" i="62"/>
  <c r="N69" i="62"/>
  <c r="M69" i="62"/>
  <c r="L68" i="62"/>
  <c r="K22" i="52" s="1"/>
  <c r="K68" i="62"/>
  <c r="J22" i="52" s="1"/>
  <c r="J68" i="62"/>
  <c r="I22" i="52" s="1"/>
  <c r="I68" i="62"/>
  <c r="H22" i="52" s="1"/>
  <c r="H68" i="62"/>
  <c r="G68" i="62"/>
  <c r="Q68" i="62" s="1"/>
  <c r="F68" i="62"/>
  <c r="E22" i="52" s="1"/>
  <c r="E68" i="62"/>
  <c r="D68" i="62"/>
  <c r="C68" i="62"/>
  <c r="Q67" i="62"/>
  <c r="P67" i="62"/>
  <c r="O67" i="62"/>
  <c r="N67" i="62"/>
  <c r="M67" i="62"/>
  <c r="Q66" i="62"/>
  <c r="P66" i="62"/>
  <c r="O66" i="62"/>
  <c r="N66" i="62"/>
  <c r="M66" i="62"/>
  <c r="Q65" i="62"/>
  <c r="P65" i="62"/>
  <c r="O65" i="62"/>
  <c r="N65" i="62"/>
  <c r="M65" i="62"/>
  <c r="L64" i="62"/>
  <c r="K21" i="52" s="1"/>
  <c r="K64" i="62"/>
  <c r="J21" i="52" s="1"/>
  <c r="J64" i="62"/>
  <c r="I21" i="52" s="1"/>
  <c r="I64" i="62"/>
  <c r="H21" i="52" s="1"/>
  <c r="H64" i="62"/>
  <c r="G64" i="62"/>
  <c r="E21" i="52"/>
  <c r="E64" i="62"/>
  <c r="D21" i="52" s="1"/>
  <c r="D64" i="62"/>
  <c r="C64" i="62"/>
  <c r="Q63" i="62"/>
  <c r="P63" i="62"/>
  <c r="O63" i="62"/>
  <c r="N63" i="62"/>
  <c r="M63" i="62"/>
  <c r="Q62" i="62"/>
  <c r="P62" i="62"/>
  <c r="O62" i="62"/>
  <c r="N62" i="62"/>
  <c r="M62" i="62"/>
  <c r="Q61" i="62"/>
  <c r="P61" i="62"/>
  <c r="O61" i="62"/>
  <c r="N61" i="62"/>
  <c r="M61" i="62"/>
  <c r="Q60" i="62"/>
  <c r="P60" i="62"/>
  <c r="O60" i="62"/>
  <c r="N60" i="62"/>
  <c r="M60" i="62"/>
  <c r="L59" i="62"/>
  <c r="K20" i="52" s="1"/>
  <c r="K59" i="62"/>
  <c r="J20" i="52" s="1"/>
  <c r="J59" i="62"/>
  <c r="I20" i="52" s="1"/>
  <c r="I59" i="62"/>
  <c r="H20" i="52" s="1"/>
  <c r="H59" i="62"/>
  <c r="G59" i="62"/>
  <c r="F59" i="62"/>
  <c r="E20" i="52" s="1"/>
  <c r="E59" i="62"/>
  <c r="D20" i="52" s="1"/>
  <c r="D59" i="62"/>
  <c r="C59" i="62"/>
  <c r="Q58" i="62"/>
  <c r="P58" i="62"/>
  <c r="O58" i="62"/>
  <c r="N58" i="62"/>
  <c r="M58" i="62"/>
  <c r="Q57" i="62"/>
  <c r="P57" i="62"/>
  <c r="O57" i="62"/>
  <c r="N57" i="62"/>
  <c r="M57" i="62"/>
  <c r="Q56" i="62"/>
  <c r="P56" i="62"/>
  <c r="O56" i="62"/>
  <c r="N56" i="62"/>
  <c r="M56" i="62"/>
  <c r="Q55" i="62"/>
  <c r="P55" i="62"/>
  <c r="O55" i="62"/>
  <c r="N55" i="62"/>
  <c r="M55" i="62"/>
  <c r="L54" i="62"/>
  <c r="K54" i="62"/>
  <c r="J54" i="62"/>
  <c r="I19" i="52" s="1"/>
  <c r="I54" i="62"/>
  <c r="H19" i="52" s="1"/>
  <c r="H54" i="62"/>
  <c r="G54" i="62"/>
  <c r="F54" i="62"/>
  <c r="E54" i="62"/>
  <c r="D19" i="52" s="1"/>
  <c r="D54" i="62"/>
  <c r="C54" i="62"/>
  <c r="Q53" i="62"/>
  <c r="P53" i="62"/>
  <c r="O53" i="62"/>
  <c r="N53" i="62"/>
  <c r="M53" i="62"/>
  <c r="Q52" i="62"/>
  <c r="P52" i="62"/>
  <c r="O52" i="62"/>
  <c r="N52" i="62"/>
  <c r="M52" i="62"/>
  <c r="K51" i="62"/>
  <c r="J18" i="52" s="1"/>
  <c r="F51" i="62"/>
  <c r="E18" i="52" s="1"/>
  <c r="E51" i="62"/>
  <c r="D18" i="52" s="1"/>
  <c r="P50" i="62"/>
  <c r="L50" i="62"/>
  <c r="L51" i="62" s="1"/>
  <c r="K18" i="52" s="1"/>
  <c r="J50" i="62"/>
  <c r="J51" i="62" s="1"/>
  <c r="I18" i="52" s="1"/>
  <c r="I50" i="62"/>
  <c r="I51" i="62" s="1"/>
  <c r="H18" i="52" s="1"/>
  <c r="H50" i="62"/>
  <c r="G50" i="62"/>
  <c r="G51" i="62" s="1"/>
  <c r="D50" i="62"/>
  <c r="D51" i="62" s="1"/>
  <c r="C50" i="62"/>
  <c r="Q49" i="62"/>
  <c r="P49" i="62"/>
  <c r="O49" i="62"/>
  <c r="N49" i="62"/>
  <c r="M49" i="62"/>
  <c r="Q48" i="62"/>
  <c r="P48" i="62"/>
  <c r="O48" i="62"/>
  <c r="N48" i="62"/>
  <c r="M48" i="62"/>
  <c r="L47" i="62"/>
  <c r="K17" i="52" s="1"/>
  <c r="K47" i="62"/>
  <c r="J17" i="52" s="1"/>
  <c r="J47" i="62"/>
  <c r="I17" i="52" s="1"/>
  <c r="I47" i="62"/>
  <c r="H17" i="52" s="1"/>
  <c r="H47" i="62"/>
  <c r="G47" i="62"/>
  <c r="F47" i="62"/>
  <c r="E17" i="52" s="1"/>
  <c r="E47" i="62"/>
  <c r="D47" i="62"/>
  <c r="C47" i="62"/>
  <c r="Q46" i="62"/>
  <c r="P46" i="62"/>
  <c r="O46" i="62"/>
  <c r="N46" i="62"/>
  <c r="M46" i="62"/>
  <c r="Q45" i="62"/>
  <c r="P45" i="62"/>
  <c r="O45" i="62"/>
  <c r="N45" i="62"/>
  <c r="M45" i="62"/>
  <c r="K39" i="62"/>
  <c r="J16" i="52" s="1"/>
  <c r="G39" i="62"/>
  <c r="F16" i="52" s="1"/>
  <c r="F39" i="62"/>
  <c r="P38" i="62"/>
  <c r="L38" i="62"/>
  <c r="L39" i="62" s="1"/>
  <c r="K16" i="52" s="1"/>
  <c r="J39" i="62"/>
  <c r="I16" i="52" s="1"/>
  <c r="H16" i="52"/>
  <c r="E38" i="62"/>
  <c r="E39" i="62" s="1"/>
  <c r="D16" i="52" s="1"/>
  <c r="C38" i="62"/>
  <c r="Q37" i="62"/>
  <c r="P37" i="62"/>
  <c r="O37" i="62"/>
  <c r="N37" i="62"/>
  <c r="M37" i="62"/>
  <c r="Q36" i="62"/>
  <c r="P36" i="62"/>
  <c r="O36" i="62"/>
  <c r="N36" i="62"/>
  <c r="M36" i="62"/>
  <c r="Q35" i="62"/>
  <c r="P35" i="62"/>
  <c r="O35" i="62"/>
  <c r="N35" i="62"/>
  <c r="M35" i="62"/>
  <c r="Q34" i="62"/>
  <c r="P34" i="62"/>
  <c r="O34" i="62"/>
  <c r="N34" i="62"/>
  <c r="M34" i="62"/>
  <c r="L33" i="62"/>
  <c r="K15" i="52" s="1"/>
  <c r="K33" i="62"/>
  <c r="J15" i="52" s="1"/>
  <c r="J15" i="55" s="1"/>
  <c r="J33" i="62"/>
  <c r="I15" i="52" s="1"/>
  <c r="I15" i="55" s="1"/>
  <c r="I33" i="62"/>
  <c r="H15" i="52" s="1"/>
  <c r="H15" i="55" s="1"/>
  <c r="G33" i="62"/>
  <c r="F33" i="62"/>
  <c r="E15" i="52" s="1"/>
  <c r="E15" i="55" s="1"/>
  <c r="E33" i="62"/>
  <c r="D15" i="52" s="1"/>
  <c r="D15" i="55" s="1"/>
  <c r="D33" i="62"/>
  <c r="C33" i="62"/>
  <c r="Q32" i="62"/>
  <c r="P32" i="62"/>
  <c r="O32" i="62"/>
  <c r="N32" i="62"/>
  <c r="M32" i="62"/>
  <c r="Q31" i="62"/>
  <c r="P31" i="62"/>
  <c r="O31" i="62"/>
  <c r="N31" i="62"/>
  <c r="M31" i="62"/>
  <c r="Q30" i="62"/>
  <c r="P30" i="62"/>
  <c r="O30" i="62"/>
  <c r="N30" i="62"/>
  <c r="M30" i="62"/>
  <c r="L29" i="62"/>
  <c r="K14" i="52" s="1"/>
  <c r="K29" i="62"/>
  <c r="J14" i="52" s="1"/>
  <c r="J29" i="62"/>
  <c r="I14" i="52" s="1"/>
  <c r="I29" i="62"/>
  <c r="H14" i="52" s="1"/>
  <c r="H29" i="62"/>
  <c r="G29" i="62"/>
  <c r="Q29" i="62" s="1"/>
  <c r="F29" i="62"/>
  <c r="E14" i="52" s="1"/>
  <c r="E29" i="62"/>
  <c r="D29" i="62"/>
  <c r="C29" i="62"/>
  <c r="Q28" i="62"/>
  <c r="P28" i="62"/>
  <c r="O28" i="62"/>
  <c r="N28" i="62"/>
  <c r="M28" i="62"/>
  <c r="Q27" i="62"/>
  <c r="P27" i="62"/>
  <c r="O27" i="62"/>
  <c r="N27" i="62"/>
  <c r="M27" i="62"/>
  <c r="Q26" i="62"/>
  <c r="P26" i="62"/>
  <c r="O26" i="62"/>
  <c r="N26" i="62"/>
  <c r="M26" i="62"/>
  <c r="L25" i="62"/>
  <c r="K13" i="52" s="1"/>
  <c r="K25" i="62"/>
  <c r="J13" i="52" s="1"/>
  <c r="J25" i="62"/>
  <c r="I13" i="52" s="1"/>
  <c r="I25" i="62"/>
  <c r="H13" i="52" s="1"/>
  <c r="H25" i="62"/>
  <c r="G25" i="62"/>
  <c r="F25" i="62"/>
  <c r="E13" i="52" s="1"/>
  <c r="E25" i="62"/>
  <c r="D13" i="52" s="1"/>
  <c r="D25" i="62"/>
  <c r="C25" i="62"/>
  <c r="Q24" i="62"/>
  <c r="P24" i="62"/>
  <c r="O24" i="62"/>
  <c r="N24" i="62"/>
  <c r="M24" i="62"/>
  <c r="Q23" i="62"/>
  <c r="P23" i="62"/>
  <c r="O23" i="62"/>
  <c r="N23" i="62"/>
  <c r="M23" i="62"/>
  <c r="Q22" i="62"/>
  <c r="P22" i="62"/>
  <c r="O22" i="62"/>
  <c r="N22" i="62"/>
  <c r="M22" i="62"/>
  <c r="L21" i="62"/>
  <c r="K11" i="52" s="1"/>
  <c r="K21" i="62"/>
  <c r="J11" i="52" s="1"/>
  <c r="J21" i="62"/>
  <c r="I11" i="52" s="1"/>
  <c r="I21" i="62"/>
  <c r="H11" i="52" s="1"/>
  <c r="H21" i="62"/>
  <c r="G21" i="62"/>
  <c r="F21" i="62"/>
  <c r="E11" i="52" s="1"/>
  <c r="E21" i="62"/>
  <c r="D21" i="62"/>
  <c r="C21" i="62"/>
  <c r="Q20" i="62"/>
  <c r="P20" i="62"/>
  <c r="O20" i="62"/>
  <c r="N20" i="62"/>
  <c r="M20" i="62"/>
  <c r="Q19" i="62"/>
  <c r="P19" i="62"/>
  <c r="O19" i="62"/>
  <c r="N19" i="62"/>
  <c r="M19" i="62"/>
  <c r="Q18" i="62"/>
  <c r="P18" i="62"/>
  <c r="O18" i="62"/>
  <c r="N18" i="62"/>
  <c r="M18" i="62"/>
  <c r="Q17" i="62"/>
  <c r="P17" i="62"/>
  <c r="O17" i="62"/>
  <c r="N17" i="62"/>
  <c r="M17" i="62"/>
  <c r="Q16" i="62"/>
  <c r="P16" i="62"/>
  <c r="O16" i="62"/>
  <c r="N16" i="62"/>
  <c r="M16" i="62"/>
  <c r="L15" i="62"/>
  <c r="K10" i="52" s="1"/>
  <c r="K15" i="62"/>
  <c r="J10" i="52" s="1"/>
  <c r="I15" i="62"/>
  <c r="H10" i="52" s="1"/>
  <c r="F15" i="62"/>
  <c r="E10" i="52" s="1"/>
  <c r="P14" i="62"/>
  <c r="O14" i="62"/>
  <c r="G14" i="62"/>
  <c r="D14" i="62"/>
  <c r="D15" i="62" s="1"/>
  <c r="C14" i="62"/>
  <c r="Q13" i="62"/>
  <c r="P13" i="62"/>
  <c r="N13" i="62"/>
  <c r="J13" i="62"/>
  <c r="H13" i="62"/>
  <c r="E13" i="62"/>
  <c r="E15" i="62" s="1"/>
  <c r="D10" i="52" s="1"/>
  <c r="C13" i="62"/>
  <c r="Q12" i="62"/>
  <c r="P12" i="62"/>
  <c r="O12" i="62"/>
  <c r="N12" i="62"/>
  <c r="M12" i="62"/>
  <c r="K11" i="62"/>
  <c r="J8" i="52" s="1"/>
  <c r="J11" i="62"/>
  <c r="I8" i="52" s="1"/>
  <c r="F11" i="62"/>
  <c r="D8" i="52"/>
  <c r="P10" i="62"/>
  <c r="O10" i="62"/>
  <c r="L10" i="62"/>
  <c r="I10" i="62"/>
  <c r="H10" i="62"/>
  <c r="H11" i="62" s="1"/>
  <c r="G10" i="62"/>
  <c r="G11" i="62" s="1"/>
  <c r="D10" i="62"/>
  <c r="D11" i="62" s="1"/>
  <c r="C10" i="62"/>
  <c r="L9" i="62"/>
  <c r="K9" i="62"/>
  <c r="J7" i="52" s="1"/>
  <c r="H9" i="62"/>
  <c r="G9" i="62"/>
  <c r="F7" i="52" s="1"/>
  <c r="F9" i="62"/>
  <c r="E7" i="52" s="1"/>
  <c r="C9" i="62"/>
  <c r="Q8" i="62"/>
  <c r="P8" i="62"/>
  <c r="M8" i="62"/>
  <c r="J8" i="62"/>
  <c r="J9" i="62" s="1"/>
  <c r="I7" i="52" s="1"/>
  <c r="I8" i="62"/>
  <c r="E8" i="62"/>
  <c r="D8" i="62"/>
  <c r="D115" i="62" s="1"/>
  <c r="Q7" i="62"/>
  <c r="P7" i="62"/>
  <c r="O7" i="62"/>
  <c r="N7" i="62"/>
  <c r="M7" i="62"/>
  <c r="E21" i="54" l="1"/>
  <c r="O27" i="63"/>
  <c r="H110" i="63"/>
  <c r="H37" i="58" s="1"/>
  <c r="Q47" i="62"/>
  <c r="G115" i="62"/>
  <c r="G116" i="62" s="1"/>
  <c r="G36" i="58" s="1"/>
  <c r="Q10" i="62"/>
  <c r="E115" i="62"/>
  <c r="E116" i="62" s="1"/>
  <c r="E36" i="58" s="1"/>
  <c r="N87" i="62"/>
  <c r="Q97" i="62"/>
  <c r="P11" i="62"/>
  <c r="E8" i="52"/>
  <c r="E8" i="54" s="1"/>
  <c r="P39" i="62"/>
  <c r="E16" i="52"/>
  <c r="E16" i="54" s="1"/>
  <c r="J28" i="52"/>
  <c r="J28" i="54" s="1"/>
  <c r="E13" i="54"/>
  <c r="Q76" i="63"/>
  <c r="B39" i="57"/>
  <c r="M39" i="52"/>
  <c r="C41" i="55"/>
  <c r="O29" i="62"/>
  <c r="D14" i="52"/>
  <c r="O47" i="62"/>
  <c r="D17" i="52"/>
  <c r="H72" i="62"/>
  <c r="I72" i="62"/>
  <c r="H25" i="52"/>
  <c r="E7" i="54"/>
  <c r="E18" i="54"/>
  <c r="E32" i="54"/>
  <c r="N105" i="63"/>
  <c r="F25" i="52"/>
  <c r="G41" i="55"/>
  <c r="F38" i="54"/>
  <c r="F39" i="55"/>
  <c r="P39" i="52"/>
  <c r="K41" i="55"/>
  <c r="E31" i="54"/>
  <c r="P92" i="62"/>
  <c r="E30" i="52"/>
  <c r="E30" i="54" s="1"/>
  <c r="J29" i="52"/>
  <c r="J29" i="54" s="1"/>
  <c r="O68" i="62"/>
  <c r="D22" i="52"/>
  <c r="E20" i="54"/>
  <c r="P54" i="62"/>
  <c r="E19" i="52"/>
  <c r="E19" i="54" s="1"/>
  <c r="J19" i="52"/>
  <c r="J19" i="54" s="1"/>
  <c r="N114" i="62"/>
  <c r="N54" i="62"/>
  <c r="Q21" i="62"/>
  <c r="Q112" i="62"/>
  <c r="O21" i="62"/>
  <c r="D11" i="52"/>
  <c r="O112" i="62"/>
  <c r="O113" i="62"/>
  <c r="C109" i="63"/>
  <c r="E9" i="54"/>
  <c r="E10" i="54"/>
  <c r="E14" i="54"/>
  <c r="E15" i="54"/>
  <c r="E27" i="54"/>
  <c r="E28" i="53"/>
  <c r="E33" i="54"/>
  <c r="E34" i="54"/>
  <c r="E41" i="54"/>
  <c r="E109" i="63"/>
  <c r="E110" i="63" s="1"/>
  <c r="E37" i="58" s="1"/>
  <c r="E24" i="63"/>
  <c r="D11" i="53" s="1"/>
  <c r="N67" i="63"/>
  <c r="D109" i="63"/>
  <c r="N13" i="63"/>
  <c r="C9" i="53"/>
  <c r="E17" i="54"/>
  <c r="E22" i="54"/>
  <c r="E25" i="54"/>
  <c r="E26" i="54"/>
  <c r="E35" i="54"/>
  <c r="O22" i="63"/>
  <c r="E85" i="63"/>
  <c r="E11" i="54"/>
  <c r="N98" i="63"/>
  <c r="O97" i="62"/>
  <c r="D32" i="52"/>
  <c r="O95" i="62"/>
  <c r="D31" i="52"/>
  <c r="K29" i="54"/>
  <c r="K12" i="54"/>
  <c r="F7" i="54"/>
  <c r="F7" i="55"/>
  <c r="K24" i="54"/>
  <c r="K35" i="54"/>
  <c r="K36" i="54"/>
  <c r="K10" i="54"/>
  <c r="K23" i="54"/>
  <c r="K37" i="54"/>
  <c r="K41" i="54"/>
  <c r="K15" i="54"/>
  <c r="K15" i="55"/>
  <c r="N79" i="63"/>
  <c r="J34" i="54"/>
  <c r="O74" i="63"/>
  <c r="N88" i="63"/>
  <c r="N100" i="63"/>
  <c r="K11" i="54"/>
  <c r="O10" i="63"/>
  <c r="N24" i="63"/>
  <c r="N27" i="63"/>
  <c r="N29" i="63"/>
  <c r="O29" i="63"/>
  <c r="O32" i="63"/>
  <c r="K21" i="53"/>
  <c r="K110" i="63"/>
  <c r="K37" i="58" s="1"/>
  <c r="O107" i="63"/>
  <c r="Q107" i="63"/>
  <c r="P107" i="63"/>
  <c r="M9" i="62"/>
  <c r="P9" i="62"/>
  <c r="O11" i="62"/>
  <c r="L11" i="62"/>
  <c r="K8" i="52" s="1"/>
  <c r="N14" i="62"/>
  <c r="N15" i="62"/>
  <c r="M21" i="62"/>
  <c r="N21" i="62"/>
  <c r="P21" i="62"/>
  <c r="M29" i="62"/>
  <c r="N29" i="62"/>
  <c r="P29" i="62"/>
  <c r="J14" i="54"/>
  <c r="M47" i="62"/>
  <c r="N47" i="62"/>
  <c r="P47" i="62"/>
  <c r="J17" i="54"/>
  <c r="C51" i="62"/>
  <c r="H51" i="62"/>
  <c r="O51" i="62"/>
  <c r="Q72" i="62"/>
  <c r="K25" i="52"/>
  <c r="N95" i="62"/>
  <c r="P95" i="62"/>
  <c r="C97" i="62"/>
  <c r="H97" i="62"/>
  <c r="I111" i="62"/>
  <c r="M112" i="62"/>
  <c r="O72" i="63"/>
  <c r="D116" i="62"/>
  <c r="D36" i="58" s="1"/>
  <c r="D9" i="62"/>
  <c r="Q39" i="62"/>
  <c r="P51" i="62"/>
  <c r="M54" i="62"/>
  <c r="O54" i="62"/>
  <c r="Q54" i="62"/>
  <c r="K19" i="52"/>
  <c r="M68" i="62"/>
  <c r="N68" i="62"/>
  <c r="P68" i="62"/>
  <c r="J22" i="54"/>
  <c r="N74" i="62"/>
  <c r="I75" i="62"/>
  <c r="H26" i="52" s="1"/>
  <c r="P87" i="62"/>
  <c r="N89" i="62"/>
  <c r="N91" i="62"/>
  <c r="D92" i="62"/>
  <c r="M92" i="62"/>
  <c r="O92" i="62"/>
  <c r="Q92" i="62"/>
  <c r="K30" i="52"/>
  <c r="P97" i="62"/>
  <c r="J32" i="54"/>
  <c r="N99" i="62"/>
  <c r="M106" i="62"/>
  <c r="O106" i="62"/>
  <c r="N7" i="63"/>
  <c r="I8" i="63"/>
  <c r="Q88" i="63"/>
  <c r="K32" i="53"/>
  <c r="P10" i="63"/>
  <c r="J8" i="54"/>
  <c r="O12" i="63"/>
  <c r="D17" i="63"/>
  <c r="N17" i="63" s="1"/>
  <c r="Q17" i="63"/>
  <c r="P17" i="63"/>
  <c r="Q24" i="63"/>
  <c r="P24" i="63"/>
  <c r="P27" i="63"/>
  <c r="M27" i="63"/>
  <c r="D16" i="53"/>
  <c r="Q35" i="63"/>
  <c r="P68" i="63"/>
  <c r="J25" i="54"/>
  <c r="O77" i="63"/>
  <c r="L77" i="63"/>
  <c r="Q87" i="63"/>
  <c r="M88" i="63"/>
  <c r="P88" i="63"/>
  <c r="M98" i="63"/>
  <c r="O8" i="62"/>
  <c r="Q9" i="62"/>
  <c r="C11" i="62"/>
  <c r="P15" i="62"/>
  <c r="M25" i="62"/>
  <c r="O25" i="62"/>
  <c r="Q25" i="62"/>
  <c r="N25" i="62"/>
  <c r="P25" i="62"/>
  <c r="M33" i="62"/>
  <c r="O33" i="62"/>
  <c r="Q33" i="62"/>
  <c r="N33" i="62"/>
  <c r="P33" i="62"/>
  <c r="C39" i="62"/>
  <c r="N39" i="62"/>
  <c r="Q38" i="62"/>
  <c r="N59" i="62"/>
  <c r="P59" i="62"/>
  <c r="M64" i="62"/>
  <c r="O64" i="62"/>
  <c r="Q64" i="62"/>
  <c r="N64" i="62"/>
  <c r="P64" i="62"/>
  <c r="M70" i="62"/>
  <c r="Q70" i="62"/>
  <c r="O70" i="62"/>
  <c r="C72" i="62"/>
  <c r="N72" i="62"/>
  <c r="Q71" i="62"/>
  <c r="H75" i="62"/>
  <c r="O75" i="62"/>
  <c r="C75" i="62"/>
  <c r="P75" i="62"/>
  <c r="M77" i="62"/>
  <c r="O77" i="62"/>
  <c r="N77" i="62"/>
  <c r="G87" i="62"/>
  <c r="F28" i="52" s="1"/>
  <c r="F28" i="55" s="1"/>
  <c r="M87" i="62"/>
  <c r="O87" i="62"/>
  <c r="P89" i="62"/>
  <c r="M89" i="62"/>
  <c r="O89" i="62"/>
  <c r="Q89" i="62"/>
  <c r="N97" i="62"/>
  <c r="M99" i="62"/>
  <c r="N104" i="62"/>
  <c r="P104" i="62"/>
  <c r="M104" i="62"/>
  <c r="O104" i="62"/>
  <c r="Q104" i="62"/>
  <c r="N106" i="62"/>
  <c r="H111" i="62"/>
  <c r="M113" i="62"/>
  <c r="Q113" i="62"/>
  <c r="N113" i="62"/>
  <c r="P113" i="62"/>
  <c r="P114" i="62"/>
  <c r="M114" i="62"/>
  <c r="O114" i="62"/>
  <c r="Q114" i="62"/>
  <c r="P8" i="63"/>
  <c r="Q8" i="63"/>
  <c r="G10" i="63"/>
  <c r="F8" i="53" s="1"/>
  <c r="F8" i="56" s="1"/>
  <c r="N12" i="63"/>
  <c r="P13" i="63"/>
  <c r="M13" i="63"/>
  <c r="Q13" i="63"/>
  <c r="K9" i="53"/>
  <c r="M17" i="63"/>
  <c r="M32" i="63"/>
  <c r="Q32" i="63"/>
  <c r="N32" i="63"/>
  <c r="P32" i="63"/>
  <c r="D35" i="63"/>
  <c r="I110" i="63"/>
  <c r="I37" i="58" s="1"/>
  <c r="M35" i="63"/>
  <c r="J16" i="54"/>
  <c r="P38" i="63"/>
  <c r="M38" i="63"/>
  <c r="O38" i="63"/>
  <c r="Q38" i="63"/>
  <c r="K17" i="53"/>
  <c r="H41" i="63"/>
  <c r="Q40" i="63"/>
  <c r="O41" i="63"/>
  <c r="P41" i="63"/>
  <c r="N44" i="63"/>
  <c r="P44" i="63"/>
  <c r="M44" i="63"/>
  <c r="O44" i="63"/>
  <c r="Q44" i="63"/>
  <c r="K19" i="53"/>
  <c r="I50" i="63"/>
  <c r="O50" i="63"/>
  <c r="Q50" i="63"/>
  <c r="K20" i="53"/>
  <c r="H55" i="63"/>
  <c r="O55" i="63"/>
  <c r="P55" i="63"/>
  <c r="E64" i="63"/>
  <c r="D22" i="53" s="1"/>
  <c r="M64" i="63"/>
  <c r="J64" i="63"/>
  <c r="O64" i="63" s="1"/>
  <c r="Q64" i="63"/>
  <c r="K22" i="53"/>
  <c r="M66" i="63"/>
  <c r="O68" i="63"/>
  <c r="D25" i="54"/>
  <c r="H72" i="63"/>
  <c r="P72" i="63"/>
  <c r="J26" i="54"/>
  <c r="M74" i="63"/>
  <c r="Q74" i="63"/>
  <c r="N74" i="63"/>
  <c r="P74" i="63"/>
  <c r="Q75" i="63"/>
  <c r="M76" i="63"/>
  <c r="P77" i="63"/>
  <c r="M79" i="63"/>
  <c r="M82" i="63"/>
  <c r="O82" i="63"/>
  <c r="Q82" i="63"/>
  <c r="N82" i="63"/>
  <c r="P82" i="63"/>
  <c r="J30" i="54"/>
  <c r="M85" i="63"/>
  <c r="I85" i="63"/>
  <c r="P85" i="63"/>
  <c r="E88" i="63"/>
  <c r="D32" i="53" s="1"/>
  <c r="J88" i="63"/>
  <c r="D90" i="63"/>
  <c r="N90" i="63" s="1"/>
  <c r="O90" i="63"/>
  <c r="P90" i="63"/>
  <c r="J33" i="54"/>
  <c r="M90" i="63"/>
  <c r="N93" i="63"/>
  <c r="P93" i="63"/>
  <c r="M93" i="63"/>
  <c r="O93" i="63"/>
  <c r="Q93" i="63"/>
  <c r="K34" i="53"/>
  <c r="K34" i="54" s="1"/>
  <c r="P106" i="63"/>
  <c r="M106" i="63"/>
  <c r="O106" i="63"/>
  <c r="L106" i="63"/>
  <c r="Q106" i="63" s="1"/>
  <c r="P109" i="63"/>
  <c r="K7" i="52"/>
  <c r="L39" i="52"/>
  <c r="M8" i="63"/>
  <c r="C10" i="63"/>
  <c r="O17" i="63"/>
  <c r="M24" i="63"/>
  <c r="O24" i="63"/>
  <c r="Q27" i="63"/>
  <c r="K13" i="53"/>
  <c r="P29" i="63"/>
  <c r="M29" i="63"/>
  <c r="Q29" i="63"/>
  <c r="K14" i="53"/>
  <c r="L108" i="63"/>
  <c r="C41" i="63"/>
  <c r="D50" i="63"/>
  <c r="C20" i="53" s="1"/>
  <c r="P50" i="63"/>
  <c r="M50" i="63"/>
  <c r="Q66" i="63"/>
  <c r="N72" i="63"/>
  <c r="C77" i="63"/>
  <c r="D85" i="63"/>
  <c r="Q98" i="63"/>
  <c r="P98" i="63"/>
  <c r="J35" i="54"/>
  <c r="O98" i="63"/>
  <c r="M100" i="63"/>
  <c r="O100" i="63"/>
  <c r="M104" i="63"/>
  <c r="Q105" i="63"/>
  <c r="P105" i="63"/>
  <c r="J41" i="54"/>
  <c r="O105" i="63"/>
  <c r="M107" i="63"/>
  <c r="M108" i="63"/>
  <c r="O108" i="63"/>
  <c r="K33" i="54"/>
  <c r="K32" i="54"/>
  <c r="J27" i="54"/>
  <c r="J21" i="54"/>
  <c r="J20" i="54"/>
  <c r="J15" i="54"/>
  <c r="J13" i="54"/>
  <c r="J10" i="54"/>
  <c r="J9" i="54"/>
  <c r="K27" i="54"/>
  <c r="P72" i="62"/>
  <c r="K116" i="62"/>
  <c r="K36" i="58" s="1"/>
  <c r="F116" i="62"/>
  <c r="F36" i="58" s="1"/>
  <c r="P115" i="62"/>
  <c r="H10" i="63"/>
  <c r="G8" i="53" s="1"/>
  <c r="M9" i="63"/>
  <c r="Q109" i="63"/>
  <c r="L10" i="63"/>
  <c r="K8" i="53" s="1"/>
  <c r="Q9" i="63"/>
  <c r="N10" i="63"/>
  <c r="N16" i="63"/>
  <c r="N55" i="63"/>
  <c r="Q55" i="63"/>
  <c r="J8" i="63"/>
  <c r="O7" i="63"/>
  <c r="E8" i="63"/>
  <c r="D7" i="53" s="1"/>
  <c r="N9" i="63"/>
  <c r="O13" i="63"/>
  <c r="N34" i="63"/>
  <c r="I35" i="63"/>
  <c r="N41" i="63"/>
  <c r="N50" i="63"/>
  <c r="N40" i="63"/>
  <c r="G41" i="63"/>
  <c r="F18" i="53" s="1"/>
  <c r="N54" i="63"/>
  <c r="O63" i="63"/>
  <c r="L72" i="63"/>
  <c r="Q71" i="63"/>
  <c r="Q77" i="63"/>
  <c r="L85" i="63"/>
  <c r="Q84" i="63"/>
  <c r="N84" i="63"/>
  <c r="O87" i="63"/>
  <c r="Q90" i="63"/>
  <c r="G110" i="63"/>
  <c r="G37" i="58" s="1"/>
  <c r="F110" i="63"/>
  <c r="F37" i="58" s="1"/>
  <c r="D8" i="63"/>
  <c r="C7" i="53" s="1"/>
  <c r="M40" i="63"/>
  <c r="L41" i="63"/>
  <c r="N49" i="63"/>
  <c r="M54" i="63"/>
  <c r="O54" i="63"/>
  <c r="Q54" i="63"/>
  <c r="N64" i="63"/>
  <c r="P64" i="63"/>
  <c r="H68" i="63"/>
  <c r="M67" i="63"/>
  <c r="L68" i="63"/>
  <c r="Q67" i="63"/>
  <c r="N68" i="63"/>
  <c r="N71" i="63"/>
  <c r="D77" i="63"/>
  <c r="N85" i="63"/>
  <c r="N89" i="63"/>
  <c r="C105" i="63"/>
  <c r="M71" i="63"/>
  <c r="O71" i="63"/>
  <c r="J15" i="62"/>
  <c r="I10" i="52" s="1"/>
  <c r="O13" i="62"/>
  <c r="M14" i="62"/>
  <c r="C115" i="62"/>
  <c r="C116" i="62" s="1"/>
  <c r="C36" i="58" s="1"/>
  <c r="Q14" i="62"/>
  <c r="C15" i="62"/>
  <c r="N51" i="62"/>
  <c r="Q51" i="62"/>
  <c r="I9" i="62"/>
  <c r="H7" i="52" s="1"/>
  <c r="N8" i="62"/>
  <c r="I115" i="62"/>
  <c r="I11" i="62"/>
  <c r="H8" i="52" s="1"/>
  <c r="N10" i="62"/>
  <c r="M10" i="62"/>
  <c r="G15" i="62"/>
  <c r="O39" i="62"/>
  <c r="N111" i="62"/>
  <c r="M38" i="62"/>
  <c r="O38" i="62"/>
  <c r="N50" i="62"/>
  <c r="M71" i="62"/>
  <c r="J72" i="62"/>
  <c r="Q87" i="62"/>
  <c r="M95" i="62"/>
  <c r="O111" i="62"/>
  <c r="P112" i="62"/>
  <c r="J115" i="62"/>
  <c r="E9" i="62"/>
  <c r="M13" i="62"/>
  <c r="H15" i="62"/>
  <c r="L115" i="62"/>
  <c r="L116" i="62" s="1"/>
  <c r="L36" i="58" s="1"/>
  <c r="N38" i="62"/>
  <c r="M50" i="62"/>
  <c r="O50" i="62"/>
  <c r="Q50" i="62"/>
  <c r="M59" i="62"/>
  <c r="O59" i="62"/>
  <c r="Q59" i="62"/>
  <c r="L75" i="62"/>
  <c r="Q74" i="62"/>
  <c r="N96" i="62"/>
  <c r="Q106" i="62"/>
  <c r="P106" i="62"/>
  <c r="N110" i="62"/>
  <c r="N112" i="62"/>
  <c r="N71" i="62"/>
  <c r="M74" i="62"/>
  <c r="O74" i="62"/>
  <c r="M96" i="62"/>
  <c r="M110" i="62"/>
  <c r="O88" i="63" l="1"/>
  <c r="Q11" i="62"/>
  <c r="Q15" i="62"/>
  <c r="K28" i="53"/>
  <c r="K28" i="54" s="1"/>
  <c r="C10" i="53"/>
  <c r="N92" i="62"/>
  <c r="P41" i="55"/>
  <c r="K39" i="57"/>
  <c r="P39" i="57" s="1"/>
  <c r="L41" i="55"/>
  <c r="G39" i="57"/>
  <c r="F25" i="55"/>
  <c r="F25" i="54"/>
  <c r="M111" i="62"/>
  <c r="O9" i="62"/>
  <c r="D7" i="52"/>
  <c r="B16" i="52"/>
  <c r="M39" i="62"/>
  <c r="D31" i="53"/>
  <c r="O85" i="63"/>
  <c r="M41" i="55"/>
  <c r="C39" i="57"/>
  <c r="M39" i="57" s="1"/>
  <c r="M77" i="63"/>
  <c r="N115" i="62"/>
  <c r="B8" i="53"/>
  <c r="C33" i="53"/>
  <c r="C31" i="53"/>
  <c r="C16" i="53"/>
  <c r="N35" i="63"/>
  <c r="H16" i="53"/>
  <c r="N77" i="63"/>
  <c r="C28" i="53"/>
  <c r="O115" i="62"/>
  <c r="I116" i="62"/>
  <c r="K30" i="54"/>
  <c r="K14" i="54"/>
  <c r="K20" i="54"/>
  <c r="K9" i="54"/>
  <c r="K13" i="54"/>
  <c r="K22" i="54"/>
  <c r="K17" i="54"/>
  <c r="K21" i="54"/>
  <c r="K16" i="54"/>
  <c r="P110" i="63"/>
  <c r="P116" i="62"/>
  <c r="N109" i="63"/>
  <c r="Q108" i="63"/>
  <c r="N8" i="63"/>
  <c r="Q75" i="62"/>
  <c r="K26" i="52"/>
  <c r="O72" i="62"/>
  <c r="N9" i="62"/>
  <c r="Q68" i="63"/>
  <c r="K25" i="53"/>
  <c r="K25" i="54" s="1"/>
  <c r="M68" i="63"/>
  <c r="Q10" i="63"/>
  <c r="M41" i="63"/>
  <c r="M72" i="62"/>
  <c r="O35" i="63"/>
  <c r="M97" i="62"/>
  <c r="J11" i="54"/>
  <c r="M11" i="62"/>
  <c r="M15" i="62"/>
  <c r="M115" i="62"/>
  <c r="N11" i="62"/>
  <c r="O15" i="62"/>
  <c r="Q41" i="63"/>
  <c r="K18" i="53"/>
  <c r="C110" i="63"/>
  <c r="Q85" i="63"/>
  <c r="K31" i="53"/>
  <c r="Q72" i="63"/>
  <c r="K26" i="53"/>
  <c r="M10" i="63"/>
  <c r="K7" i="54"/>
  <c r="M72" i="63"/>
  <c r="M55" i="63"/>
  <c r="M75" i="62"/>
  <c r="N75" i="62"/>
  <c r="K19" i="54"/>
  <c r="J18" i="54"/>
  <c r="J31" i="54"/>
  <c r="M51" i="62"/>
  <c r="K8" i="54"/>
  <c r="J7" i="54"/>
  <c r="M105" i="63"/>
  <c r="O8" i="63"/>
  <c r="L110" i="63"/>
  <c r="D110" i="63"/>
  <c r="D37" i="58" s="1"/>
  <c r="N106" i="63"/>
  <c r="O109" i="63"/>
  <c r="J110" i="63"/>
  <c r="M109" i="63"/>
  <c r="M116" i="62"/>
  <c r="Q116" i="62"/>
  <c r="Q115" i="62"/>
  <c r="J116" i="62"/>
  <c r="J36" i="58" s="1"/>
  <c r="N116" i="62" l="1"/>
  <c r="I36" i="58"/>
  <c r="Q110" i="63"/>
  <c r="L37" i="58"/>
  <c r="O110" i="63"/>
  <c r="J37" i="58"/>
  <c r="L39" i="57"/>
  <c r="M110" i="63"/>
  <c r="N110" i="63"/>
  <c r="K31" i="54"/>
  <c r="K18" i="54"/>
  <c r="K26" i="54"/>
  <c r="O116" i="62"/>
  <c r="D7" i="54" l="1"/>
  <c r="D8" i="54"/>
  <c r="F8" i="52"/>
  <c r="D9" i="54"/>
  <c r="F9" i="52"/>
  <c r="D10" i="54"/>
  <c r="F10" i="52"/>
  <c r="D11" i="54"/>
  <c r="F11" i="52"/>
  <c r="D12" i="54"/>
  <c r="F12" i="52"/>
  <c r="D13" i="54"/>
  <c r="F13" i="52"/>
  <c r="D14" i="54"/>
  <c r="F14" i="52"/>
  <c r="D15" i="54"/>
  <c r="F15" i="52"/>
  <c r="D16" i="54"/>
  <c r="D17" i="54"/>
  <c r="F17" i="52"/>
  <c r="D18" i="54"/>
  <c r="F18" i="52"/>
  <c r="D19" i="54"/>
  <c r="F19" i="52"/>
  <c r="D20" i="54"/>
  <c r="F20" i="52"/>
  <c r="D21" i="54"/>
  <c r="F21" i="52"/>
  <c r="D22" i="54"/>
  <c r="F22" i="52"/>
  <c r="D23" i="54"/>
  <c r="F23" i="52"/>
  <c r="D24" i="54"/>
  <c r="F24" i="52"/>
  <c r="D26" i="54"/>
  <c r="F26" i="52"/>
  <c r="D27" i="54"/>
  <c r="F27" i="52"/>
  <c r="D29" i="54"/>
  <c r="F29" i="52"/>
  <c r="D30" i="54"/>
  <c r="F30" i="52"/>
  <c r="D31" i="54"/>
  <c r="F31" i="52"/>
  <c r="D32" i="54"/>
  <c r="F32" i="52"/>
  <c r="D33" i="54"/>
  <c r="F33" i="52"/>
  <c r="D34" i="54"/>
  <c r="F34" i="52"/>
  <c r="D35" i="54"/>
  <c r="F35" i="52"/>
  <c r="D36" i="54"/>
  <c r="F37" i="52"/>
  <c r="F38" i="55" s="1"/>
  <c r="D41" i="54"/>
  <c r="F41" i="52"/>
  <c r="E26" i="61"/>
  <c r="F35" i="58" s="1"/>
  <c r="F26" i="61"/>
  <c r="G35" i="58" s="1"/>
  <c r="K26" i="61"/>
  <c r="J26" i="61"/>
  <c r="K35" i="58" s="1"/>
  <c r="G75" i="60"/>
  <c r="G32" i="58" s="1"/>
  <c r="G34" i="58" s="1"/>
  <c r="L35" i="58" l="1"/>
  <c r="F41" i="54"/>
  <c r="F42" i="55"/>
  <c r="F29" i="54"/>
  <c r="F29" i="55"/>
  <c r="F12" i="54"/>
  <c r="F12" i="55"/>
  <c r="F35" i="54"/>
  <c r="F35" i="55"/>
  <c r="F33" i="54"/>
  <c r="F33" i="55"/>
  <c r="F31" i="54"/>
  <c r="F31" i="55"/>
  <c r="F26" i="54"/>
  <c r="F26" i="55"/>
  <c r="F23" i="54"/>
  <c r="F23" i="55"/>
  <c r="F21" i="54"/>
  <c r="F21" i="55"/>
  <c r="F19" i="54"/>
  <c r="F19" i="55"/>
  <c r="F13" i="54"/>
  <c r="F13" i="55"/>
  <c r="F11" i="54"/>
  <c r="F11" i="55"/>
  <c r="F9" i="54"/>
  <c r="F9" i="55"/>
  <c r="F36" i="54"/>
  <c r="F36" i="55"/>
  <c r="F36" i="57" s="1"/>
  <c r="F34" i="54"/>
  <c r="F34" i="55"/>
  <c r="F32" i="54"/>
  <c r="F32" i="55"/>
  <c r="F30" i="54"/>
  <c r="F30" i="55"/>
  <c r="F27" i="54"/>
  <c r="F27" i="55"/>
  <c r="F24" i="54"/>
  <c r="F24" i="55"/>
  <c r="F22" i="54"/>
  <c r="F22" i="55"/>
  <c r="F20" i="54"/>
  <c r="F20" i="55"/>
  <c r="F14" i="54"/>
  <c r="F14" i="55"/>
  <c r="F10" i="54"/>
  <c r="F10" i="55"/>
  <c r="F8" i="54"/>
  <c r="F8" i="55"/>
  <c r="F8" i="57" s="1"/>
  <c r="F17" i="54"/>
  <c r="F17" i="55"/>
  <c r="F15" i="54"/>
  <c r="F15" i="55"/>
  <c r="F18" i="54"/>
  <c r="F18" i="55"/>
  <c r="F16" i="54"/>
  <c r="F16" i="55"/>
  <c r="F37" i="54"/>
  <c r="D37" i="54"/>
  <c r="L80" i="59" l="1"/>
  <c r="L29" i="58" l="1"/>
  <c r="L31" i="58" s="1"/>
  <c r="L75" i="60"/>
  <c r="L32" i="58" s="1"/>
  <c r="L34" i="58" s="1"/>
  <c r="L77" i="60" l="1"/>
  <c r="G77" i="60"/>
  <c r="D74" i="60"/>
  <c r="E74" i="60"/>
  <c r="F74" i="60"/>
  <c r="G74" i="60"/>
  <c r="H74" i="60"/>
  <c r="I74" i="60"/>
  <c r="J74" i="60"/>
  <c r="K74" i="60"/>
  <c r="L74" i="60"/>
  <c r="D70" i="60"/>
  <c r="E70" i="60"/>
  <c r="F70" i="60"/>
  <c r="G70" i="60"/>
  <c r="H70" i="60"/>
  <c r="I70" i="60"/>
  <c r="J70" i="60"/>
  <c r="K70" i="60"/>
  <c r="L70" i="60"/>
  <c r="D66" i="60"/>
  <c r="E66" i="60"/>
  <c r="F66" i="60"/>
  <c r="G66" i="60"/>
  <c r="H66" i="60"/>
  <c r="I66" i="60"/>
  <c r="J66" i="60"/>
  <c r="K66" i="60"/>
  <c r="L66" i="60"/>
  <c r="D63" i="60"/>
  <c r="E63" i="60"/>
  <c r="F63" i="60"/>
  <c r="G63" i="60"/>
  <c r="I63" i="60"/>
  <c r="J63" i="60"/>
  <c r="K63" i="60"/>
  <c r="L63" i="60"/>
  <c r="D60" i="60"/>
  <c r="E60" i="60"/>
  <c r="F60" i="60"/>
  <c r="G60" i="60"/>
  <c r="H60" i="60"/>
  <c r="I60" i="60"/>
  <c r="J60" i="60"/>
  <c r="K60" i="60"/>
  <c r="L60" i="60"/>
  <c r="D57" i="60"/>
  <c r="E57" i="60"/>
  <c r="F57" i="60"/>
  <c r="G57" i="60"/>
  <c r="H57" i="60"/>
  <c r="I57" i="60"/>
  <c r="J57" i="60"/>
  <c r="K57" i="60"/>
  <c r="L57" i="60"/>
  <c r="D54" i="60"/>
  <c r="E54" i="60"/>
  <c r="F54" i="60"/>
  <c r="G54" i="60"/>
  <c r="H54" i="60"/>
  <c r="I54" i="60"/>
  <c r="J54" i="60"/>
  <c r="K54" i="60"/>
  <c r="L54" i="60"/>
  <c r="D51" i="60"/>
  <c r="E51" i="60"/>
  <c r="F51" i="60"/>
  <c r="G51" i="60"/>
  <c r="H51" i="60"/>
  <c r="I51" i="60"/>
  <c r="J51" i="60"/>
  <c r="K51" i="60"/>
  <c r="L51" i="60"/>
  <c r="D42" i="60"/>
  <c r="E42" i="60"/>
  <c r="F42" i="60"/>
  <c r="G42" i="60"/>
  <c r="I42" i="60"/>
  <c r="J42" i="60"/>
  <c r="K42" i="60"/>
  <c r="L42" i="60"/>
  <c r="D38" i="60"/>
  <c r="E38" i="60"/>
  <c r="F38" i="60"/>
  <c r="G38" i="60"/>
  <c r="H38" i="60"/>
  <c r="I38" i="60"/>
  <c r="J38" i="60"/>
  <c r="K38" i="60"/>
  <c r="L38" i="60"/>
  <c r="D32" i="60"/>
  <c r="E32" i="60"/>
  <c r="F32" i="60"/>
  <c r="G32" i="60"/>
  <c r="H32" i="60"/>
  <c r="I32" i="60"/>
  <c r="J32" i="60"/>
  <c r="K32" i="60"/>
  <c r="L32" i="60"/>
  <c r="D28" i="60"/>
  <c r="E28" i="60"/>
  <c r="F28" i="60"/>
  <c r="G28" i="60"/>
  <c r="H28" i="60"/>
  <c r="I28" i="60"/>
  <c r="J28" i="60"/>
  <c r="K28" i="60"/>
  <c r="L28" i="60"/>
  <c r="D22" i="60"/>
  <c r="E22" i="60"/>
  <c r="F22" i="60"/>
  <c r="G22" i="60"/>
  <c r="H22" i="60"/>
  <c r="I22" i="60"/>
  <c r="J22" i="60"/>
  <c r="K22" i="60"/>
  <c r="L22" i="60"/>
  <c r="D19" i="60"/>
  <c r="E19" i="60"/>
  <c r="F19" i="60"/>
  <c r="G19" i="60"/>
  <c r="H19" i="60"/>
  <c r="I19" i="60"/>
  <c r="J19" i="60"/>
  <c r="K19" i="60"/>
  <c r="L19" i="60"/>
  <c r="D16" i="60"/>
  <c r="E16" i="60"/>
  <c r="F16" i="60"/>
  <c r="G16" i="60"/>
  <c r="H16" i="60"/>
  <c r="I16" i="60"/>
  <c r="J16" i="60"/>
  <c r="K16" i="60"/>
  <c r="L16" i="60"/>
  <c r="D13" i="60"/>
  <c r="E13" i="60"/>
  <c r="F13" i="60"/>
  <c r="G13" i="60"/>
  <c r="I13" i="60"/>
  <c r="J13" i="60"/>
  <c r="K13" i="60"/>
  <c r="L13" i="60"/>
  <c r="D8" i="60"/>
  <c r="E8" i="60"/>
  <c r="F8" i="60"/>
  <c r="G8" i="60"/>
  <c r="H8" i="60"/>
  <c r="I8" i="60"/>
  <c r="J8" i="60"/>
  <c r="K8" i="60"/>
  <c r="L8" i="60"/>
  <c r="G43" i="29"/>
  <c r="G37" i="55" s="1"/>
  <c r="H43" i="29"/>
  <c r="H37" i="55" s="1"/>
  <c r="I43" i="29"/>
  <c r="I37" i="55" s="1"/>
  <c r="J43" i="29"/>
  <c r="J37" i="55" s="1"/>
  <c r="K43" i="29"/>
  <c r="K37" i="55" s="1"/>
  <c r="L82" i="59" l="1"/>
  <c r="D79" i="59"/>
  <c r="E79" i="59"/>
  <c r="F79" i="59"/>
  <c r="G79" i="59"/>
  <c r="I79" i="59"/>
  <c r="J79" i="59"/>
  <c r="K79" i="59"/>
  <c r="L79" i="59"/>
  <c r="D74" i="59"/>
  <c r="E74" i="59"/>
  <c r="F74" i="59"/>
  <c r="G74" i="59"/>
  <c r="H74" i="59"/>
  <c r="I74" i="59"/>
  <c r="J74" i="59"/>
  <c r="K74" i="59"/>
  <c r="L74" i="59"/>
  <c r="D71" i="59"/>
  <c r="E71" i="59"/>
  <c r="F71" i="59"/>
  <c r="G71" i="59"/>
  <c r="H71" i="59"/>
  <c r="I71" i="59"/>
  <c r="J71" i="59"/>
  <c r="K71" i="59"/>
  <c r="L71" i="59"/>
  <c r="D68" i="59"/>
  <c r="E68" i="59"/>
  <c r="F68" i="59"/>
  <c r="G68" i="59"/>
  <c r="H68" i="59"/>
  <c r="I68" i="59"/>
  <c r="J68" i="59"/>
  <c r="K68" i="59"/>
  <c r="L68" i="59"/>
  <c r="D65" i="59"/>
  <c r="E65" i="59"/>
  <c r="F65" i="59"/>
  <c r="G65" i="59"/>
  <c r="H65" i="59"/>
  <c r="I65" i="59"/>
  <c r="J65" i="59"/>
  <c r="K65" i="59"/>
  <c r="L65" i="59"/>
  <c r="D62" i="59"/>
  <c r="E62" i="59"/>
  <c r="F62" i="59"/>
  <c r="G62" i="59"/>
  <c r="I62" i="59"/>
  <c r="J62" i="59"/>
  <c r="K62" i="59"/>
  <c r="L62" i="59"/>
  <c r="D59" i="59"/>
  <c r="E59" i="59"/>
  <c r="F59" i="59"/>
  <c r="G59" i="59"/>
  <c r="H59" i="59"/>
  <c r="I59" i="59"/>
  <c r="J59" i="59"/>
  <c r="K59" i="59"/>
  <c r="L59" i="59"/>
  <c r="D56" i="59"/>
  <c r="E56" i="59"/>
  <c r="F56" i="59"/>
  <c r="G56" i="59"/>
  <c r="H56" i="59"/>
  <c r="I56" i="59"/>
  <c r="J56" i="59"/>
  <c r="K56" i="59"/>
  <c r="L56" i="59"/>
  <c r="D52" i="59"/>
  <c r="C28" i="54" s="1"/>
  <c r="E52" i="59"/>
  <c r="D28" i="54" s="1"/>
  <c r="F52" i="59"/>
  <c r="G52" i="59"/>
  <c r="F28" i="54" s="1"/>
  <c r="H52" i="59"/>
  <c r="I52" i="59"/>
  <c r="J52" i="59"/>
  <c r="K52" i="59"/>
  <c r="L52" i="59"/>
  <c r="D42" i="59"/>
  <c r="E42" i="59"/>
  <c r="F42" i="59"/>
  <c r="G42" i="59"/>
  <c r="I42" i="59"/>
  <c r="J42" i="59"/>
  <c r="K42" i="59"/>
  <c r="D39" i="59"/>
  <c r="E39" i="59"/>
  <c r="F39" i="59"/>
  <c r="G39" i="59"/>
  <c r="H39" i="59"/>
  <c r="I39" i="59"/>
  <c r="J39" i="59"/>
  <c r="K39" i="59"/>
  <c r="L39" i="59"/>
  <c r="D36" i="59"/>
  <c r="E36" i="59"/>
  <c r="F36" i="59"/>
  <c r="G36" i="59"/>
  <c r="H36" i="59"/>
  <c r="I36" i="59"/>
  <c r="J36" i="59"/>
  <c r="K36" i="59"/>
  <c r="L36" i="59"/>
  <c r="D33" i="59"/>
  <c r="E33" i="59"/>
  <c r="F33" i="59"/>
  <c r="G33" i="59"/>
  <c r="H33" i="59"/>
  <c r="I33" i="59"/>
  <c r="J33" i="59"/>
  <c r="K33" i="59"/>
  <c r="L33" i="59"/>
  <c r="D30" i="59"/>
  <c r="E30" i="59"/>
  <c r="F30" i="59"/>
  <c r="G30" i="59"/>
  <c r="H30" i="59"/>
  <c r="I30" i="59"/>
  <c r="J30" i="59"/>
  <c r="K30" i="59"/>
  <c r="D26" i="59"/>
  <c r="E26" i="59"/>
  <c r="F26" i="59"/>
  <c r="G26" i="59"/>
  <c r="H26" i="59"/>
  <c r="I26" i="59"/>
  <c r="J26" i="59"/>
  <c r="K26" i="59"/>
  <c r="D19" i="59"/>
  <c r="E19" i="59"/>
  <c r="F19" i="59"/>
  <c r="G19" i="59"/>
  <c r="H19" i="59"/>
  <c r="I19" i="59"/>
  <c r="J19" i="59"/>
  <c r="K19" i="59"/>
  <c r="D16" i="59"/>
  <c r="E16" i="59"/>
  <c r="F16" i="59"/>
  <c r="G16" i="59"/>
  <c r="H16" i="59"/>
  <c r="I16" i="59"/>
  <c r="J16" i="59"/>
  <c r="K16" i="59"/>
  <c r="D11" i="59"/>
  <c r="E11" i="59"/>
  <c r="F11" i="59"/>
  <c r="G11" i="59"/>
  <c r="H11" i="59"/>
  <c r="I11" i="59"/>
  <c r="J11" i="59"/>
  <c r="K11" i="59"/>
  <c r="D8" i="59"/>
  <c r="E8" i="59"/>
  <c r="F8" i="59"/>
  <c r="G8" i="59"/>
  <c r="H8" i="59"/>
  <c r="I8" i="59"/>
  <c r="J8" i="59"/>
  <c r="K8" i="59"/>
  <c r="D35" i="42"/>
  <c r="E28" i="58" s="1"/>
  <c r="E35" i="42"/>
  <c r="F28" i="58" s="1"/>
  <c r="F39" i="58" s="1"/>
  <c r="F35" i="42"/>
  <c r="G35" i="42"/>
  <c r="H35" i="42"/>
  <c r="I35" i="42"/>
  <c r="J35" i="42"/>
  <c r="K28" i="58" s="1"/>
  <c r="K39" i="58" s="1"/>
  <c r="K35" i="42"/>
  <c r="B35" i="42"/>
  <c r="D37" i="7"/>
  <c r="E27" i="58" s="1"/>
  <c r="E38" i="58" s="1"/>
  <c r="E37" i="7"/>
  <c r="F37" i="7"/>
  <c r="G37" i="7"/>
  <c r="H27" i="58" s="1"/>
  <c r="H37" i="7"/>
  <c r="I27" i="58" s="1"/>
  <c r="I38" i="58" s="1"/>
  <c r="I37" i="7"/>
  <c r="J37" i="7"/>
  <c r="K37" i="7"/>
  <c r="L27" i="58" s="1"/>
  <c r="L38" i="58" s="1"/>
  <c r="B37" i="7"/>
  <c r="D35" i="16"/>
  <c r="E35" i="16"/>
  <c r="B35" i="16"/>
  <c r="C28" i="1"/>
  <c r="D18" i="58" s="1"/>
  <c r="D28" i="1"/>
  <c r="E18" i="58" s="1"/>
  <c r="I28" i="1"/>
  <c r="J28" i="1"/>
  <c r="D90" i="11"/>
  <c r="D15" i="58" s="1"/>
  <c r="E90" i="11"/>
  <c r="E15" i="58" s="1"/>
  <c r="F90" i="11"/>
  <c r="F15" i="58" s="1"/>
  <c r="G90" i="11"/>
  <c r="G15" i="58" s="1"/>
  <c r="H90" i="11"/>
  <c r="I90" i="11"/>
  <c r="J90" i="11"/>
  <c r="K90" i="11"/>
  <c r="L90" i="11"/>
  <c r="L15" i="58" s="1"/>
  <c r="C90" i="11"/>
  <c r="D91" i="11"/>
  <c r="E91" i="11"/>
  <c r="F91" i="11"/>
  <c r="G91" i="11"/>
  <c r="G16" i="58" s="1"/>
  <c r="H91" i="11"/>
  <c r="I91" i="11"/>
  <c r="I16" i="58" s="1"/>
  <c r="J91" i="11"/>
  <c r="J16" i="58" s="1"/>
  <c r="K91" i="11"/>
  <c r="L91" i="11"/>
  <c r="L16" i="58" s="1"/>
  <c r="L17" i="58" s="1"/>
  <c r="E85" i="11"/>
  <c r="F85" i="11"/>
  <c r="G85" i="11"/>
  <c r="H85" i="11"/>
  <c r="I85" i="11"/>
  <c r="J85" i="11"/>
  <c r="K85" i="11"/>
  <c r="L85" i="11"/>
  <c r="C85" i="11"/>
  <c r="E81" i="11"/>
  <c r="F81" i="11"/>
  <c r="G81" i="11"/>
  <c r="H81" i="11"/>
  <c r="I81" i="11"/>
  <c r="J81" i="11"/>
  <c r="K81" i="11"/>
  <c r="L81" i="11"/>
  <c r="C81" i="11"/>
  <c r="E78" i="11"/>
  <c r="F78" i="11"/>
  <c r="G78" i="11"/>
  <c r="H78" i="11"/>
  <c r="I78" i="11"/>
  <c r="J78" i="11"/>
  <c r="K78" i="11"/>
  <c r="L78" i="11"/>
  <c r="C78" i="11"/>
  <c r="E75" i="11"/>
  <c r="F75" i="11"/>
  <c r="G75" i="11"/>
  <c r="H75" i="11"/>
  <c r="I75" i="11"/>
  <c r="J75" i="11"/>
  <c r="K75" i="11"/>
  <c r="L75" i="11"/>
  <c r="C75" i="11"/>
  <c r="E72" i="11"/>
  <c r="F72" i="11"/>
  <c r="G72" i="11"/>
  <c r="H72" i="11"/>
  <c r="I72" i="11"/>
  <c r="J72" i="11"/>
  <c r="K72" i="11"/>
  <c r="L72" i="11"/>
  <c r="C72" i="11"/>
  <c r="E69" i="11"/>
  <c r="F69" i="11"/>
  <c r="G69" i="11"/>
  <c r="H69" i="11"/>
  <c r="I69" i="11"/>
  <c r="J69" i="11"/>
  <c r="K69" i="11"/>
  <c r="L69" i="11"/>
  <c r="C69" i="11"/>
  <c r="E66" i="11"/>
  <c r="F66" i="11"/>
  <c r="G66" i="11"/>
  <c r="H66" i="11"/>
  <c r="I66" i="11"/>
  <c r="J66" i="11"/>
  <c r="K66" i="11"/>
  <c r="L66" i="11"/>
  <c r="C66" i="11"/>
  <c r="E62" i="11"/>
  <c r="F62" i="11"/>
  <c r="G62" i="11"/>
  <c r="H62" i="11"/>
  <c r="I62" i="11"/>
  <c r="J62" i="11"/>
  <c r="K62" i="11"/>
  <c r="L62" i="11"/>
  <c r="C62" i="11"/>
  <c r="E58" i="11"/>
  <c r="F58" i="11"/>
  <c r="G58" i="11"/>
  <c r="H58" i="11"/>
  <c r="I58" i="11"/>
  <c r="J58" i="11"/>
  <c r="K58" i="11"/>
  <c r="L58" i="11"/>
  <c r="C58" i="11"/>
  <c r="L55" i="11"/>
  <c r="H55" i="11"/>
  <c r="I55" i="11"/>
  <c r="J55" i="11"/>
  <c r="K55" i="11"/>
  <c r="E55" i="11"/>
  <c r="F55" i="11"/>
  <c r="G55" i="11"/>
  <c r="E52" i="11"/>
  <c r="F52" i="11"/>
  <c r="G52" i="11"/>
  <c r="H52" i="11"/>
  <c r="I52" i="11"/>
  <c r="J52" i="11"/>
  <c r="K52" i="11"/>
  <c r="L52" i="11"/>
  <c r="C52" i="11"/>
  <c r="E42" i="11"/>
  <c r="F42" i="11"/>
  <c r="G42" i="11"/>
  <c r="H42" i="11"/>
  <c r="I42" i="11"/>
  <c r="J42" i="11"/>
  <c r="K42" i="11"/>
  <c r="L42" i="11"/>
  <c r="C42" i="11"/>
  <c r="E39" i="11"/>
  <c r="F39" i="11"/>
  <c r="G39" i="11"/>
  <c r="H39" i="11"/>
  <c r="I39" i="11"/>
  <c r="J39" i="11"/>
  <c r="K39" i="11"/>
  <c r="L39" i="11"/>
  <c r="C39" i="11"/>
  <c r="E36" i="11"/>
  <c r="F36" i="11"/>
  <c r="G36" i="11"/>
  <c r="H36" i="11"/>
  <c r="I36" i="11"/>
  <c r="J36" i="11"/>
  <c r="K36" i="11"/>
  <c r="L36" i="11"/>
  <c r="C36" i="11"/>
  <c r="E33" i="11"/>
  <c r="F33" i="11"/>
  <c r="G33" i="11"/>
  <c r="H33" i="11"/>
  <c r="I33" i="11"/>
  <c r="J33" i="11"/>
  <c r="K33" i="11"/>
  <c r="L33" i="11"/>
  <c r="C33" i="11"/>
  <c r="E30" i="11"/>
  <c r="F30" i="11"/>
  <c r="G30" i="11"/>
  <c r="H30" i="11"/>
  <c r="I30" i="11"/>
  <c r="J30" i="11"/>
  <c r="K30" i="11"/>
  <c r="L30" i="11"/>
  <c r="C30" i="11"/>
  <c r="E27" i="11"/>
  <c r="F27" i="11"/>
  <c r="G27" i="11"/>
  <c r="H27" i="11"/>
  <c r="I27" i="11"/>
  <c r="J27" i="11"/>
  <c r="K27" i="11"/>
  <c r="L27" i="11"/>
  <c r="C27" i="11"/>
  <c r="E21" i="11"/>
  <c r="F21" i="11"/>
  <c r="G21" i="11"/>
  <c r="H21" i="11"/>
  <c r="I21" i="11"/>
  <c r="J21" i="11"/>
  <c r="K21" i="11"/>
  <c r="L21" i="11"/>
  <c r="C21" i="11"/>
  <c r="D16" i="11"/>
  <c r="E16" i="11"/>
  <c r="F16" i="11"/>
  <c r="G16" i="11"/>
  <c r="H16" i="11"/>
  <c r="I16" i="11"/>
  <c r="J16" i="11"/>
  <c r="K16" i="11"/>
  <c r="L16" i="11"/>
  <c r="E12" i="11"/>
  <c r="F12" i="11"/>
  <c r="G12" i="11"/>
  <c r="H12" i="11"/>
  <c r="I12" i="11"/>
  <c r="J12" i="11"/>
  <c r="K12" i="11"/>
  <c r="L12" i="11"/>
  <c r="C12" i="11"/>
  <c r="E9" i="11"/>
  <c r="F9" i="11"/>
  <c r="G9" i="11"/>
  <c r="H9" i="11"/>
  <c r="I9" i="11"/>
  <c r="J9" i="11"/>
  <c r="K9" i="11"/>
  <c r="L9" i="11"/>
  <c r="C9" i="11"/>
  <c r="D9" i="11"/>
  <c r="E98" i="45"/>
  <c r="F98" i="45"/>
  <c r="G98" i="45"/>
  <c r="H98" i="45"/>
  <c r="I98" i="45"/>
  <c r="J98" i="45"/>
  <c r="K98" i="45"/>
  <c r="L98" i="45"/>
  <c r="C98" i="45"/>
  <c r="E91" i="45"/>
  <c r="F91" i="45"/>
  <c r="G91" i="45"/>
  <c r="H91" i="45"/>
  <c r="I91" i="45"/>
  <c r="J91" i="45"/>
  <c r="K91" i="45"/>
  <c r="L91" i="45"/>
  <c r="C91" i="45"/>
  <c r="E86" i="45"/>
  <c r="F86" i="45"/>
  <c r="G86" i="45"/>
  <c r="H86" i="45"/>
  <c r="I86" i="45"/>
  <c r="J86" i="45"/>
  <c r="K86" i="45"/>
  <c r="L86" i="45"/>
  <c r="C86" i="45"/>
  <c r="E83" i="45"/>
  <c r="F83" i="45"/>
  <c r="G83" i="45"/>
  <c r="H83" i="45"/>
  <c r="I83" i="45"/>
  <c r="J83" i="45"/>
  <c r="K83" i="45"/>
  <c r="L83" i="45"/>
  <c r="C83" i="45"/>
  <c r="E80" i="45"/>
  <c r="F80" i="45"/>
  <c r="G80" i="45"/>
  <c r="H80" i="45"/>
  <c r="I80" i="45"/>
  <c r="J80" i="45"/>
  <c r="K80" i="45"/>
  <c r="L80" i="45"/>
  <c r="C80" i="45"/>
  <c r="E77" i="45"/>
  <c r="F77" i="45"/>
  <c r="G77" i="45"/>
  <c r="H77" i="45"/>
  <c r="I77" i="45"/>
  <c r="J77" i="45"/>
  <c r="K77" i="45"/>
  <c r="L77" i="45"/>
  <c r="C77" i="45"/>
  <c r="E74" i="45"/>
  <c r="F74" i="45"/>
  <c r="G74" i="45"/>
  <c r="H74" i="45"/>
  <c r="I74" i="45"/>
  <c r="J74" i="45"/>
  <c r="K74" i="45"/>
  <c r="L74" i="45"/>
  <c r="C74" i="45"/>
  <c r="E71" i="45"/>
  <c r="F71" i="45"/>
  <c r="G71" i="45"/>
  <c r="H71" i="45"/>
  <c r="I71" i="45"/>
  <c r="J71" i="45"/>
  <c r="K71" i="45"/>
  <c r="L71" i="45"/>
  <c r="C71" i="45"/>
  <c r="E65" i="45"/>
  <c r="F65" i="45"/>
  <c r="G65" i="45"/>
  <c r="H65" i="45"/>
  <c r="I65" i="45"/>
  <c r="J65" i="45"/>
  <c r="K65" i="45"/>
  <c r="L65" i="45"/>
  <c r="C65" i="45"/>
  <c r="E56" i="45"/>
  <c r="F56" i="45"/>
  <c r="G56" i="45"/>
  <c r="H56" i="45"/>
  <c r="I56" i="45"/>
  <c r="J56" i="45"/>
  <c r="K56" i="45"/>
  <c r="L56" i="45"/>
  <c r="C56" i="45"/>
  <c r="E53" i="45"/>
  <c r="F53" i="45"/>
  <c r="G53" i="45"/>
  <c r="H53" i="45"/>
  <c r="I53" i="45"/>
  <c r="J53" i="45"/>
  <c r="K53" i="45"/>
  <c r="L53" i="45"/>
  <c r="C53" i="45"/>
  <c r="E50" i="45"/>
  <c r="F50" i="45"/>
  <c r="G50" i="45"/>
  <c r="H50" i="45"/>
  <c r="I50" i="45"/>
  <c r="J50" i="45"/>
  <c r="K50" i="45"/>
  <c r="L50" i="45"/>
  <c r="C50" i="45"/>
  <c r="E47" i="45"/>
  <c r="F47" i="45"/>
  <c r="G47" i="45"/>
  <c r="H47" i="45"/>
  <c r="I47" i="45"/>
  <c r="J47" i="45"/>
  <c r="K47" i="45"/>
  <c r="L47" i="45"/>
  <c r="C47" i="45"/>
  <c r="E44" i="45"/>
  <c r="F44" i="45"/>
  <c r="G44" i="45"/>
  <c r="H44" i="45"/>
  <c r="I44" i="45"/>
  <c r="J44" i="45"/>
  <c r="K44" i="45"/>
  <c r="L44" i="45"/>
  <c r="C44" i="45"/>
  <c r="E41" i="45"/>
  <c r="F41" i="45"/>
  <c r="G41" i="45"/>
  <c r="H41" i="45"/>
  <c r="I41" i="45"/>
  <c r="J41" i="45"/>
  <c r="K41" i="45"/>
  <c r="L41" i="45"/>
  <c r="C41" i="45"/>
  <c r="E38" i="45"/>
  <c r="F38" i="45"/>
  <c r="G38" i="45"/>
  <c r="H38" i="45"/>
  <c r="I38" i="45"/>
  <c r="J38" i="45"/>
  <c r="K38" i="45"/>
  <c r="L38" i="45"/>
  <c r="C38" i="45"/>
  <c r="E35" i="45"/>
  <c r="F35" i="45"/>
  <c r="G35" i="45"/>
  <c r="H35" i="45"/>
  <c r="I35" i="45"/>
  <c r="J35" i="45"/>
  <c r="K35" i="45"/>
  <c r="L35" i="45"/>
  <c r="C35" i="45"/>
  <c r="H32" i="45"/>
  <c r="I32" i="45"/>
  <c r="J32" i="45"/>
  <c r="K32" i="45"/>
  <c r="L32" i="45"/>
  <c r="D32" i="45"/>
  <c r="E32" i="45"/>
  <c r="F32" i="45"/>
  <c r="G32" i="45"/>
  <c r="C32" i="45"/>
  <c r="E24" i="45"/>
  <c r="F24" i="45"/>
  <c r="G24" i="45"/>
  <c r="H24" i="45"/>
  <c r="I24" i="45"/>
  <c r="J24" i="45"/>
  <c r="K24" i="45"/>
  <c r="L24" i="45"/>
  <c r="C24" i="45"/>
  <c r="E21" i="45"/>
  <c r="F21" i="45"/>
  <c r="G21" i="45"/>
  <c r="H21" i="45"/>
  <c r="I21" i="45"/>
  <c r="J21" i="45"/>
  <c r="K21" i="45"/>
  <c r="L21" i="45"/>
  <c r="C21" i="45"/>
  <c r="D17" i="45"/>
  <c r="E17" i="45"/>
  <c r="F17" i="45"/>
  <c r="G17" i="45"/>
  <c r="H17" i="45"/>
  <c r="I17" i="45"/>
  <c r="J17" i="45"/>
  <c r="K17" i="45"/>
  <c r="L17" i="45"/>
  <c r="C17" i="45"/>
  <c r="D14" i="45"/>
  <c r="E14" i="45"/>
  <c r="F14" i="45"/>
  <c r="G14" i="45"/>
  <c r="H14" i="45"/>
  <c r="I14" i="45"/>
  <c r="J14" i="45"/>
  <c r="K14" i="45"/>
  <c r="L14" i="45"/>
  <c r="C14" i="45"/>
  <c r="D11" i="45"/>
  <c r="E11" i="45"/>
  <c r="F11" i="45"/>
  <c r="G11" i="45"/>
  <c r="H11" i="45"/>
  <c r="I11" i="45"/>
  <c r="J11" i="45"/>
  <c r="K11" i="45"/>
  <c r="L11" i="45"/>
  <c r="D8" i="45"/>
  <c r="E8" i="45"/>
  <c r="F8" i="45"/>
  <c r="G8" i="45"/>
  <c r="H8" i="45"/>
  <c r="I8" i="45"/>
  <c r="J8" i="45"/>
  <c r="K8" i="45"/>
  <c r="L8" i="45"/>
  <c r="D100" i="45"/>
  <c r="E100" i="45"/>
  <c r="F100" i="45"/>
  <c r="G100" i="45"/>
  <c r="H100" i="45"/>
  <c r="I100" i="45"/>
  <c r="J100" i="45"/>
  <c r="K100" i="45"/>
  <c r="L100" i="45"/>
  <c r="Q11" i="58"/>
  <c r="Q12" i="58"/>
  <c r="Q13" i="58"/>
  <c r="Q14" i="58"/>
  <c r="Q15" i="58"/>
  <c r="Q18" i="58"/>
  <c r="Q19" i="58"/>
  <c r="Q20" i="58"/>
  <c r="Q29" i="58"/>
  <c r="Q30" i="58"/>
  <c r="Q31" i="58"/>
  <c r="Q32" i="58"/>
  <c r="Q33" i="58"/>
  <c r="Q34" i="58"/>
  <c r="Q35" i="58"/>
  <c r="Q36" i="58"/>
  <c r="Q37" i="58"/>
  <c r="Q7" i="58"/>
  <c r="P41" i="57"/>
  <c r="O36" i="56"/>
  <c r="P36" i="56"/>
  <c r="O41" i="56"/>
  <c r="P41" i="56"/>
  <c r="P15" i="55"/>
  <c r="P37" i="55"/>
  <c r="P40" i="55"/>
  <c r="O8" i="54"/>
  <c r="P8" i="54"/>
  <c r="O9" i="54"/>
  <c r="P9" i="54"/>
  <c r="O10" i="54"/>
  <c r="P10" i="54"/>
  <c r="O11" i="54"/>
  <c r="P11" i="54"/>
  <c r="O12" i="54"/>
  <c r="P12" i="54"/>
  <c r="O13" i="54"/>
  <c r="P13" i="54"/>
  <c r="O14" i="54"/>
  <c r="P14" i="54"/>
  <c r="O15" i="54"/>
  <c r="P15" i="54"/>
  <c r="O16" i="54"/>
  <c r="P16" i="54"/>
  <c r="O17" i="54"/>
  <c r="P17" i="54"/>
  <c r="O18" i="54"/>
  <c r="P18" i="54"/>
  <c r="O19" i="54"/>
  <c r="P19" i="54"/>
  <c r="O20" i="54"/>
  <c r="P20" i="54"/>
  <c r="O21" i="54"/>
  <c r="P21" i="54"/>
  <c r="O22" i="54"/>
  <c r="P22" i="54"/>
  <c r="O23" i="54"/>
  <c r="P23" i="54"/>
  <c r="O24" i="54"/>
  <c r="P24" i="54"/>
  <c r="O25" i="54"/>
  <c r="P25" i="54"/>
  <c r="O26" i="54"/>
  <c r="P26" i="54"/>
  <c r="O27" i="54"/>
  <c r="P27" i="54"/>
  <c r="O29" i="54"/>
  <c r="P29" i="54"/>
  <c r="O30" i="54"/>
  <c r="P30" i="54"/>
  <c r="O31" i="54"/>
  <c r="P31" i="54"/>
  <c r="O32" i="54"/>
  <c r="P32" i="54"/>
  <c r="O33" i="54"/>
  <c r="P33" i="54"/>
  <c r="O34" i="54"/>
  <c r="P34" i="54"/>
  <c r="O35" i="54"/>
  <c r="P35" i="54"/>
  <c r="O36" i="54"/>
  <c r="P36" i="54"/>
  <c r="O37" i="54"/>
  <c r="P37" i="54"/>
  <c r="O38" i="54"/>
  <c r="P38" i="54"/>
  <c r="O39" i="54"/>
  <c r="P39" i="54"/>
  <c r="O41" i="54"/>
  <c r="P41" i="54"/>
  <c r="O7" i="54"/>
  <c r="P7" i="54"/>
  <c r="O8" i="53"/>
  <c r="P8" i="53"/>
  <c r="O9" i="53"/>
  <c r="P9" i="53"/>
  <c r="O10" i="53"/>
  <c r="P10" i="53"/>
  <c r="O11" i="53"/>
  <c r="P11" i="53"/>
  <c r="O12" i="53"/>
  <c r="P12" i="53"/>
  <c r="O13" i="53"/>
  <c r="P13" i="53"/>
  <c r="O14" i="53"/>
  <c r="P14" i="53"/>
  <c r="O15" i="53"/>
  <c r="P15" i="53"/>
  <c r="O16" i="53"/>
  <c r="P16" i="53"/>
  <c r="O17" i="53"/>
  <c r="P17" i="53"/>
  <c r="O18" i="53"/>
  <c r="P18" i="53"/>
  <c r="O19" i="53"/>
  <c r="P19" i="53"/>
  <c r="O20" i="53"/>
  <c r="P20" i="53"/>
  <c r="O21" i="53"/>
  <c r="P21" i="53"/>
  <c r="O22" i="53"/>
  <c r="P22" i="53"/>
  <c r="O23" i="53"/>
  <c r="P23" i="53"/>
  <c r="O24" i="53"/>
  <c r="P24" i="53"/>
  <c r="O25" i="53"/>
  <c r="P25" i="53"/>
  <c r="O26" i="53"/>
  <c r="P26" i="53"/>
  <c r="O27" i="53"/>
  <c r="P27" i="53"/>
  <c r="P28" i="53"/>
  <c r="O29" i="53"/>
  <c r="P29" i="53"/>
  <c r="O30" i="53"/>
  <c r="P30" i="53"/>
  <c r="O31" i="53"/>
  <c r="P31" i="53"/>
  <c r="O32" i="53"/>
  <c r="P32" i="53"/>
  <c r="O33" i="53"/>
  <c r="P33" i="53"/>
  <c r="O34" i="53"/>
  <c r="P34" i="53"/>
  <c r="O35" i="53"/>
  <c r="P35" i="53"/>
  <c r="O36" i="53"/>
  <c r="P36" i="53"/>
  <c r="O37" i="53"/>
  <c r="P37" i="53"/>
  <c r="O38" i="53"/>
  <c r="P38" i="53"/>
  <c r="O39" i="53"/>
  <c r="P39" i="53"/>
  <c r="O40" i="53"/>
  <c r="P40" i="53"/>
  <c r="O7" i="53"/>
  <c r="P7" i="53"/>
  <c r="N8" i="52"/>
  <c r="O8" i="52"/>
  <c r="P8" i="52"/>
  <c r="N9" i="52"/>
  <c r="O9" i="52"/>
  <c r="P9" i="52"/>
  <c r="N10" i="52"/>
  <c r="O10" i="52"/>
  <c r="P10" i="52"/>
  <c r="N11" i="52"/>
  <c r="O11" i="52"/>
  <c r="P11" i="52"/>
  <c r="N12" i="52"/>
  <c r="O12" i="52"/>
  <c r="P12" i="52"/>
  <c r="N13" i="52"/>
  <c r="O13" i="52"/>
  <c r="P13" i="52"/>
  <c r="N14" i="52"/>
  <c r="O14" i="52"/>
  <c r="P14" i="52"/>
  <c r="N15" i="52"/>
  <c r="O15" i="52"/>
  <c r="P15" i="52"/>
  <c r="N16" i="52"/>
  <c r="O16" i="52"/>
  <c r="P16" i="52"/>
  <c r="N17" i="52"/>
  <c r="O17" i="52"/>
  <c r="P17" i="52"/>
  <c r="N18" i="52"/>
  <c r="O18" i="52"/>
  <c r="P18" i="52"/>
  <c r="N19" i="52"/>
  <c r="O19" i="52"/>
  <c r="P19" i="52"/>
  <c r="N20" i="52"/>
  <c r="O20" i="52"/>
  <c r="P20" i="52"/>
  <c r="N21" i="52"/>
  <c r="O21" i="52"/>
  <c r="P21" i="52"/>
  <c r="P22" i="52"/>
  <c r="N23" i="52"/>
  <c r="O23" i="52"/>
  <c r="P23" i="52"/>
  <c r="N24" i="52"/>
  <c r="O24" i="52"/>
  <c r="P24" i="52"/>
  <c r="N25" i="52"/>
  <c r="O25" i="52"/>
  <c r="P25" i="52"/>
  <c r="N26" i="52"/>
  <c r="O26" i="52"/>
  <c r="P26" i="52"/>
  <c r="N27" i="52"/>
  <c r="O27" i="52"/>
  <c r="P27" i="52"/>
  <c r="N28" i="52"/>
  <c r="O28" i="52"/>
  <c r="P28" i="52"/>
  <c r="N29" i="52"/>
  <c r="O29" i="52"/>
  <c r="P29" i="52"/>
  <c r="N30" i="52"/>
  <c r="O30" i="52"/>
  <c r="P30" i="52"/>
  <c r="N31" i="52"/>
  <c r="O31" i="52"/>
  <c r="P31" i="52"/>
  <c r="N32" i="52"/>
  <c r="O32" i="52"/>
  <c r="P32" i="52"/>
  <c r="N33" i="52"/>
  <c r="O33" i="52"/>
  <c r="P33" i="52"/>
  <c r="N34" i="52"/>
  <c r="O34" i="52"/>
  <c r="P34" i="52"/>
  <c r="N35" i="52"/>
  <c r="O35" i="52"/>
  <c r="P35" i="52"/>
  <c r="N36" i="52"/>
  <c r="O36" i="52"/>
  <c r="P36" i="52"/>
  <c r="N37" i="52"/>
  <c r="O37" i="52"/>
  <c r="P37" i="52"/>
  <c r="L38" i="52"/>
  <c r="M38" i="52"/>
  <c r="N38" i="52"/>
  <c r="O38" i="52"/>
  <c r="P38" i="52"/>
  <c r="N40" i="52"/>
  <c r="O40" i="52"/>
  <c r="P40" i="52"/>
  <c r="N41" i="52"/>
  <c r="O41" i="52"/>
  <c r="P41" i="52"/>
  <c r="N7" i="52"/>
  <c r="O7" i="52"/>
  <c r="P7" i="52"/>
  <c r="Q16" i="58" l="1"/>
  <c r="L28" i="58"/>
  <c r="H28" i="58"/>
  <c r="I28" i="58"/>
  <c r="J28" i="58"/>
  <c r="F41" i="53"/>
  <c r="G28" i="58"/>
  <c r="G39" i="58" s="1"/>
  <c r="J42" i="52"/>
  <c r="K27" i="58"/>
  <c r="K38" i="58" s="1"/>
  <c r="K40" i="58" s="1"/>
  <c r="F42" i="52"/>
  <c r="G27" i="58"/>
  <c r="I42" i="52"/>
  <c r="J27" i="58"/>
  <c r="J38" i="58" s="1"/>
  <c r="E42" i="52"/>
  <c r="F27" i="58"/>
  <c r="F38" i="58" s="1"/>
  <c r="F40" i="58" s="1"/>
  <c r="F19" i="58"/>
  <c r="E19" i="58"/>
  <c r="J18" i="58"/>
  <c r="K18" i="58"/>
  <c r="H16" i="58"/>
  <c r="D92" i="11"/>
  <c r="D16" i="58"/>
  <c r="J15" i="58"/>
  <c r="J17" i="58" s="1"/>
  <c r="E92" i="11"/>
  <c r="E16" i="58"/>
  <c r="E17" i="58" s="1"/>
  <c r="K15" i="58"/>
  <c r="G17" i="58"/>
  <c r="Q17" i="58" s="1"/>
  <c r="F92" i="11"/>
  <c r="F16" i="58"/>
  <c r="F17" i="58" s="1"/>
  <c r="H15" i="58"/>
  <c r="D17" i="58"/>
  <c r="K16" i="58"/>
  <c r="K8" i="58"/>
  <c r="K9" i="58" s="1"/>
  <c r="G8" i="58"/>
  <c r="G9" i="58" s="1"/>
  <c r="L8" i="58"/>
  <c r="H8" i="58"/>
  <c r="H9" i="58" s="1"/>
  <c r="D8" i="58"/>
  <c r="D9" i="58" s="1"/>
  <c r="I8" i="58"/>
  <c r="I9" i="58" s="1"/>
  <c r="E8" i="58"/>
  <c r="E9" i="58" s="1"/>
  <c r="J8" i="58"/>
  <c r="J9" i="58" s="1"/>
  <c r="F8" i="58"/>
  <c r="F9" i="58" s="1"/>
  <c r="I15" i="58"/>
  <c r="I17" i="58" s="1"/>
  <c r="I92" i="11"/>
  <c r="K37" i="28"/>
  <c r="J92" i="11"/>
  <c r="K44" i="40"/>
  <c r="E28" i="54"/>
  <c r="O28" i="54" s="1"/>
  <c r="K41" i="53"/>
  <c r="F37" i="28"/>
  <c r="F44" i="40"/>
  <c r="G21" i="58" s="1"/>
  <c r="J41" i="53"/>
  <c r="E41" i="53"/>
  <c r="P28" i="54"/>
  <c r="K101" i="45"/>
  <c r="F101" i="45"/>
  <c r="G92" i="11"/>
  <c r="H92" i="11"/>
  <c r="H42" i="52"/>
  <c r="D42" i="52"/>
  <c r="K42" i="52"/>
  <c r="P37" i="7"/>
  <c r="D101" i="45"/>
  <c r="I101" i="45"/>
  <c r="L92" i="11"/>
  <c r="L101" i="45"/>
  <c r="J101" i="45"/>
  <c r="H101" i="45"/>
  <c r="E101" i="45"/>
  <c r="G101" i="45"/>
  <c r="K92" i="11"/>
  <c r="L6" i="61"/>
  <c r="M6" i="61"/>
  <c r="N6" i="61"/>
  <c r="O6" i="61"/>
  <c r="P6" i="61"/>
  <c r="L7" i="61"/>
  <c r="M7" i="61"/>
  <c r="N7" i="61"/>
  <c r="O7" i="61"/>
  <c r="P7" i="61"/>
  <c r="L8" i="61"/>
  <c r="M8" i="61"/>
  <c r="N8" i="61"/>
  <c r="O8" i="61"/>
  <c r="P8" i="61"/>
  <c r="L9" i="61"/>
  <c r="M9" i="61"/>
  <c r="N9" i="61"/>
  <c r="O9" i="61"/>
  <c r="P9" i="61"/>
  <c r="L10" i="61"/>
  <c r="M10" i="61"/>
  <c r="N10" i="61"/>
  <c r="O10" i="61"/>
  <c r="P10" i="61"/>
  <c r="L11" i="61"/>
  <c r="M11" i="61"/>
  <c r="N11" i="61"/>
  <c r="O11" i="61"/>
  <c r="P11" i="61"/>
  <c r="L12" i="61"/>
  <c r="M12" i="61"/>
  <c r="N12" i="61"/>
  <c r="O12" i="61"/>
  <c r="P12" i="61"/>
  <c r="L13" i="61"/>
  <c r="M13" i="61"/>
  <c r="N13" i="61"/>
  <c r="O13" i="61"/>
  <c r="P13" i="61"/>
  <c r="L14" i="61"/>
  <c r="M14" i="61"/>
  <c r="N14" i="61"/>
  <c r="O14" i="61"/>
  <c r="P14" i="61"/>
  <c r="L15" i="61"/>
  <c r="M15" i="61"/>
  <c r="N15" i="61"/>
  <c r="O15" i="61"/>
  <c r="P15" i="61"/>
  <c r="L16" i="61"/>
  <c r="M16" i="61"/>
  <c r="N16" i="61"/>
  <c r="O16" i="61"/>
  <c r="P16" i="61"/>
  <c r="L17" i="61"/>
  <c r="M17" i="61"/>
  <c r="N17" i="61"/>
  <c r="O17" i="61"/>
  <c r="P17" i="61"/>
  <c r="L18" i="61"/>
  <c r="M18" i="61"/>
  <c r="N18" i="61"/>
  <c r="O18" i="61"/>
  <c r="P18" i="61"/>
  <c r="L19" i="61"/>
  <c r="M19" i="61"/>
  <c r="N19" i="61"/>
  <c r="O19" i="61"/>
  <c r="P19" i="61"/>
  <c r="L20" i="61"/>
  <c r="M20" i="61"/>
  <c r="N20" i="61"/>
  <c r="O20" i="61"/>
  <c r="P20" i="61"/>
  <c r="L21" i="61"/>
  <c r="M21" i="61"/>
  <c r="N21" i="61"/>
  <c r="O21" i="61"/>
  <c r="P21" i="61"/>
  <c r="L22" i="61"/>
  <c r="M22" i="61"/>
  <c r="N22" i="61"/>
  <c r="O22" i="61"/>
  <c r="P22" i="61"/>
  <c r="L23" i="61"/>
  <c r="M23" i="61"/>
  <c r="N23" i="61"/>
  <c r="O23" i="61"/>
  <c r="P23" i="61"/>
  <c r="L24" i="61"/>
  <c r="M24" i="61"/>
  <c r="N24" i="61"/>
  <c r="O24" i="61"/>
  <c r="P24" i="61"/>
  <c r="L25" i="61"/>
  <c r="M25" i="61"/>
  <c r="N25" i="61"/>
  <c r="O25" i="61"/>
  <c r="P25" i="61"/>
  <c r="O26" i="61"/>
  <c r="P26" i="61"/>
  <c r="H17" i="58" l="1"/>
  <c r="L39" i="58"/>
  <c r="Q28" i="58"/>
  <c r="G38" i="58"/>
  <c r="Q27" i="58"/>
  <c r="K17" i="58"/>
  <c r="L21" i="58"/>
  <c r="Q21" i="58" s="1"/>
  <c r="L22" i="58"/>
  <c r="G22" i="58"/>
  <c r="G23" i="58" s="1"/>
  <c r="L9" i="58"/>
  <c r="Q9" i="58" s="1"/>
  <c r="Q8" i="58"/>
  <c r="K44" i="34"/>
  <c r="F44" i="29"/>
  <c r="G24" i="58" s="1"/>
  <c r="F44" i="34"/>
  <c r="O41" i="53"/>
  <c r="P41" i="53"/>
  <c r="F42" i="54"/>
  <c r="E42" i="54"/>
  <c r="J42" i="54"/>
  <c r="K42" i="54"/>
  <c r="K44" i="29"/>
  <c r="M50" i="60"/>
  <c r="N50" i="60"/>
  <c r="O50" i="60"/>
  <c r="P50" i="60"/>
  <c r="Q50" i="60"/>
  <c r="N51" i="60"/>
  <c r="O51" i="60"/>
  <c r="P51" i="60"/>
  <c r="Q51" i="60"/>
  <c r="M52" i="60"/>
  <c r="N52" i="60"/>
  <c r="O52" i="60"/>
  <c r="P52" i="60"/>
  <c r="Q52" i="60"/>
  <c r="M53" i="60"/>
  <c r="N53" i="60"/>
  <c r="O53" i="60"/>
  <c r="P53" i="60"/>
  <c r="Q53" i="60"/>
  <c r="N54" i="60"/>
  <c r="O54" i="60"/>
  <c r="P54" i="60"/>
  <c r="Q54" i="60"/>
  <c r="M55" i="60"/>
  <c r="N55" i="60"/>
  <c r="O55" i="60"/>
  <c r="P55" i="60"/>
  <c r="Q55" i="60"/>
  <c r="M56" i="60"/>
  <c r="N56" i="60"/>
  <c r="O56" i="60"/>
  <c r="P56" i="60"/>
  <c r="Q56" i="60"/>
  <c r="N57" i="60"/>
  <c r="O57" i="60"/>
  <c r="P57" i="60"/>
  <c r="Q57" i="60"/>
  <c r="M58" i="60"/>
  <c r="N58" i="60"/>
  <c r="O58" i="60"/>
  <c r="P58" i="60"/>
  <c r="Q58" i="60"/>
  <c r="M59" i="60"/>
  <c r="N59" i="60"/>
  <c r="O59" i="60"/>
  <c r="P59" i="60"/>
  <c r="Q59" i="60"/>
  <c r="N60" i="60"/>
  <c r="O60" i="60"/>
  <c r="P60" i="60"/>
  <c r="Q60" i="60"/>
  <c r="N61" i="60"/>
  <c r="O61" i="60"/>
  <c r="P61" i="60"/>
  <c r="Q61" i="60"/>
  <c r="M62" i="60"/>
  <c r="N62" i="60"/>
  <c r="O62" i="60"/>
  <c r="P62" i="60"/>
  <c r="Q62" i="60"/>
  <c r="N63" i="60"/>
  <c r="O63" i="60"/>
  <c r="P63" i="60"/>
  <c r="Q63" i="60"/>
  <c r="M64" i="60"/>
  <c r="N64" i="60"/>
  <c r="O64" i="60"/>
  <c r="P64" i="60"/>
  <c r="Q64" i="60"/>
  <c r="M65" i="60"/>
  <c r="N65" i="60"/>
  <c r="O65" i="60"/>
  <c r="P65" i="60"/>
  <c r="Q65" i="60"/>
  <c r="N66" i="60"/>
  <c r="O66" i="60"/>
  <c r="P66" i="60"/>
  <c r="Q66" i="60"/>
  <c r="M67" i="60"/>
  <c r="N67" i="60"/>
  <c r="O67" i="60"/>
  <c r="P67" i="60"/>
  <c r="Q67" i="60"/>
  <c r="M68" i="60"/>
  <c r="N68" i="60"/>
  <c r="O68" i="60"/>
  <c r="P68" i="60"/>
  <c r="Q68" i="60"/>
  <c r="M69" i="60"/>
  <c r="N69" i="60"/>
  <c r="O69" i="60"/>
  <c r="P69" i="60"/>
  <c r="Q69" i="60"/>
  <c r="N70" i="60"/>
  <c r="O70" i="60"/>
  <c r="P70" i="60"/>
  <c r="Q70" i="60"/>
  <c r="M71" i="60"/>
  <c r="N71" i="60"/>
  <c r="O71" i="60"/>
  <c r="P71" i="60"/>
  <c r="Q71" i="60"/>
  <c r="M72" i="60"/>
  <c r="N72" i="60"/>
  <c r="O72" i="60"/>
  <c r="P72" i="60"/>
  <c r="Q72" i="60"/>
  <c r="M73" i="60"/>
  <c r="N73" i="60"/>
  <c r="O73" i="60"/>
  <c r="P73" i="60"/>
  <c r="Q73" i="60"/>
  <c r="N74" i="60"/>
  <c r="O74" i="60"/>
  <c r="P74" i="60"/>
  <c r="Q74" i="60"/>
  <c r="N75" i="60"/>
  <c r="O75" i="60"/>
  <c r="P75" i="60"/>
  <c r="Q75" i="60"/>
  <c r="N76" i="60"/>
  <c r="O76" i="60"/>
  <c r="P76" i="60"/>
  <c r="Q76" i="60"/>
  <c r="N77" i="60"/>
  <c r="O77" i="60"/>
  <c r="P77" i="60"/>
  <c r="Q77" i="60"/>
  <c r="N49" i="60"/>
  <c r="O49" i="60"/>
  <c r="P49" i="60"/>
  <c r="Q49" i="60"/>
  <c r="M49" i="60"/>
  <c r="M7" i="60"/>
  <c r="N7" i="60"/>
  <c r="O7" i="60"/>
  <c r="P7" i="60"/>
  <c r="Q7" i="60"/>
  <c r="N8" i="60"/>
  <c r="O8" i="60"/>
  <c r="P8" i="60"/>
  <c r="Q8" i="60"/>
  <c r="M9" i="60"/>
  <c r="N9" i="60"/>
  <c r="O9" i="60"/>
  <c r="P9" i="60"/>
  <c r="Q9" i="60"/>
  <c r="M10" i="60"/>
  <c r="N10" i="60"/>
  <c r="O10" i="60"/>
  <c r="P10" i="60"/>
  <c r="Q10" i="60"/>
  <c r="N11" i="60"/>
  <c r="O11" i="60"/>
  <c r="P11" i="60"/>
  <c r="Q11" i="60"/>
  <c r="M12" i="60"/>
  <c r="N12" i="60"/>
  <c r="O12" i="60"/>
  <c r="P12" i="60"/>
  <c r="Q12" i="60"/>
  <c r="N13" i="60"/>
  <c r="O13" i="60"/>
  <c r="P13" i="60"/>
  <c r="Q13" i="60"/>
  <c r="M14" i="60"/>
  <c r="N14" i="60"/>
  <c r="O14" i="60"/>
  <c r="P14" i="60"/>
  <c r="Q14" i="60"/>
  <c r="M15" i="60"/>
  <c r="N15" i="60"/>
  <c r="O15" i="60"/>
  <c r="P15" i="60"/>
  <c r="Q15" i="60"/>
  <c r="N16" i="60"/>
  <c r="O16" i="60"/>
  <c r="P16" i="60"/>
  <c r="Q16" i="60"/>
  <c r="M17" i="60"/>
  <c r="N17" i="60"/>
  <c r="O17" i="60"/>
  <c r="P17" i="60"/>
  <c r="Q17" i="60"/>
  <c r="M18" i="60"/>
  <c r="N18" i="60"/>
  <c r="O18" i="60"/>
  <c r="P18" i="60"/>
  <c r="Q18" i="60"/>
  <c r="N19" i="60"/>
  <c r="O19" i="60"/>
  <c r="P19" i="60"/>
  <c r="Q19" i="60"/>
  <c r="M20" i="60"/>
  <c r="N20" i="60"/>
  <c r="O20" i="60"/>
  <c r="P20" i="60"/>
  <c r="Q20" i="60"/>
  <c r="M21" i="60"/>
  <c r="N21" i="60"/>
  <c r="O21" i="60"/>
  <c r="P21" i="60"/>
  <c r="Q21" i="60"/>
  <c r="N22" i="60"/>
  <c r="O22" i="60"/>
  <c r="P22" i="60"/>
  <c r="Q22" i="60"/>
  <c r="M23" i="60"/>
  <c r="N23" i="60"/>
  <c r="O23" i="60"/>
  <c r="P23" i="60"/>
  <c r="Q23" i="60"/>
  <c r="M24" i="60"/>
  <c r="N24" i="60"/>
  <c r="O24" i="60"/>
  <c r="P24" i="60"/>
  <c r="Q24" i="60"/>
  <c r="M25" i="60"/>
  <c r="N25" i="60"/>
  <c r="O25" i="60"/>
  <c r="P25" i="60"/>
  <c r="Q25" i="60"/>
  <c r="M26" i="60"/>
  <c r="N26" i="60"/>
  <c r="O26" i="60"/>
  <c r="P26" i="60"/>
  <c r="Q26" i="60"/>
  <c r="N27" i="60"/>
  <c r="O27" i="60"/>
  <c r="P27" i="60"/>
  <c r="Q27" i="60"/>
  <c r="N28" i="60"/>
  <c r="O28" i="60"/>
  <c r="P28" i="60"/>
  <c r="Q28" i="60"/>
  <c r="M29" i="60"/>
  <c r="N29" i="60"/>
  <c r="O29" i="60"/>
  <c r="P29" i="60"/>
  <c r="Q29" i="60"/>
  <c r="M30" i="60"/>
  <c r="N30" i="60"/>
  <c r="O30" i="60"/>
  <c r="P30" i="60"/>
  <c r="Q30" i="60"/>
  <c r="M31" i="60"/>
  <c r="N31" i="60"/>
  <c r="O31" i="60"/>
  <c r="P31" i="60"/>
  <c r="Q31" i="60"/>
  <c r="N32" i="60"/>
  <c r="O32" i="60"/>
  <c r="P32" i="60"/>
  <c r="Q32" i="60"/>
  <c r="M33" i="60"/>
  <c r="N33" i="60"/>
  <c r="O33" i="60"/>
  <c r="P33" i="60"/>
  <c r="Q33" i="60"/>
  <c r="M34" i="60"/>
  <c r="N34" i="60"/>
  <c r="O34" i="60"/>
  <c r="P34" i="60"/>
  <c r="Q34" i="60"/>
  <c r="O35" i="60"/>
  <c r="P35" i="60"/>
  <c r="Q35" i="60"/>
  <c r="M36" i="60"/>
  <c r="N36" i="60"/>
  <c r="O36" i="60"/>
  <c r="P36" i="60"/>
  <c r="Q36" i="60"/>
  <c r="M37" i="60"/>
  <c r="N37" i="60"/>
  <c r="O37" i="60"/>
  <c r="P37" i="60"/>
  <c r="Q37" i="60"/>
  <c r="N38" i="60"/>
  <c r="O38" i="60"/>
  <c r="P38" i="60"/>
  <c r="Q38" i="60"/>
  <c r="M39" i="60"/>
  <c r="N39" i="60"/>
  <c r="O39" i="60"/>
  <c r="P39" i="60"/>
  <c r="Q39" i="60"/>
  <c r="N40" i="60"/>
  <c r="O40" i="60"/>
  <c r="P40" i="60"/>
  <c r="Q40" i="60"/>
  <c r="M41" i="60"/>
  <c r="N41" i="60"/>
  <c r="O41" i="60"/>
  <c r="P41" i="60"/>
  <c r="Q41" i="60"/>
  <c r="N42" i="60"/>
  <c r="O42" i="60"/>
  <c r="P42" i="60"/>
  <c r="Q42" i="60"/>
  <c r="N6" i="60"/>
  <c r="O6" i="60"/>
  <c r="P6" i="60"/>
  <c r="Q6" i="60"/>
  <c r="M6" i="60"/>
  <c r="M51" i="59"/>
  <c r="N51" i="59"/>
  <c r="O51" i="59"/>
  <c r="P51" i="59"/>
  <c r="Q51" i="59"/>
  <c r="N52" i="59"/>
  <c r="O52" i="59"/>
  <c r="P52" i="59"/>
  <c r="Q52" i="59"/>
  <c r="M53" i="59"/>
  <c r="N53" i="59"/>
  <c r="O53" i="59"/>
  <c r="P53" i="59"/>
  <c r="Q53" i="59"/>
  <c r="M54" i="59"/>
  <c r="N54" i="59"/>
  <c r="O54" i="59"/>
  <c r="P54" i="59"/>
  <c r="Q54" i="59"/>
  <c r="M55" i="59"/>
  <c r="N55" i="59"/>
  <c r="O55" i="59"/>
  <c r="P55" i="59"/>
  <c r="Q55" i="59"/>
  <c r="N56" i="59"/>
  <c r="O56" i="59"/>
  <c r="P56" i="59"/>
  <c r="Q56" i="59"/>
  <c r="M57" i="59"/>
  <c r="N57" i="59"/>
  <c r="O57" i="59"/>
  <c r="P57" i="59"/>
  <c r="Q57" i="59"/>
  <c r="M58" i="59"/>
  <c r="N58" i="59"/>
  <c r="O58" i="59"/>
  <c r="P58" i="59"/>
  <c r="Q58" i="59"/>
  <c r="N59" i="59"/>
  <c r="O59" i="59"/>
  <c r="P59" i="59"/>
  <c r="Q59" i="59"/>
  <c r="N60" i="59"/>
  <c r="O60" i="59"/>
  <c r="P60" i="59"/>
  <c r="Q60" i="59"/>
  <c r="M61" i="59"/>
  <c r="N61" i="59"/>
  <c r="O61" i="59"/>
  <c r="P61" i="59"/>
  <c r="Q61" i="59"/>
  <c r="N62" i="59"/>
  <c r="O62" i="59"/>
  <c r="P62" i="59"/>
  <c r="Q62" i="59"/>
  <c r="M63" i="59"/>
  <c r="N63" i="59"/>
  <c r="O63" i="59"/>
  <c r="P63" i="59"/>
  <c r="Q63" i="59"/>
  <c r="M64" i="59"/>
  <c r="N64" i="59"/>
  <c r="O64" i="59"/>
  <c r="P64" i="59"/>
  <c r="Q64" i="59"/>
  <c r="N65" i="59"/>
  <c r="O65" i="59"/>
  <c r="P65" i="59"/>
  <c r="Q65" i="59"/>
  <c r="M66" i="59"/>
  <c r="N66" i="59"/>
  <c r="O66" i="59"/>
  <c r="P66" i="59"/>
  <c r="Q66" i="59"/>
  <c r="M67" i="59"/>
  <c r="N67" i="59"/>
  <c r="O67" i="59"/>
  <c r="P67" i="59"/>
  <c r="Q67" i="59"/>
  <c r="N68" i="59"/>
  <c r="O68" i="59"/>
  <c r="P68" i="59"/>
  <c r="Q68" i="59"/>
  <c r="M69" i="59"/>
  <c r="N69" i="59"/>
  <c r="O69" i="59"/>
  <c r="P69" i="59"/>
  <c r="Q69" i="59"/>
  <c r="M70" i="59"/>
  <c r="N70" i="59"/>
  <c r="O70" i="59"/>
  <c r="P70" i="59"/>
  <c r="Q70" i="59"/>
  <c r="N71" i="59"/>
  <c r="O71" i="59"/>
  <c r="P71" i="59"/>
  <c r="Q71" i="59"/>
  <c r="M72" i="59"/>
  <c r="N72" i="59"/>
  <c r="O72" i="59"/>
  <c r="P72" i="59"/>
  <c r="Q72" i="59"/>
  <c r="M73" i="59"/>
  <c r="N73" i="59"/>
  <c r="O73" i="59"/>
  <c r="P73" i="59"/>
  <c r="Q73" i="59"/>
  <c r="N74" i="59"/>
  <c r="O74" i="59"/>
  <c r="P74" i="59"/>
  <c r="Q74" i="59"/>
  <c r="M75" i="59"/>
  <c r="N75" i="59"/>
  <c r="O75" i="59"/>
  <c r="P75" i="59"/>
  <c r="Q75" i="59"/>
  <c r="M76" i="59"/>
  <c r="N76" i="59"/>
  <c r="O76" i="59"/>
  <c r="P76" i="59"/>
  <c r="Q76" i="59"/>
  <c r="N77" i="59"/>
  <c r="O77" i="59"/>
  <c r="P77" i="59"/>
  <c r="Q77" i="59"/>
  <c r="M78" i="59"/>
  <c r="N78" i="59"/>
  <c r="O78" i="59"/>
  <c r="P78" i="59"/>
  <c r="Q78" i="59"/>
  <c r="N79" i="59"/>
  <c r="O79" i="59"/>
  <c r="P79" i="59"/>
  <c r="Q79" i="59"/>
  <c r="N80" i="59"/>
  <c r="O80" i="59"/>
  <c r="P80" i="59"/>
  <c r="Q80" i="59"/>
  <c r="N81" i="59"/>
  <c r="O81" i="59"/>
  <c r="P81" i="59"/>
  <c r="Q81" i="59"/>
  <c r="P82" i="59"/>
  <c r="Q82" i="59"/>
  <c r="N50" i="59"/>
  <c r="O50" i="59"/>
  <c r="P50" i="59"/>
  <c r="Q50" i="59"/>
  <c r="M50" i="59"/>
  <c r="M7" i="59"/>
  <c r="N7" i="59"/>
  <c r="O7" i="59"/>
  <c r="P7" i="59"/>
  <c r="Q7" i="59"/>
  <c r="N8" i="59"/>
  <c r="O8" i="59"/>
  <c r="P8" i="59"/>
  <c r="Q8" i="59"/>
  <c r="M9" i="59"/>
  <c r="N9" i="59"/>
  <c r="O9" i="59"/>
  <c r="P9" i="59"/>
  <c r="Q9" i="59"/>
  <c r="M10" i="59"/>
  <c r="N10" i="59"/>
  <c r="O10" i="59"/>
  <c r="P10" i="59"/>
  <c r="Q10" i="59"/>
  <c r="N11" i="59"/>
  <c r="O11" i="59"/>
  <c r="P11" i="59"/>
  <c r="Q11" i="59"/>
  <c r="M12" i="59"/>
  <c r="N12" i="59"/>
  <c r="O12" i="59"/>
  <c r="P12" i="59"/>
  <c r="Q12" i="59"/>
  <c r="M13" i="59"/>
  <c r="N13" i="59"/>
  <c r="O13" i="59"/>
  <c r="P13" i="59"/>
  <c r="Q13" i="59"/>
  <c r="M14" i="59"/>
  <c r="N14" i="59"/>
  <c r="O14" i="59"/>
  <c r="P14" i="59"/>
  <c r="Q14" i="59"/>
  <c r="M15" i="59"/>
  <c r="N15" i="59"/>
  <c r="O15" i="59"/>
  <c r="P15" i="59"/>
  <c r="Q15" i="59"/>
  <c r="N16" i="59"/>
  <c r="O16" i="59"/>
  <c r="P16" i="59"/>
  <c r="Q16" i="59"/>
  <c r="M17" i="59"/>
  <c r="N17" i="59"/>
  <c r="O17" i="59"/>
  <c r="P17" i="59"/>
  <c r="Q17" i="59"/>
  <c r="M18" i="59"/>
  <c r="N18" i="59"/>
  <c r="O18" i="59"/>
  <c r="P18" i="59"/>
  <c r="Q18" i="59"/>
  <c r="N19" i="59"/>
  <c r="O19" i="59"/>
  <c r="P19" i="59"/>
  <c r="Q19" i="59"/>
  <c r="M20" i="59"/>
  <c r="N20" i="59"/>
  <c r="O20" i="59"/>
  <c r="P20" i="59"/>
  <c r="Q20" i="59"/>
  <c r="M21" i="59"/>
  <c r="N21" i="59"/>
  <c r="O21" i="59"/>
  <c r="P21" i="59"/>
  <c r="Q21" i="59"/>
  <c r="M22" i="59"/>
  <c r="N22" i="59"/>
  <c r="O22" i="59"/>
  <c r="P22" i="59"/>
  <c r="Q22" i="59"/>
  <c r="M23" i="59"/>
  <c r="N23" i="59"/>
  <c r="O23" i="59"/>
  <c r="P23" i="59"/>
  <c r="Q23" i="59"/>
  <c r="M24" i="59"/>
  <c r="N24" i="59"/>
  <c r="O24" i="59"/>
  <c r="P24" i="59"/>
  <c r="Q24" i="59"/>
  <c r="M25" i="59"/>
  <c r="N25" i="59"/>
  <c r="O25" i="59"/>
  <c r="P25" i="59"/>
  <c r="Q25" i="59"/>
  <c r="N26" i="59"/>
  <c r="O26" i="59"/>
  <c r="P26" i="59"/>
  <c r="Q26" i="59"/>
  <c r="M27" i="59"/>
  <c r="N27" i="59"/>
  <c r="O27" i="59"/>
  <c r="P27" i="59"/>
  <c r="Q27" i="59"/>
  <c r="M28" i="59"/>
  <c r="N28" i="59"/>
  <c r="O28" i="59"/>
  <c r="P28" i="59"/>
  <c r="Q28" i="59"/>
  <c r="M29" i="59"/>
  <c r="N29" i="59"/>
  <c r="O29" i="59"/>
  <c r="P29" i="59"/>
  <c r="Q29" i="59"/>
  <c r="N30" i="59"/>
  <c r="O30" i="59"/>
  <c r="P30" i="59"/>
  <c r="Q30" i="59"/>
  <c r="M31" i="59"/>
  <c r="N31" i="59"/>
  <c r="O31" i="59"/>
  <c r="P31" i="59"/>
  <c r="Q31" i="59"/>
  <c r="M32" i="59"/>
  <c r="N32" i="59"/>
  <c r="O32" i="59"/>
  <c r="P32" i="59"/>
  <c r="Q32" i="59"/>
  <c r="N33" i="59"/>
  <c r="O33" i="59"/>
  <c r="P33" i="59"/>
  <c r="Q33" i="59"/>
  <c r="M34" i="59"/>
  <c r="N34" i="59"/>
  <c r="O34" i="59"/>
  <c r="P34" i="59"/>
  <c r="Q34" i="59"/>
  <c r="M35" i="59"/>
  <c r="N35" i="59"/>
  <c r="O35" i="59"/>
  <c r="P35" i="59"/>
  <c r="Q35" i="59"/>
  <c r="N36" i="59"/>
  <c r="O36" i="59"/>
  <c r="P36" i="59"/>
  <c r="Q36" i="59"/>
  <c r="M37" i="59"/>
  <c r="N37" i="59"/>
  <c r="O37" i="59"/>
  <c r="P37" i="59"/>
  <c r="Q37" i="59"/>
  <c r="M38" i="59"/>
  <c r="N38" i="59"/>
  <c r="O38" i="59"/>
  <c r="P38" i="59"/>
  <c r="Q38" i="59"/>
  <c r="N39" i="59"/>
  <c r="O39" i="59"/>
  <c r="P39" i="59"/>
  <c r="Q39" i="59"/>
  <c r="N40" i="59"/>
  <c r="O40" i="59"/>
  <c r="P40" i="59"/>
  <c r="Q40" i="59"/>
  <c r="M41" i="59"/>
  <c r="N41" i="59"/>
  <c r="O41" i="59"/>
  <c r="P41" i="59"/>
  <c r="Q41" i="59"/>
  <c r="N42" i="59"/>
  <c r="O42" i="59"/>
  <c r="P42" i="59"/>
  <c r="Q42" i="59"/>
  <c r="M43" i="59"/>
  <c r="N43" i="59"/>
  <c r="O43" i="59"/>
  <c r="P43" i="59"/>
  <c r="Q43" i="59"/>
  <c r="N6" i="59"/>
  <c r="O6" i="59"/>
  <c r="P6" i="59"/>
  <c r="Q6" i="59"/>
  <c r="M6" i="59"/>
  <c r="L8" i="42"/>
  <c r="M8" i="42"/>
  <c r="N8" i="42"/>
  <c r="O8" i="42"/>
  <c r="P8" i="42"/>
  <c r="L9" i="42"/>
  <c r="M9" i="42"/>
  <c r="N9" i="42"/>
  <c r="O9" i="42"/>
  <c r="P9" i="42"/>
  <c r="L10" i="42"/>
  <c r="M10" i="42"/>
  <c r="N10" i="42"/>
  <c r="O10" i="42"/>
  <c r="P10" i="42"/>
  <c r="L11" i="42"/>
  <c r="M11" i="42"/>
  <c r="N11" i="42"/>
  <c r="O11" i="42"/>
  <c r="P11" i="42"/>
  <c r="L12" i="42"/>
  <c r="M12" i="42"/>
  <c r="N12" i="42"/>
  <c r="O12" i="42"/>
  <c r="P12" i="42"/>
  <c r="L13" i="42"/>
  <c r="M13" i="42"/>
  <c r="N13" i="42"/>
  <c r="O13" i="42"/>
  <c r="P13" i="42"/>
  <c r="L14" i="42"/>
  <c r="M14" i="42"/>
  <c r="N14" i="42"/>
  <c r="O14" i="42"/>
  <c r="P14" i="42"/>
  <c r="L15" i="42"/>
  <c r="M15" i="42"/>
  <c r="N15" i="42"/>
  <c r="O15" i="42"/>
  <c r="P15" i="42"/>
  <c r="L16" i="42"/>
  <c r="M16" i="42"/>
  <c r="N16" i="42"/>
  <c r="O16" i="42"/>
  <c r="P16" i="42"/>
  <c r="L17" i="42"/>
  <c r="M17" i="42"/>
  <c r="N17" i="42"/>
  <c r="O17" i="42"/>
  <c r="P17" i="42"/>
  <c r="L18" i="42"/>
  <c r="M18" i="42"/>
  <c r="N18" i="42"/>
  <c r="O18" i="42"/>
  <c r="P18" i="42"/>
  <c r="L19" i="42"/>
  <c r="M19" i="42"/>
  <c r="N19" i="42"/>
  <c r="O19" i="42"/>
  <c r="P19" i="42"/>
  <c r="L20" i="42"/>
  <c r="M20" i="42"/>
  <c r="N20" i="42"/>
  <c r="O20" i="42"/>
  <c r="P20" i="42"/>
  <c r="L21" i="42"/>
  <c r="M21" i="42"/>
  <c r="N21" i="42"/>
  <c r="O21" i="42"/>
  <c r="P21" i="42"/>
  <c r="L22" i="42"/>
  <c r="M22" i="42"/>
  <c r="N22" i="42"/>
  <c r="O22" i="42"/>
  <c r="P22" i="42"/>
  <c r="L23" i="42"/>
  <c r="M23" i="42"/>
  <c r="N23" i="42"/>
  <c r="O23" i="42"/>
  <c r="P23" i="42"/>
  <c r="L24" i="42"/>
  <c r="M24" i="42"/>
  <c r="N24" i="42"/>
  <c r="O24" i="42"/>
  <c r="P24" i="42"/>
  <c r="L25" i="42"/>
  <c r="M25" i="42"/>
  <c r="N25" i="42"/>
  <c r="O25" i="42"/>
  <c r="P25" i="42"/>
  <c r="L26" i="42"/>
  <c r="M26" i="42"/>
  <c r="N26" i="42"/>
  <c r="O26" i="42"/>
  <c r="P26" i="42"/>
  <c r="L27" i="42"/>
  <c r="M27" i="42"/>
  <c r="N27" i="42"/>
  <c r="O27" i="42"/>
  <c r="P27" i="42"/>
  <c r="L28" i="42"/>
  <c r="M28" i="42"/>
  <c r="N28" i="42"/>
  <c r="O28" i="42"/>
  <c r="P28" i="42"/>
  <c r="L29" i="42"/>
  <c r="M29" i="42"/>
  <c r="N29" i="42"/>
  <c r="O29" i="42"/>
  <c r="P29" i="42"/>
  <c r="L30" i="42"/>
  <c r="M30" i="42"/>
  <c r="N30" i="42"/>
  <c r="O30" i="42"/>
  <c r="P30" i="42"/>
  <c r="L31" i="42"/>
  <c r="M31" i="42"/>
  <c r="N31" i="42"/>
  <c r="O31" i="42"/>
  <c r="P31" i="42"/>
  <c r="L32" i="42"/>
  <c r="M32" i="42"/>
  <c r="N32" i="42"/>
  <c r="O32" i="42"/>
  <c r="P32" i="42"/>
  <c r="L33" i="42"/>
  <c r="M33" i="42"/>
  <c r="N33" i="42"/>
  <c r="O33" i="42"/>
  <c r="P33" i="42"/>
  <c r="L34" i="42"/>
  <c r="M34" i="42"/>
  <c r="N34" i="42"/>
  <c r="O34" i="42"/>
  <c r="P34" i="42"/>
  <c r="L35" i="42"/>
  <c r="N35" i="42"/>
  <c r="O35" i="42"/>
  <c r="P35" i="42"/>
  <c r="M7" i="42"/>
  <c r="N7" i="42"/>
  <c r="O7" i="42"/>
  <c r="P7" i="42"/>
  <c r="L7" i="42"/>
  <c r="L8" i="7"/>
  <c r="M8" i="7"/>
  <c r="N8" i="7"/>
  <c r="O8" i="7"/>
  <c r="P8" i="7"/>
  <c r="L9" i="7"/>
  <c r="M9" i="7"/>
  <c r="N9" i="7"/>
  <c r="O9" i="7"/>
  <c r="P9" i="7"/>
  <c r="L10" i="7"/>
  <c r="M10" i="7"/>
  <c r="N10" i="7"/>
  <c r="O10" i="7"/>
  <c r="P10" i="7"/>
  <c r="L11" i="7"/>
  <c r="M11" i="7"/>
  <c r="N11" i="7"/>
  <c r="O11" i="7"/>
  <c r="P11" i="7"/>
  <c r="L12" i="7"/>
  <c r="M12" i="7"/>
  <c r="N12" i="7"/>
  <c r="O12" i="7"/>
  <c r="P12" i="7"/>
  <c r="L13" i="7"/>
  <c r="M13" i="7"/>
  <c r="N13" i="7"/>
  <c r="O13" i="7"/>
  <c r="P13" i="7"/>
  <c r="L14" i="7"/>
  <c r="M14" i="7"/>
  <c r="N14" i="7"/>
  <c r="O14" i="7"/>
  <c r="P14" i="7"/>
  <c r="L15" i="7"/>
  <c r="M15" i="7"/>
  <c r="N15" i="7"/>
  <c r="O15" i="7"/>
  <c r="P15" i="7"/>
  <c r="L16" i="7"/>
  <c r="M16" i="7"/>
  <c r="N16" i="7"/>
  <c r="O16" i="7"/>
  <c r="P16" i="7"/>
  <c r="L17" i="7"/>
  <c r="M17" i="7"/>
  <c r="N17" i="7"/>
  <c r="O17" i="7"/>
  <c r="P17" i="7"/>
  <c r="L18" i="7"/>
  <c r="M18" i="7"/>
  <c r="N18" i="7"/>
  <c r="O18" i="7"/>
  <c r="P18" i="7"/>
  <c r="L19" i="7"/>
  <c r="M19" i="7"/>
  <c r="N19" i="7"/>
  <c r="O19" i="7"/>
  <c r="P19" i="7"/>
  <c r="L21" i="7"/>
  <c r="M21" i="7"/>
  <c r="N21" i="7"/>
  <c r="O21" i="7"/>
  <c r="P21" i="7"/>
  <c r="L20" i="7"/>
  <c r="M20" i="7"/>
  <c r="N20" i="7"/>
  <c r="O20" i="7"/>
  <c r="P20" i="7"/>
  <c r="L22" i="7"/>
  <c r="M22" i="7"/>
  <c r="N22" i="7"/>
  <c r="O22" i="7"/>
  <c r="P22" i="7"/>
  <c r="L23" i="7"/>
  <c r="M23" i="7"/>
  <c r="N23" i="7"/>
  <c r="O23" i="7"/>
  <c r="P23" i="7"/>
  <c r="L24" i="7"/>
  <c r="M24" i="7"/>
  <c r="N24" i="7"/>
  <c r="O24" i="7"/>
  <c r="P24" i="7"/>
  <c r="L25" i="7"/>
  <c r="M25" i="7"/>
  <c r="N25" i="7"/>
  <c r="O25" i="7"/>
  <c r="P25" i="7"/>
  <c r="L26" i="7"/>
  <c r="M26" i="7"/>
  <c r="N26" i="7"/>
  <c r="O26" i="7"/>
  <c r="P26" i="7"/>
  <c r="L27" i="7"/>
  <c r="M27" i="7"/>
  <c r="N27" i="7"/>
  <c r="O27" i="7"/>
  <c r="P27" i="7"/>
  <c r="L28" i="7"/>
  <c r="M28" i="7"/>
  <c r="N28" i="7"/>
  <c r="O28" i="7"/>
  <c r="P28" i="7"/>
  <c r="L29" i="7"/>
  <c r="M29" i="7"/>
  <c r="N29" i="7"/>
  <c r="O29" i="7"/>
  <c r="P29" i="7"/>
  <c r="L30" i="7"/>
  <c r="M30" i="7"/>
  <c r="N30" i="7"/>
  <c r="O30" i="7"/>
  <c r="P30" i="7"/>
  <c r="L31" i="7"/>
  <c r="M31" i="7"/>
  <c r="N31" i="7"/>
  <c r="O31" i="7"/>
  <c r="P31" i="7"/>
  <c r="L32" i="7"/>
  <c r="M32" i="7"/>
  <c r="N32" i="7"/>
  <c r="O32" i="7"/>
  <c r="P32" i="7"/>
  <c r="L33" i="7"/>
  <c r="M33" i="7"/>
  <c r="N33" i="7"/>
  <c r="O33" i="7"/>
  <c r="L34" i="7"/>
  <c r="M34" i="7"/>
  <c r="N34" i="7"/>
  <c r="O34" i="7"/>
  <c r="P34" i="7"/>
  <c r="L36" i="7"/>
  <c r="M36" i="7"/>
  <c r="N36" i="7"/>
  <c r="O36" i="7"/>
  <c r="P36" i="7"/>
  <c r="L37" i="7"/>
  <c r="N37" i="7"/>
  <c r="O37" i="7"/>
  <c r="M7" i="7"/>
  <c r="N7" i="7"/>
  <c r="O7" i="7"/>
  <c r="P7" i="7"/>
  <c r="L7" i="7"/>
  <c r="C37" i="7"/>
  <c r="D27" i="58" s="1"/>
  <c r="D38" i="58" s="1"/>
  <c r="Q39" i="58" l="1"/>
  <c r="L40" i="58"/>
  <c r="G40" i="58"/>
  <c r="Q38" i="58"/>
  <c r="L23" i="58"/>
  <c r="Q23" i="58" s="1"/>
  <c r="Q22" i="58"/>
  <c r="K43" i="55"/>
  <c r="L24" i="58"/>
  <c r="G41" i="58"/>
  <c r="F43" i="55"/>
  <c r="C42" i="52"/>
  <c r="M37" i="7"/>
  <c r="C39" i="46"/>
  <c r="D39" i="46"/>
  <c r="E39" i="46"/>
  <c r="F39" i="46"/>
  <c r="G10" i="58" s="1"/>
  <c r="Q10" i="58" s="1"/>
  <c r="G39" i="46"/>
  <c r="H39" i="46"/>
  <c r="I39" i="46"/>
  <c r="J39" i="46"/>
  <c r="K42" i="30"/>
  <c r="L25" i="58" s="1"/>
  <c r="B39" i="46"/>
  <c r="C41" i="30"/>
  <c r="C42" i="56" s="1"/>
  <c r="D41" i="30"/>
  <c r="D42" i="56" s="1"/>
  <c r="E41" i="30"/>
  <c r="E42" i="56" s="1"/>
  <c r="F41" i="30"/>
  <c r="G41" i="30"/>
  <c r="H41" i="30"/>
  <c r="I41" i="30"/>
  <c r="J41" i="30"/>
  <c r="J42" i="56" s="1"/>
  <c r="K41" i="30"/>
  <c r="K42" i="56" s="1"/>
  <c r="C37" i="30"/>
  <c r="C37" i="56" s="1"/>
  <c r="D37" i="30"/>
  <c r="D37" i="56" s="1"/>
  <c r="E37" i="30"/>
  <c r="E37" i="56" s="1"/>
  <c r="F37" i="30"/>
  <c r="F37" i="56" s="1"/>
  <c r="F37" i="57" s="1"/>
  <c r="G37" i="30"/>
  <c r="H37" i="30"/>
  <c r="H37" i="56" s="1"/>
  <c r="H37" i="57" s="1"/>
  <c r="I37" i="30"/>
  <c r="J37" i="30"/>
  <c r="J37" i="56" s="1"/>
  <c r="K37" i="30"/>
  <c r="C24" i="30"/>
  <c r="C23" i="56" s="1"/>
  <c r="D24" i="30"/>
  <c r="D23" i="56" s="1"/>
  <c r="E24" i="30"/>
  <c r="E23" i="56" s="1"/>
  <c r="F24" i="30"/>
  <c r="G24" i="30"/>
  <c r="H24" i="30"/>
  <c r="I24" i="30"/>
  <c r="J24" i="30"/>
  <c r="K24" i="30"/>
  <c r="K23" i="56" s="1"/>
  <c r="C13" i="30"/>
  <c r="C12" i="56" s="1"/>
  <c r="D13" i="30"/>
  <c r="D12" i="56" s="1"/>
  <c r="E13" i="30"/>
  <c r="E12" i="56" s="1"/>
  <c r="F13" i="30"/>
  <c r="G13" i="30"/>
  <c r="H13" i="30"/>
  <c r="I13" i="30"/>
  <c r="J13" i="30"/>
  <c r="J12" i="56" s="1"/>
  <c r="K13" i="30"/>
  <c r="K12" i="56" s="1"/>
  <c r="C10" i="30"/>
  <c r="C9" i="56" s="1"/>
  <c r="D10" i="30"/>
  <c r="D9" i="56" s="1"/>
  <c r="E10" i="30"/>
  <c r="E9" i="56" s="1"/>
  <c r="F10" i="30"/>
  <c r="G10" i="30"/>
  <c r="H10" i="30"/>
  <c r="I10" i="30"/>
  <c r="J10" i="30"/>
  <c r="J9" i="56" s="1"/>
  <c r="K10" i="30"/>
  <c r="K9" i="56" s="1"/>
  <c r="P43" i="29"/>
  <c r="P44" i="29"/>
  <c r="O13" i="34"/>
  <c r="P13" i="34"/>
  <c r="C43" i="34"/>
  <c r="D43" i="34"/>
  <c r="E43" i="34"/>
  <c r="F43" i="34"/>
  <c r="G43" i="34"/>
  <c r="H43" i="34"/>
  <c r="I43" i="34"/>
  <c r="J43" i="34"/>
  <c r="K43" i="34"/>
  <c r="C36" i="28"/>
  <c r="C40" i="30" s="1"/>
  <c r="C40" i="56" s="1"/>
  <c r="D36" i="28"/>
  <c r="D40" i="30" s="1"/>
  <c r="D40" i="56" s="1"/>
  <c r="E36" i="28"/>
  <c r="E40" i="30" s="1"/>
  <c r="E40" i="56" s="1"/>
  <c r="F40" i="30"/>
  <c r="G36" i="28"/>
  <c r="H36" i="28"/>
  <c r="H40" i="30" s="1"/>
  <c r="I36" i="28"/>
  <c r="I40" i="30" s="1"/>
  <c r="J36" i="28"/>
  <c r="J40" i="30" s="1"/>
  <c r="J40" i="56" s="1"/>
  <c r="K40" i="30"/>
  <c r="K40" i="56" s="1"/>
  <c r="C34" i="28"/>
  <c r="C38" i="30" s="1"/>
  <c r="C38" i="56" s="1"/>
  <c r="D34" i="28"/>
  <c r="D38" i="30" s="1"/>
  <c r="D38" i="56" s="1"/>
  <c r="E34" i="28"/>
  <c r="E38" i="30" s="1"/>
  <c r="E38" i="56" s="1"/>
  <c r="F38" i="30"/>
  <c r="G34" i="28"/>
  <c r="H34" i="28"/>
  <c r="H38" i="30" s="1"/>
  <c r="I34" i="28"/>
  <c r="I38" i="30" s="1"/>
  <c r="J34" i="28"/>
  <c r="J38" i="30" s="1"/>
  <c r="J38" i="56" s="1"/>
  <c r="K38" i="30"/>
  <c r="K38" i="56" s="1"/>
  <c r="C33" i="28"/>
  <c r="C36" i="30" s="1"/>
  <c r="C35" i="56" s="1"/>
  <c r="D33" i="28"/>
  <c r="D36" i="30" s="1"/>
  <c r="D35" i="56" s="1"/>
  <c r="E33" i="28"/>
  <c r="E36" i="30" s="1"/>
  <c r="E35" i="56" s="1"/>
  <c r="F36" i="30"/>
  <c r="G33" i="28"/>
  <c r="H33" i="28"/>
  <c r="H36" i="30" s="1"/>
  <c r="I33" i="28"/>
  <c r="I36" i="30" s="1"/>
  <c r="J33" i="28"/>
  <c r="J36" i="30" s="1"/>
  <c r="J35" i="56" s="1"/>
  <c r="K36" i="30"/>
  <c r="K35" i="56" s="1"/>
  <c r="C32" i="28"/>
  <c r="C35" i="30" s="1"/>
  <c r="C34" i="56" s="1"/>
  <c r="D32" i="28"/>
  <c r="D35" i="30" s="1"/>
  <c r="D34" i="56" s="1"/>
  <c r="E32" i="28"/>
  <c r="E35" i="30" s="1"/>
  <c r="E34" i="56" s="1"/>
  <c r="F35" i="30"/>
  <c r="G32" i="28"/>
  <c r="H32" i="28"/>
  <c r="H35" i="30" s="1"/>
  <c r="I32" i="28"/>
  <c r="I35" i="30" s="1"/>
  <c r="J32" i="28"/>
  <c r="J35" i="30" s="1"/>
  <c r="J34" i="56" s="1"/>
  <c r="K35" i="30"/>
  <c r="K34" i="56" s="1"/>
  <c r="C31" i="28"/>
  <c r="C34" i="30" s="1"/>
  <c r="C33" i="56" s="1"/>
  <c r="D31" i="28"/>
  <c r="D34" i="30" s="1"/>
  <c r="D33" i="56" s="1"/>
  <c r="E31" i="28"/>
  <c r="E34" i="30" s="1"/>
  <c r="E33" i="56" s="1"/>
  <c r="F34" i="30"/>
  <c r="G31" i="28"/>
  <c r="H31" i="28"/>
  <c r="H34" i="30" s="1"/>
  <c r="I31" i="28"/>
  <c r="I34" i="30" s="1"/>
  <c r="J31" i="28"/>
  <c r="J34" i="30" s="1"/>
  <c r="J33" i="56" s="1"/>
  <c r="K34" i="30"/>
  <c r="K33" i="56" s="1"/>
  <c r="C30" i="28"/>
  <c r="C33" i="30" s="1"/>
  <c r="C32" i="56" s="1"/>
  <c r="D30" i="28"/>
  <c r="D33" i="30" s="1"/>
  <c r="D32" i="56" s="1"/>
  <c r="E30" i="28"/>
  <c r="E33" i="30" s="1"/>
  <c r="E32" i="56" s="1"/>
  <c r="F33" i="30"/>
  <c r="G30" i="28"/>
  <c r="H30" i="28"/>
  <c r="H33" i="30" s="1"/>
  <c r="I30" i="28"/>
  <c r="I33" i="30" s="1"/>
  <c r="J30" i="28"/>
  <c r="J33" i="30" s="1"/>
  <c r="J32" i="56" s="1"/>
  <c r="K33" i="30"/>
  <c r="K32" i="56" s="1"/>
  <c r="C29" i="28"/>
  <c r="C32" i="30" s="1"/>
  <c r="C31" i="56" s="1"/>
  <c r="D29" i="28"/>
  <c r="D32" i="30" s="1"/>
  <c r="D31" i="56" s="1"/>
  <c r="E29" i="28"/>
  <c r="E32" i="30" s="1"/>
  <c r="E31" i="56" s="1"/>
  <c r="F32" i="30"/>
  <c r="G29" i="28"/>
  <c r="H29" i="28"/>
  <c r="H32" i="30" s="1"/>
  <c r="I29" i="28"/>
  <c r="I32" i="30" s="1"/>
  <c r="J29" i="28"/>
  <c r="J32" i="30" s="1"/>
  <c r="J31" i="56" s="1"/>
  <c r="K32" i="30"/>
  <c r="K31" i="56" s="1"/>
  <c r="C28" i="28"/>
  <c r="C31" i="30" s="1"/>
  <c r="C30" i="56" s="1"/>
  <c r="D28" i="28"/>
  <c r="D31" i="30" s="1"/>
  <c r="D30" i="56" s="1"/>
  <c r="E28" i="28"/>
  <c r="E31" i="30" s="1"/>
  <c r="E30" i="56" s="1"/>
  <c r="F31" i="30"/>
  <c r="G28" i="28"/>
  <c r="H28" i="28"/>
  <c r="H31" i="30" s="1"/>
  <c r="I28" i="28"/>
  <c r="I31" i="30" s="1"/>
  <c r="J28" i="28"/>
  <c r="J31" i="30" s="1"/>
  <c r="J30" i="56" s="1"/>
  <c r="K31" i="30"/>
  <c r="K30" i="56" s="1"/>
  <c r="C27" i="28"/>
  <c r="C30" i="30" s="1"/>
  <c r="C29" i="56" s="1"/>
  <c r="D27" i="28"/>
  <c r="D30" i="30" s="1"/>
  <c r="D29" i="56" s="1"/>
  <c r="E27" i="28"/>
  <c r="E30" i="30" s="1"/>
  <c r="E29" i="56" s="1"/>
  <c r="G27" i="28"/>
  <c r="H27" i="28"/>
  <c r="H30" i="30" s="1"/>
  <c r="I27" i="28"/>
  <c r="I30" i="30" s="1"/>
  <c r="J27" i="28"/>
  <c r="K30" i="30"/>
  <c r="K29" i="56" s="1"/>
  <c r="C29" i="30"/>
  <c r="C28" i="56" s="1"/>
  <c r="D29" i="30"/>
  <c r="D28" i="56" s="1"/>
  <c r="E29" i="30"/>
  <c r="E28" i="56" s="1"/>
  <c r="F29" i="30"/>
  <c r="H29" i="30"/>
  <c r="I29" i="30"/>
  <c r="J29" i="30"/>
  <c r="J28" i="56" s="1"/>
  <c r="O28" i="56" s="1"/>
  <c r="K29" i="30"/>
  <c r="K28" i="56" s="1"/>
  <c r="C25" i="28"/>
  <c r="C28" i="30" s="1"/>
  <c r="C27" i="56" s="1"/>
  <c r="D25" i="28"/>
  <c r="D28" i="30" s="1"/>
  <c r="D27" i="56" s="1"/>
  <c r="E25" i="28"/>
  <c r="E28" i="30" s="1"/>
  <c r="E27" i="56" s="1"/>
  <c r="F28" i="30"/>
  <c r="G25" i="28"/>
  <c r="H25" i="28"/>
  <c r="H28" i="30" s="1"/>
  <c r="I25" i="28"/>
  <c r="I28" i="30" s="1"/>
  <c r="J25" i="28"/>
  <c r="J28" i="30" s="1"/>
  <c r="J27" i="56" s="1"/>
  <c r="K28" i="30"/>
  <c r="K27" i="56" s="1"/>
  <c r="C24" i="28"/>
  <c r="C27" i="30" s="1"/>
  <c r="C26" i="56" s="1"/>
  <c r="D24" i="28"/>
  <c r="D27" i="30" s="1"/>
  <c r="D26" i="56" s="1"/>
  <c r="E24" i="28"/>
  <c r="E27" i="30" s="1"/>
  <c r="E26" i="56" s="1"/>
  <c r="F27" i="30"/>
  <c r="G24" i="28"/>
  <c r="H24" i="28"/>
  <c r="H27" i="30" s="1"/>
  <c r="I24" i="28"/>
  <c r="I27" i="30" s="1"/>
  <c r="J24" i="28"/>
  <c r="J27" i="30" s="1"/>
  <c r="J26" i="56" s="1"/>
  <c r="K27" i="30"/>
  <c r="K26" i="56" s="1"/>
  <c r="C23" i="28"/>
  <c r="D23" i="28"/>
  <c r="D26" i="30" s="1"/>
  <c r="D25" i="56" s="1"/>
  <c r="E23" i="28"/>
  <c r="F26" i="30"/>
  <c r="G23" i="28"/>
  <c r="H23" i="28"/>
  <c r="H26" i="30" s="1"/>
  <c r="I23" i="28"/>
  <c r="I26" i="30" s="1"/>
  <c r="J23" i="28"/>
  <c r="J26" i="30" s="1"/>
  <c r="J25" i="56" s="1"/>
  <c r="K26" i="30"/>
  <c r="K25" i="56" s="1"/>
  <c r="C22" i="28"/>
  <c r="C25" i="30" s="1"/>
  <c r="C24" i="56" s="1"/>
  <c r="D22" i="28"/>
  <c r="D25" i="30" s="1"/>
  <c r="D24" i="56" s="1"/>
  <c r="E22" i="28"/>
  <c r="E25" i="30" s="1"/>
  <c r="E24" i="56" s="1"/>
  <c r="F25" i="30"/>
  <c r="G22" i="28"/>
  <c r="H22" i="28"/>
  <c r="I22" i="28"/>
  <c r="I25" i="30" s="1"/>
  <c r="J22" i="28"/>
  <c r="K25" i="30"/>
  <c r="K24" i="56" s="1"/>
  <c r="C21" i="28"/>
  <c r="D21" i="28"/>
  <c r="D23" i="30" s="1"/>
  <c r="D22" i="56" s="1"/>
  <c r="E21" i="28"/>
  <c r="F23" i="30"/>
  <c r="G21" i="28"/>
  <c r="H21" i="28"/>
  <c r="H23" i="30" s="1"/>
  <c r="I21" i="28"/>
  <c r="I23" i="30" s="1"/>
  <c r="J21" i="28"/>
  <c r="J23" i="30" s="1"/>
  <c r="J22" i="56" s="1"/>
  <c r="K23" i="30"/>
  <c r="K22" i="56" s="1"/>
  <c r="C22" i="30"/>
  <c r="C21" i="56" s="1"/>
  <c r="D22" i="30"/>
  <c r="D21" i="56" s="1"/>
  <c r="E22" i="30"/>
  <c r="E21" i="56" s="1"/>
  <c r="F22" i="30"/>
  <c r="I22" i="30"/>
  <c r="K22" i="30"/>
  <c r="K21" i="56" s="1"/>
  <c r="C19" i="28"/>
  <c r="D19" i="28"/>
  <c r="D21" i="30" s="1"/>
  <c r="D20" i="56" s="1"/>
  <c r="E19" i="28"/>
  <c r="F21" i="30"/>
  <c r="G19" i="28"/>
  <c r="H19" i="28"/>
  <c r="H21" i="30" s="1"/>
  <c r="I19" i="28"/>
  <c r="I21" i="30" s="1"/>
  <c r="J19" i="28"/>
  <c r="J21" i="30" s="1"/>
  <c r="J20" i="56" s="1"/>
  <c r="K21" i="30"/>
  <c r="K20" i="56" s="1"/>
  <c r="C18" i="28"/>
  <c r="C20" i="30" s="1"/>
  <c r="C19" i="56" s="1"/>
  <c r="D18" i="28"/>
  <c r="D20" i="30" s="1"/>
  <c r="D19" i="56" s="1"/>
  <c r="E18" i="28"/>
  <c r="E20" i="30" s="1"/>
  <c r="E19" i="56" s="1"/>
  <c r="F20" i="30"/>
  <c r="G18" i="28"/>
  <c r="H18" i="28"/>
  <c r="I18" i="28"/>
  <c r="I20" i="30" s="1"/>
  <c r="J18" i="28"/>
  <c r="K20" i="30"/>
  <c r="K19" i="56" s="1"/>
  <c r="C17" i="28"/>
  <c r="D17" i="28"/>
  <c r="D19" i="30" s="1"/>
  <c r="D18" i="56" s="1"/>
  <c r="E17" i="28"/>
  <c r="F19" i="30"/>
  <c r="G17" i="28"/>
  <c r="H17" i="28"/>
  <c r="H19" i="30" s="1"/>
  <c r="I17" i="28"/>
  <c r="I19" i="30" s="1"/>
  <c r="J17" i="28"/>
  <c r="J19" i="30" s="1"/>
  <c r="J18" i="56" s="1"/>
  <c r="K19" i="30"/>
  <c r="K18" i="56" s="1"/>
  <c r="C16" i="28"/>
  <c r="C18" i="30" s="1"/>
  <c r="C17" i="56" s="1"/>
  <c r="D16" i="28"/>
  <c r="D18" i="30" s="1"/>
  <c r="D17" i="56" s="1"/>
  <c r="E16" i="28"/>
  <c r="E18" i="30" s="1"/>
  <c r="E17" i="56" s="1"/>
  <c r="F18" i="30"/>
  <c r="G16" i="28"/>
  <c r="H16" i="28"/>
  <c r="I16" i="28"/>
  <c r="I18" i="30" s="1"/>
  <c r="J16" i="28"/>
  <c r="K18" i="30"/>
  <c r="K17" i="56" s="1"/>
  <c r="C15" i="28"/>
  <c r="D15" i="28"/>
  <c r="D17" i="30" s="1"/>
  <c r="D16" i="56" s="1"/>
  <c r="E15" i="28"/>
  <c r="F17" i="30"/>
  <c r="G15" i="28"/>
  <c r="H15" i="28"/>
  <c r="H17" i="30" s="1"/>
  <c r="H16" i="56" s="1"/>
  <c r="I15" i="28"/>
  <c r="I17" i="30" s="1"/>
  <c r="I16" i="56" s="1"/>
  <c r="J15" i="28"/>
  <c r="J17" i="30" s="1"/>
  <c r="J16" i="56" s="1"/>
  <c r="K17" i="30"/>
  <c r="K16" i="56" s="1"/>
  <c r="C14" i="28"/>
  <c r="C16" i="30" s="1"/>
  <c r="C15" i="56" s="1"/>
  <c r="D14" i="28"/>
  <c r="D16" i="30" s="1"/>
  <c r="D15" i="56" s="1"/>
  <c r="D15" i="57" s="1"/>
  <c r="E14" i="28"/>
  <c r="E16" i="30" s="1"/>
  <c r="E15" i="56" s="1"/>
  <c r="E15" i="57" s="1"/>
  <c r="F16" i="30"/>
  <c r="G14" i="28"/>
  <c r="H14" i="28"/>
  <c r="I14" i="28"/>
  <c r="I16" i="30" s="1"/>
  <c r="J14" i="28"/>
  <c r="K16" i="30"/>
  <c r="K15" i="56" s="1"/>
  <c r="C13" i="28"/>
  <c r="D13" i="28"/>
  <c r="D15" i="30" s="1"/>
  <c r="D14" i="56" s="1"/>
  <c r="E13" i="28"/>
  <c r="F15" i="30"/>
  <c r="G13" i="28"/>
  <c r="H13" i="28"/>
  <c r="H15" i="30" s="1"/>
  <c r="I13" i="28"/>
  <c r="I15" i="30" s="1"/>
  <c r="J13" i="28"/>
  <c r="J15" i="30" s="1"/>
  <c r="J14" i="56" s="1"/>
  <c r="K15" i="30"/>
  <c r="K14" i="56" s="1"/>
  <c r="C12" i="28"/>
  <c r="C14" i="30" s="1"/>
  <c r="C13" i="56" s="1"/>
  <c r="D12" i="28"/>
  <c r="D14" i="30" s="1"/>
  <c r="D13" i="56" s="1"/>
  <c r="E12" i="28"/>
  <c r="E14" i="30" s="1"/>
  <c r="E13" i="56" s="1"/>
  <c r="F14" i="30"/>
  <c r="G12" i="28"/>
  <c r="H12" i="28"/>
  <c r="I12" i="28"/>
  <c r="I14" i="30" s="1"/>
  <c r="J12" i="28"/>
  <c r="K14" i="30"/>
  <c r="K13" i="56" s="1"/>
  <c r="C11" i="28"/>
  <c r="D11" i="28"/>
  <c r="D12" i="30" s="1"/>
  <c r="D11" i="56" s="1"/>
  <c r="E11" i="28"/>
  <c r="E12" i="30" s="1"/>
  <c r="E11" i="56" s="1"/>
  <c r="F12" i="30"/>
  <c r="G11" i="28"/>
  <c r="H11" i="28"/>
  <c r="H12" i="30" s="1"/>
  <c r="I11" i="28"/>
  <c r="J11" i="28"/>
  <c r="K12" i="30"/>
  <c r="K11" i="56" s="1"/>
  <c r="C10" i="28"/>
  <c r="C11" i="30" s="1"/>
  <c r="C10" i="56" s="1"/>
  <c r="D10" i="28"/>
  <c r="E10" i="28"/>
  <c r="E11" i="30" s="1"/>
  <c r="E10" i="56" s="1"/>
  <c r="F11" i="30"/>
  <c r="G10" i="28"/>
  <c r="H10" i="28"/>
  <c r="H11" i="30" s="1"/>
  <c r="I10" i="28"/>
  <c r="I11" i="30" s="1"/>
  <c r="J10" i="28"/>
  <c r="K11" i="30"/>
  <c r="K10" i="56" s="1"/>
  <c r="C9" i="30"/>
  <c r="C8" i="56" s="1"/>
  <c r="D9" i="30"/>
  <c r="D8" i="56" s="1"/>
  <c r="E9" i="30"/>
  <c r="E8" i="56" s="1"/>
  <c r="H9" i="30"/>
  <c r="H8" i="56" s="1"/>
  <c r="K9" i="30"/>
  <c r="K8" i="56" s="1"/>
  <c r="P8" i="56" s="1"/>
  <c r="C8" i="28"/>
  <c r="C8" i="30" s="1"/>
  <c r="C7" i="56" s="1"/>
  <c r="D8" i="28"/>
  <c r="D8" i="30" s="1"/>
  <c r="D7" i="56" s="1"/>
  <c r="E8" i="28"/>
  <c r="E8" i="30" s="1"/>
  <c r="E7" i="56" s="1"/>
  <c r="G8" i="28"/>
  <c r="H8" i="28"/>
  <c r="I8" i="28"/>
  <c r="J8" i="28"/>
  <c r="N15" i="28"/>
  <c r="N20" i="28"/>
  <c r="M26" i="28"/>
  <c r="P37" i="28"/>
  <c r="H12" i="40"/>
  <c r="H12" i="29" s="1"/>
  <c r="H11" i="55" s="1"/>
  <c r="I12" i="40"/>
  <c r="I12" i="29" s="1"/>
  <c r="I11" i="55" s="1"/>
  <c r="J12" i="40"/>
  <c r="J12" i="29" s="1"/>
  <c r="J11" i="55" s="1"/>
  <c r="K12" i="29"/>
  <c r="K11" i="55" s="1"/>
  <c r="H11" i="40"/>
  <c r="H11" i="29" s="1"/>
  <c r="H10" i="55" s="1"/>
  <c r="I11" i="40"/>
  <c r="I11" i="29" s="1"/>
  <c r="I10" i="55" s="1"/>
  <c r="J11" i="40"/>
  <c r="J11" i="29" s="1"/>
  <c r="J10" i="55" s="1"/>
  <c r="K11" i="29"/>
  <c r="K10" i="55" s="1"/>
  <c r="H10" i="40"/>
  <c r="H10" i="29" s="1"/>
  <c r="H9" i="55" s="1"/>
  <c r="I10" i="40"/>
  <c r="I10" i="29" s="1"/>
  <c r="I9" i="55" s="1"/>
  <c r="J10" i="40"/>
  <c r="J10" i="29" s="1"/>
  <c r="J9" i="55" s="1"/>
  <c r="K10" i="29"/>
  <c r="K9" i="55" s="1"/>
  <c r="C42" i="40"/>
  <c r="C42" i="34" s="1"/>
  <c r="D42" i="40"/>
  <c r="D42" i="34" s="1"/>
  <c r="E42" i="40"/>
  <c r="E42" i="34" s="1"/>
  <c r="G42" i="40"/>
  <c r="H42" i="40"/>
  <c r="I42" i="40"/>
  <c r="J42" i="40"/>
  <c r="C40" i="40"/>
  <c r="D40" i="40"/>
  <c r="E40" i="40"/>
  <c r="G40" i="40"/>
  <c r="G40" i="29" s="1"/>
  <c r="H40" i="40"/>
  <c r="H40" i="29" s="1"/>
  <c r="I40" i="40"/>
  <c r="J40" i="40"/>
  <c r="J40" i="29" s="1"/>
  <c r="C39" i="40"/>
  <c r="D39" i="40"/>
  <c r="E39" i="40"/>
  <c r="G39" i="40"/>
  <c r="H39" i="40"/>
  <c r="I39" i="40"/>
  <c r="N39" i="40" s="1"/>
  <c r="J39" i="40"/>
  <c r="C38" i="40"/>
  <c r="D38" i="40"/>
  <c r="E38" i="40"/>
  <c r="G38" i="40"/>
  <c r="H38" i="40"/>
  <c r="I38" i="40"/>
  <c r="N38" i="40" s="1"/>
  <c r="J38" i="40"/>
  <c r="P38" i="40"/>
  <c r="C37" i="40"/>
  <c r="C37" i="34" s="1"/>
  <c r="D37" i="40"/>
  <c r="D37" i="34" s="1"/>
  <c r="E37" i="40"/>
  <c r="E37" i="34" s="1"/>
  <c r="G37" i="40"/>
  <c r="H37" i="40"/>
  <c r="I37" i="40"/>
  <c r="N37" i="40" s="1"/>
  <c r="J37" i="40"/>
  <c r="C36" i="40"/>
  <c r="C36" i="34" s="1"/>
  <c r="D36" i="40"/>
  <c r="E36" i="40"/>
  <c r="E36" i="34" s="1"/>
  <c r="G36" i="40"/>
  <c r="H36" i="40"/>
  <c r="I36" i="40"/>
  <c r="N36" i="40" s="1"/>
  <c r="J36" i="40"/>
  <c r="C35" i="40"/>
  <c r="D35" i="40"/>
  <c r="D35" i="34" s="1"/>
  <c r="E35" i="40"/>
  <c r="G35" i="40"/>
  <c r="H35" i="40"/>
  <c r="I35" i="40"/>
  <c r="N35" i="40" s="1"/>
  <c r="J35" i="40"/>
  <c r="C34" i="40"/>
  <c r="C34" i="34" s="1"/>
  <c r="D34" i="40"/>
  <c r="E34" i="40"/>
  <c r="G34" i="40"/>
  <c r="H34" i="40"/>
  <c r="I34" i="40"/>
  <c r="N34" i="40" s="1"/>
  <c r="J34" i="40"/>
  <c r="C33" i="40"/>
  <c r="D33" i="40"/>
  <c r="E33" i="40"/>
  <c r="G33" i="40"/>
  <c r="H33" i="40"/>
  <c r="I33" i="40"/>
  <c r="J33" i="40"/>
  <c r="C32" i="40"/>
  <c r="D32" i="40"/>
  <c r="E32" i="40"/>
  <c r="G32" i="40"/>
  <c r="H32" i="40"/>
  <c r="I32" i="40"/>
  <c r="N32" i="40" s="1"/>
  <c r="J32" i="40"/>
  <c r="C31" i="40"/>
  <c r="D31" i="40"/>
  <c r="E31" i="40"/>
  <c r="G31" i="40"/>
  <c r="H31" i="40"/>
  <c r="I31" i="40"/>
  <c r="N31" i="40" s="1"/>
  <c r="J31" i="40"/>
  <c r="C30" i="40"/>
  <c r="D30" i="40"/>
  <c r="E30" i="40"/>
  <c r="G30" i="40"/>
  <c r="H30" i="40"/>
  <c r="I30" i="40"/>
  <c r="N30" i="40" s="1"/>
  <c r="J30" i="40"/>
  <c r="C29" i="40"/>
  <c r="C29" i="34" s="1"/>
  <c r="D29" i="40"/>
  <c r="E29" i="40"/>
  <c r="G29" i="40"/>
  <c r="H29" i="40"/>
  <c r="I29" i="40"/>
  <c r="J29" i="40"/>
  <c r="C28" i="40"/>
  <c r="D28" i="40"/>
  <c r="E28" i="40"/>
  <c r="G28" i="40"/>
  <c r="H28" i="40"/>
  <c r="M28" i="40" s="1"/>
  <c r="I28" i="40"/>
  <c r="N28" i="40" s="1"/>
  <c r="J28" i="40"/>
  <c r="C27" i="40"/>
  <c r="D27" i="40"/>
  <c r="E27" i="40"/>
  <c r="G27" i="40"/>
  <c r="H27" i="40"/>
  <c r="I27" i="40"/>
  <c r="N27" i="40" s="1"/>
  <c r="J27" i="40"/>
  <c r="C26" i="40"/>
  <c r="D26" i="40"/>
  <c r="E26" i="40"/>
  <c r="G26" i="40"/>
  <c r="H26" i="40"/>
  <c r="I26" i="40"/>
  <c r="N26" i="40" s="1"/>
  <c r="J26" i="40"/>
  <c r="K26" i="29"/>
  <c r="K25" i="55" s="1"/>
  <c r="C25" i="40"/>
  <c r="D25" i="40"/>
  <c r="D25" i="34" s="1"/>
  <c r="E25" i="40"/>
  <c r="G25" i="40"/>
  <c r="H25" i="40"/>
  <c r="H25" i="29" s="1"/>
  <c r="H24" i="55" s="1"/>
  <c r="I25" i="40"/>
  <c r="I25" i="29" s="1"/>
  <c r="I24" i="55" s="1"/>
  <c r="J25" i="40"/>
  <c r="J25" i="29" s="1"/>
  <c r="J24" i="55" s="1"/>
  <c r="K25" i="29"/>
  <c r="K24" i="55" s="1"/>
  <c r="C24" i="40"/>
  <c r="C24" i="34" s="1"/>
  <c r="D24" i="40"/>
  <c r="D24" i="34" s="1"/>
  <c r="E24" i="40"/>
  <c r="E24" i="34" s="1"/>
  <c r="G24" i="40"/>
  <c r="H24" i="40"/>
  <c r="H24" i="29" s="1"/>
  <c r="H23" i="55" s="1"/>
  <c r="I24" i="40"/>
  <c r="I24" i="29" s="1"/>
  <c r="I23" i="55" s="1"/>
  <c r="J24" i="40"/>
  <c r="J24" i="29" s="1"/>
  <c r="J23" i="55" s="1"/>
  <c r="K24" i="29"/>
  <c r="K23" i="55" s="1"/>
  <c r="C23" i="40"/>
  <c r="D23" i="40"/>
  <c r="E23" i="40"/>
  <c r="G23" i="40"/>
  <c r="H23" i="40"/>
  <c r="H23" i="29" s="1"/>
  <c r="H22" i="55" s="1"/>
  <c r="I23" i="40"/>
  <c r="I23" i="29" s="1"/>
  <c r="I22" i="55" s="1"/>
  <c r="J23" i="40"/>
  <c r="K23" i="29"/>
  <c r="K22" i="55" s="1"/>
  <c r="P22" i="55" s="1"/>
  <c r="C22" i="40"/>
  <c r="D22" i="40"/>
  <c r="E22" i="40"/>
  <c r="G22" i="40"/>
  <c r="H22" i="40"/>
  <c r="H22" i="29" s="1"/>
  <c r="H21" i="55" s="1"/>
  <c r="I22" i="40"/>
  <c r="I22" i="29" s="1"/>
  <c r="I21" i="55" s="1"/>
  <c r="J22" i="40"/>
  <c r="J22" i="29" s="1"/>
  <c r="J21" i="55" s="1"/>
  <c r="K22" i="29"/>
  <c r="K21" i="55" s="1"/>
  <c r="P21" i="55" s="1"/>
  <c r="C21" i="40"/>
  <c r="D21" i="40"/>
  <c r="E21" i="40"/>
  <c r="G21" i="40"/>
  <c r="H21" i="40"/>
  <c r="H21" i="29" s="1"/>
  <c r="H20" i="55" s="1"/>
  <c r="I21" i="40"/>
  <c r="I21" i="29" s="1"/>
  <c r="I20" i="55" s="1"/>
  <c r="J21" i="40"/>
  <c r="J21" i="29" s="1"/>
  <c r="J20" i="55" s="1"/>
  <c r="K21" i="29"/>
  <c r="K20" i="55" s="1"/>
  <c r="P20" i="55" s="1"/>
  <c r="C20" i="40"/>
  <c r="D20" i="40"/>
  <c r="E20" i="40"/>
  <c r="G20" i="40"/>
  <c r="H20" i="40"/>
  <c r="I20" i="40"/>
  <c r="J20" i="40"/>
  <c r="K20" i="29"/>
  <c r="C19" i="40"/>
  <c r="D19" i="40"/>
  <c r="E19" i="40"/>
  <c r="G19" i="40"/>
  <c r="H19" i="40"/>
  <c r="H19" i="29" s="1"/>
  <c r="H18" i="55" s="1"/>
  <c r="I19" i="40"/>
  <c r="I19" i="29" s="1"/>
  <c r="I18" i="55" s="1"/>
  <c r="J19" i="40"/>
  <c r="J19" i="29" s="1"/>
  <c r="J18" i="55" s="1"/>
  <c r="K19" i="29"/>
  <c r="K18" i="55" s="1"/>
  <c r="P18" i="55" s="1"/>
  <c r="C18" i="40"/>
  <c r="D18" i="40"/>
  <c r="E18" i="40"/>
  <c r="G18" i="40"/>
  <c r="H18" i="40"/>
  <c r="H18" i="29" s="1"/>
  <c r="H17" i="55" s="1"/>
  <c r="I18" i="40"/>
  <c r="I18" i="29" s="1"/>
  <c r="I17" i="55" s="1"/>
  <c r="J18" i="40"/>
  <c r="J18" i="29" s="1"/>
  <c r="J17" i="55" s="1"/>
  <c r="K18" i="29"/>
  <c r="K17" i="55" s="1"/>
  <c r="C17" i="40"/>
  <c r="D17" i="40"/>
  <c r="E17" i="40"/>
  <c r="G17" i="40"/>
  <c r="H17" i="40"/>
  <c r="I17" i="40"/>
  <c r="I17" i="29" s="1"/>
  <c r="I16" i="55" s="1"/>
  <c r="J17" i="40"/>
  <c r="J17" i="29" s="1"/>
  <c r="J16" i="55" s="1"/>
  <c r="K17" i="29"/>
  <c r="K16" i="55" s="1"/>
  <c r="C16" i="34"/>
  <c r="C15" i="40"/>
  <c r="D15" i="40"/>
  <c r="E15" i="40"/>
  <c r="F15" i="35"/>
  <c r="G15" i="40"/>
  <c r="H15" i="40"/>
  <c r="H15" i="29" s="1"/>
  <c r="H14" i="55" s="1"/>
  <c r="I15" i="40"/>
  <c r="I15" i="29" s="1"/>
  <c r="I14" i="55" s="1"/>
  <c r="J15" i="40"/>
  <c r="J15" i="29" s="1"/>
  <c r="J14" i="55" s="1"/>
  <c r="K15" i="29"/>
  <c r="K14" i="55" s="1"/>
  <c r="C14" i="40"/>
  <c r="D14" i="40"/>
  <c r="E14" i="40"/>
  <c r="G14" i="40"/>
  <c r="H14" i="40"/>
  <c r="H14" i="29" s="1"/>
  <c r="H13" i="55" s="1"/>
  <c r="I14" i="40"/>
  <c r="I14" i="29" s="1"/>
  <c r="I13" i="55" s="1"/>
  <c r="J14" i="40"/>
  <c r="J14" i="29" s="1"/>
  <c r="J13" i="55" s="1"/>
  <c r="K14" i="29"/>
  <c r="K13" i="55" s="1"/>
  <c r="P13" i="55" s="1"/>
  <c r="C13" i="40"/>
  <c r="D13" i="40"/>
  <c r="E13" i="40"/>
  <c r="G13" i="40"/>
  <c r="H13" i="40"/>
  <c r="H13" i="29" s="1"/>
  <c r="H12" i="55" s="1"/>
  <c r="I13" i="40"/>
  <c r="I13" i="29" s="1"/>
  <c r="I12" i="55" s="1"/>
  <c r="J13" i="40"/>
  <c r="K13" i="29"/>
  <c r="K12" i="55" s="1"/>
  <c r="C12" i="40"/>
  <c r="D12" i="40"/>
  <c r="E12" i="40"/>
  <c r="C11" i="40"/>
  <c r="D11" i="40"/>
  <c r="E11" i="40"/>
  <c r="C10" i="40"/>
  <c r="C10" i="34" s="1"/>
  <c r="D10" i="40"/>
  <c r="D10" i="34" s="1"/>
  <c r="E10" i="40"/>
  <c r="E10" i="34" s="1"/>
  <c r="F10" i="34"/>
  <c r="C9" i="40"/>
  <c r="C9" i="29" s="1"/>
  <c r="D9" i="40"/>
  <c r="D9" i="29" s="1"/>
  <c r="D8" i="55" s="1"/>
  <c r="D8" i="57" s="1"/>
  <c r="E9" i="40"/>
  <c r="E9" i="29" s="1"/>
  <c r="E8" i="55" s="1"/>
  <c r="G9" i="40"/>
  <c r="H9" i="40"/>
  <c r="H9" i="29" s="1"/>
  <c r="H8" i="55" s="1"/>
  <c r="I9" i="40"/>
  <c r="I9" i="29" s="1"/>
  <c r="I8" i="55" s="1"/>
  <c r="J9" i="40"/>
  <c r="K9" i="29"/>
  <c r="K8" i="55" s="1"/>
  <c r="G8" i="40"/>
  <c r="H8" i="40"/>
  <c r="H8" i="29" s="1"/>
  <c r="H7" i="55" s="1"/>
  <c r="I8" i="40"/>
  <c r="I8" i="29" s="1"/>
  <c r="I7" i="55" s="1"/>
  <c r="J8" i="40"/>
  <c r="J8" i="29" s="1"/>
  <c r="J7" i="55" s="1"/>
  <c r="K8" i="29"/>
  <c r="K7" i="55" s="1"/>
  <c r="C8" i="40"/>
  <c r="C8" i="29" s="1"/>
  <c r="D8" i="40"/>
  <c r="D8" i="29" s="1"/>
  <c r="D7" i="55" s="1"/>
  <c r="E8" i="40"/>
  <c r="E8" i="29" s="1"/>
  <c r="E7" i="55" s="1"/>
  <c r="P25" i="40"/>
  <c r="P28" i="40"/>
  <c r="P35" i="40"/>
  <c r="P37" i="40"/>
  <c r="P39" i="40"/>
  <c r="L43" i="40"/>
  <c r="M43" i="40"/>
  <c r="N43" i="40"/>
  <c r="O43" i="40"/>
  <c r="P43" i="40"/>
  <c r="P44" i="40"/>
  <c r="L9" i="8"/>
  <c r="M9" i="8"/>
  <c r="N9" i="8"/>
  <c r="L10" i="8"/>
  <c r="M10" i="8"/>
  <c r="N10" i="8"/>
  <c r="L11" i="8"/>
  <c r="M11" i="8"/>
  <c r="N11" i="8"/>
  <c r="L12" i="8"/>
  <c r="M12" i="8"/>
  <c r="N12" i="8"/>
  <c r="L13" i="8"/>
  <c r="M13" i="8"/>
  <c r="N13" i="8"/>
  <c r="L14" i="8"/>
  <c r="M14" i="8"/>
  <c r="N14" i="8"/>
  <c r="L15" i="8"/>
  <c r="M15" i="8"/>
  <c r="N15" i="8"/>
  <c r="L16" i="8"/>
  <c r="M16" i="8"/>
  <c r="N16" i="8"/>
  <c r="L17" i="8"/>
  <c r="M17" i="8"/>
  <c r="N17" i="8"/>
  <c r="L18" i="8"/>
  <c r="M18" i="8"/>
  <c r="N18" i="8"/>
  <c r="L19" i="8"/>
  <c r="M19" i="8"/>
  <c r="N19" i="8"/>
  <c r="L20" i="8"/>
  <c r="M20" i="8"/>
  <c r="N20" i="8"/>
  <c r="L21" i="8"/>
  <c r="M21" i="8"/>
  <c r="N21" i="8"/>
  <c r="L22" i="8"/>
  <c r="M22" i="8"/>
  <c r="N22" i="8"/>
  <c r="L23" i="8"/>
  <c r="M23" i="8"/>
  <c r="N23" i="8"/>
  <c r="L25" i="8"/>
  <c r="M25" i="8"/>
  <c r="N25" i="8"/>
  <c r="L26" i="8"/>
  <c r="N26" i="8"/>
  <c r="M8" i="8"/>
  <c r="N8" i="8"/>
  <c r="O8" i="8"/>
  <c r="L8" i="8"/>
  <c r="L8" i="16"/>
  <c r="M8" i="16"/>
  <c r="N8" i="16"/>
  <c r="O8" i="16"/>
  <c r="L9" i="16"/>
  <c r="M9" i="16"/>
  <c r="N9" i="16"/>
  <c r="O9" i="16"/>
  <c r="L10" i="16"/>
  <c r="M10" i="16"/>
  <c r="N10" i="16"/>
  <c r="O10" i="16"/>
  <c r="L11" i="16"/>
  <c r="M11" i="16"/>
  <c r="N11" i="16"/>
  <c r="O11" i="16"/>
  <c r="L12" i="16"/>
  <c r="M12" i="16"/>
  <c r="N12" i="16"/>
  <c r="O12" i="16"/>
  <c r="L13" i="16"/>
  <c r="M13" i="16"/>
  <c r="N13" i="16"/>
  <c r="O13" i="16"/>
  <c r="L14" i="16"/>
  <c r="M14" i="16"/>
  <c r="N14" i="16"/>
  <c r="O14" i="16"/>
  <c r="L15" i="16"/>
  <c r="M15" i="16"/>
  <c r="N15" i="16"/>
  <c r="O15" i="16"/>
  <c r="L16" i="16"/>
  <c r="M16" i="16"/>
  <c r="N16" i="16"/>
  <c r="O16" i="16"/>
  <c r="L17" i="16"/>
  <c r="M17" i="16"/>
  <c r="N17" i="16"/>
  <c r="O17" i="16"/>
  <c r="L18" i="16"/>
  <c r="M18" i="16"/>
  <c r="N18" i="16"/>
  <c r="O18" i="16"/>
  <c r="L19" i="16"/>
  <c r="M19" i="16"/>
  <c r="N19" i="16"/>
  <c r="O19" i="16"/>
  <c r="L20" i="16"/>
  <c r="M20" i="16"/>
  <c r="N20" i="16"/>
  <c r="O20" i="16"/>
  <c r="L21" i="16"/>
  <c r="M21" i="16"/>
  <c r="N21" i="16"/>
  <c r="O21" i="16"/>
  <c r="L22" i="16"/>
  <c r="M22" i="16"/>
  <c r="N22" i="16"/>
  <c r="O22" i="16"/>
  <c r="L23" i="16"/>
  <c r="M23" i="16"/>
  <c r="N23" i="16"/>
  <c r="O23" i="16"/>
  <c r="L24" i="16"/>
  <c r="M24" i="16"/>
  <c r="N24" i="16"/>
  <c r="O24" i="16"/>
  <c r="L25" i="16"/>
  <c r="M25" i="16"/>
  <c r="N25" i="16"/>
  <c r="O25" i="16"/>
  <c r="L26" i="16"/>
  <c r="M26" i="16"/>
  <c r="N26" i="16"/>
  <c r="O26" i="16"/>
  <c r="L27" i="16"/>
  <c r="M27" i="16"/>
  <c r="N27" i="16"/>
  <c r="O27" i="16"/>
  <c r="L28" i="16"/>
  <c r="M28" i="16"/>
  <c r="N28" i="16"/>
  <c r="O28" i="16"/>
  <c r="L29" i="16"/>
  <c r="M29" i="16"/>
  <c r="N29" i="16"/>
  <c r="O29" i="16"/>
  <c r="L30" i="16"/>
  <c r="M30" i="16"/>
  <c r="N30" i="16"/>
  <c r="O30" i="16"/>
  <c r="L31" i="16"/>
  <c r="M31" i="16"/>
  <c r="N31" i="16"/>
  <c r="O31" i="16"/>
  <c r="L32" i="16"/>
  <c r="M32" i="16"/>
  <c r="N32" i="16"/>
  <c r="O32" i="16"/>
  <c r="L33" i="16"/>
  <c r="M33" i="16"/>
  <c r="N33" i="16"/>
  <c r="O33" i="16"/>
  <c r="L34" i="16"/>
  <c r="M34" i="16"/>
  <c r="N34" i="16"/>
  <c r="O34" i="16"/>
  <c r="L35" i="16"/>
  <c r="N35" i="16"/>
  <c r="O35" i="16"/>
  <c r="M7" i="16"/>
  <c r="N7" i="16"/>
  <c r="O7" i="16"/>
  <c r="P7" i="16"/>
  <c r="L7" i="16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M28" i="1"/>
  <c r="N28" i="1"/>
  <c r="O28" i="1"/>
  <c r="M7" i="1"/>
  <c r="N7" i="1"/>
  <c r="O7" i="1"/>
  <c r="P7" i="1"/>
  <c r="L7" i="1"/>
  <c r="M51" i="11"/>
  <c r="N51" i="11"/>
  <c r="O51" i="11"/>
  <c r="P51" i="11"/>
  <c r="Q51" i="11"/>
  <c r="M52" i="11"/>
  <c r="O52" i="11"/>
  <c r="P52" i="11"/>
  <c r="Q52" i="11"/>
  <c r="M53" i="11"/>
  <c r="N53" i="11"/>
  <c r="O53" i="11"/>
  <c r="P53" i="11"/>
  <c r="Q53" i="11"/>
  <c r="M54" i="11"/>
  <c r="N54" i="11"/>
  <c r="O54" i="11"/>
  <c r="P54" i="11"/>
  <c r="Q54" i="11"/>
  <c r="M55" i="11"/>
  <c r="O55" i="11"/>
  <c r="P55" i="11"/>
  <c r="Q55" i="11"/>
  <c r="M56" i="11"/>
  <c r="N56" i="11"/>
  <c r="O56" i="11"/>
  <c r="P56" i="11"/>
  <c r="Q56" i="11"/>
  <c r="M57" i="11"/>
  <c r="N57" i="11"/>
  <c r="O57" i="11"/>
  <c r="P57" i="11"/>
  <c r="Q57" i="11"/>
  <c r="M58" i="11"/>
  <c r="O58" i="11"/>
  <c r="P58" i="11"/>
  <c r="Q58" i="11"/>
  <c r="M59" i="11"/>
  <c r="N59" i="11"/>
  <c r="O59" i="11"/>
  <c r="P59" i="11"/>
  <c r="Q59" i="11"/>
  <c r="M60" i="11"/>
  <c r="N60" i="11"/>
  <c r="O60" i="11"/>
  <c r="P60" i="11"/>
  <c r="Q60" i="11"/>
  <c r="M61" i="11"/>
  <c r="N61" i="11"/>
  <c r="O61" i="11"/>
  <c r="P61" i="11"/>
  <c r="Q61" i="11"/>
  <c r="M62" i="11"/>
  <c r="O62" i="11"/>
  <c r="P62" i="11"/>
  <c r="Q62" i="11"/>
  <c r="M63" i="11"/>
  <c r="N63" i="11"/>
  <c r="O63" i="11"/>
  <c r="P63" i="11"/>
  <c r="Q63" i="11"/>
  <c r="M64" i="11"/>
  <c r="N64" i="11"/>
  <c r="O64" i="11"/>
  <c r="P64" i="11"/>
  <c r="Q64" i="11"/>
  <c r="M65" i="11"/>
  <c r="N65" i="11"/>
  <c r="O65" i="11"/>
  <c r="P65" i="11"/>
  <c r="Q65" i="11"/>
  <c r="M66" i="11"/>
  <c r="O66" i="11"/>
  <c r="P66" i="11"/>
  <c r="Q66" i="11"/>
  <c r="M67" i="11"/>
  <c r="N67" i="11"/>
  <c r="O67" i="11"/>
  <c r="P67" i="11"/>
  <c r="Q67" i="11"/>
  <c r="M68" i="11"/>
  <c r="N68" i="11"/>
  <c r="O68" i="11"/>
  <c r="P68" i="11"/>
  <c r="Q68" i="11"/>
  <c r="M69" i="11"/>
  <c r="O69" i="11"/>
  <c r="P69" i="11"/>
  <c r="Q69" i="11"/>
  <c r="M70" i="11"/>
  <c r="N70" i="11"/>
  <c r="O70" i="11"/>
  <c r="P70" i="11"/>
  <c r="Q70" i="11"/>
  <c r="M71" i="11"/>
  <c r="N71" i="11"/>
  <c r="O71" i="11"/>
  <c r="P71" i="11"/>
  <c r="Q71" i="11"/>
  <c r="M72" i="11"/>
  <c r="O72" i="11"/>
  <c r="P72" i="11"/>
  <c r="Q72" i="11"/>
  <c r="M73" i="11"/>
  <c r="N73" i="11"/>
  <c r="O73" i="11"/>
  <c r="P73" i="11"/>
  <c r="Q73" i="11"/>
  <c r="M74" i="11"/>
  <c r="N74" i="11"/>
  <c r="O74" i="11"/>
  <c r="P74" i="11"/>
  <c r="Q74" i="11"/>
  <c r="M75" i="11"/>
  <c r="O75" i="11"/>
  <c r="P75" i="11"/>
  <c r="Q75" i="11"/>
  <c r="M76" i="11"/>
  <c r="N76" i="11"/>
  <c r="O76" i="11"/>
  <c r="P76" i="11"/>
  <c r="Q76" i="11"/>
  <c r="M77" i="11"/>
  <c r="N77" i="11"/>
  <c r="O77" i="11"/>
  <c r="P77" i="11"/>
  <c r="Q77" i="11"/>
  <c r="M78" i="11"/>
  <c r="O78" i="11"/>
  <c r="P78" i="11"/>
  <c r="Q78" i="11"/>
  <c r="M79" i="11"/>
  <c r="N79" i="11"/>
  <c r="O79" i="11"/>
  <c r="P79" i="11"/>
  <c r="Q79" i="11"/>
  <c r="M80" i="11"/>
  <c r="N80" i="11"/>
  <c r="O80" i="11"/>
  <c r="P80" i="11"/>
  <c r="Q80" i="11"/>
  <c r="M81" i="11"/>
  <c r="O81" i="11"/>
  <c r="P81" i="11"/>
  <c r="Q81" i="11"/>
  <c r="M82" i="11"/>
  <c r="O82" i="11"/>
  <c r="P82" i="11"/>
  <c r="Q82" i="11"/>
  <c r="M83" i="11"/>
  <c r="N83" i="11"/>
  <c r="O83" i="11"/>
  <c r="P83" i="11"/>
  <c r="Q83" i="11"/>
  <c r="M84" i="11"/>
  <c r="N84" i="11"/>
  <c r="O84" i="11"/>
  <c r="P84" i="11"/>
  <c r="Q84" i="11"/>
  <c r="M85" i="11"/>
  <c r="O85" i="11"/>
  <c r="P85" i="11"/>
  <c r="Q85" i="11"/>
  <c r="M86" i="11"/>
  <c r="N86" i="11"/>
  <c r="O86" i="11"/>
  <c r="P86" i="11"/>
  <c r="Q86" i="11"/>
  <c r="M87" i="11"/>
  <c r="N87" i="11"/>
  <c r="O87" i="11"/>
  <c r="P87" i="11"/>
  <c r="Q87" i="11"/>
  <c r="M88" i="11"/>
  <c r="N88" i="11"/>
  <c r="O88" i="11"/>
  <c r="P88" i="11"/>
  <c r="Q88" i="11"/>
  <c r="Q89" i="11"/>
  <c r="M90" i="11"/>
  <c r="N90" i="11"/>
  <c r="O90" i="11"/>
  <c r="P90" i="11"/>
  <c r="Q90" i="11"/>
  <c r="N91" i="11"/>
  <c r="O91" i="11"/>
  <c r="P91" i="11"/>
  <c r="Q91" i="11"/>
  <c r="N92" i="11"/>
  <c r="O92" i="11"/>
  <c r="P92" i="11"/>
  <c r="Q92" i="11"/>
  <c r="N50" i="11"/>
  <c r="O50" i="11"/>
  <c r="P50" i="11"/>
  <c r="Q50" i="11"/>
  <c r="M50" i="11"/>
  <c r="M8" i="11"/>
  <c r="N8" i="11"/>
  <c r="O8" i="11"/>
  <c r="P8" i="11"/>
  <c r="Q8" i="11"/>
  <c r="M9" i="11"/>
  <c r="N9" i="11"/>
  <c r="O9" i="11"/>
  <c r="P9" i="11"/>
  <c r="Q9" i="11"/>
  <c r="M10" i="11"/>
  <c r="N10" i="11"/>
  <c r="O10" i="11"/>
  <c r="P10" i="11"/>
  <c r="Q10" i="11"/>
  <c r="M11" i="11"/>
  <c r="N11" i="11"/>
  <c r="O11" i="11"/>
  <c r="P11" i="11"/>
  <c r="Q11" i="11"/>
  <c r="M12" i="11"/>
  <c r="O12" i="11"/>
  <c r="P12" i="11"/>
  <c r="Q12" i="11"/>
  <c r="M13" i="11"/>
  <c r="N13" i="11"/>
  <c r="O13" i="11"/>
  <c r="P13" i="11"/>
  <c r="Q13" i="11"/>
  <c r="M14" i="11"/>
  <c r="N14" i="11"/>
  <c r="O14" i="11"/>
  <c r="P14" i="11"/>
  <c r="Q14" i="11"/>
  <c r="M15" i="11"/>
  <c r="N15" i="11"/>
  <c r="O15" i="11"/>
  <c r="P15" i="11"/>
  <c r="Q15" i="11"/>
  <c r="N16" i="11"/>
  <c r="O16" i="11"/>
  <c r="P16" i="11"/>
  <c r="Q16" i="11"/>
  <c r="M17" i="11"/>
  <c r="N17" i="11"/>
  <c r="O17" i="11"/>
  <c r="P17" i="11"/>
  <c r="Q17" i="11"/>
  <c r="M18" i="11"/>
  <c r="N18" i="11"/>
  <c r="O18" i="11"/>
  <c r="P18" i="11"/>
  <c r="Q18" i="11"/>
  <c r="M19" i="11"/>
  <c r="N19" i="11"/>
  <c r="O19" i="11"/>
  <c r="P19" i="11"/>
  <c r="Q19" i="11"/>
  <c r="M20" i="11"/>
  <c r="N20" i="11"/>
  <c r="O20" i="11"/>
  <c r="P20" i="11"/>
  <c r="Q20" i="11"/>
  <c r="M21" i="11"/>
  <c r="O21" i="11"/>
  <c r="P21" i="11"/>
  <c r="Q21" i="11"/>
  <c r="M22" i="11"/>
  <c r="N22" i="11"/>
  <c r="O22" i="11"/>
  <c r="P22" i="11"/>
  <c r="Q22" i="11"/>
  <c r="M23" i="11"/>
  <c r="N23" i="11"/>
  <c r="O23" i="11"/>
  <c r="P23" i="11"/>
  <c r="Q23" i="11"/>
  <c r="M24" i="11"/>
  <c r="N24" i="11"/>
  <c r="O24" i="11"/>
  <c r="P24" i="11"/>
  <c r="Q24" i="11"/>
  <c r="M25" i="11"/>
  <c r="N25" i="11"/>
  <c r="O25" i="11"/>
  <c r="P25" i="11"/>
  <c r="Q25" i="11"/>
  <c r="M26" i="11"/>
  <c r="N26" i="11"/>
  <c r="O26" i="11"/>
  <c r="P26" i="11"/>
  <c r="Q26" i="11"/>
  <c r="M27" i="11"/>
  <c r="O27" i="11"/>
  <c r="P27" i="11"/>
  <c r="Q27" i="11"/>
  <c r="M28" i="11"/>
  <c r="N28" i="11"/>
  <c r="O28" i="11"/>
  <c r="P28" i="11"/>
  <c r="Q28" i="11"/>
  <c r="M29" i="11"/>
  <c r="N29" i="11"/>
  <c r="O29" i="11"/>
  <c r="P29" i="11"/>
  <c r="Q29" i="11"/>
  <c r="M30" i="11"/>
  <c r="O30" i="11"/>
  <c r="P30" i="11"/>
  <c r="Q30" i="11"/>
  <c r="M31" i="11"/>
  <c r="N31" i="11"/>
  <c r="O31" i="11"/>
  <c r="P31" i="11"/>
  <c r="Q31" i="11"/>
  <c r="M32" i="11"/>
  <c r="N32" i="11"/>
  <c r="O32" i="11"/>
  <c r="P32" i="11"/>
  <c r="Q32" i="11"/>
  <c r="M33" i="11"/>
  <c r="O33" i="11"/>
  <c r="P33" i="11"/>
  <c r="Q33" i="11"/>
  <c r="M34" i="11"/>
  <c r="N34" i="11"/>
  <c r="O34" i="11"/>
  <c r="P34" i="11"/>
  <c r="Q34" i="11"/>
  <c r="M35" i="11"/>
  <c r="N35" i="11"/>
  <c r="O35" i="11"/>
  <c r="P35" i="11"/>
  <c r="Q35" i="11"/>
  <c r="M36" i="11"/>
  <c r="O36" i="11"/>
  <c r="P36" i="11"/>
  <c r="Q36" i="11"/>
  <c r="M37" i="11"/>
  <c r="N37" i="11"/>
  <c r="O37" i="11"/>
  <c r="P37" i="11"/>
  <c r="Q37" i="11"/>
  <c r="M38" i="11"/>
  <c r="N38" i="11"/>
  <c r="O38" i="11"/>
  <c r="P38" i="11"/>
  <c r="Q38" i="11"/>
  <c r="M39" i="11"/>
  <c r="O39" i="11"/>
  <c r="P39" i="11"/>
  <c r="Q39" i="11"/>
  <c r="M40" i="11"/>
  <c r="N40" i="11"/>
  <c r="O40" i="11"/>
  <c r="P40" i="11"/>
  <c r="Q40" i="11"/>
  <c r="M41" i="11"/>
  <c r="N41" i="11"/>
  <c r="O41" i="11"/>
  <c r="P41" i="11"/>
  <c r="Q41" i="11"/>
  <c r="M42" i="11"/>
  <c r="O42" i="11"/>
  <c r="P42" i="11"/>
  <c r="Q42" i="11"/>
  <c r="M43" i="11"/>
  <c r="N43" i="11"/>
  <c r="O43" i="11"/>
  <c r="P43" i="11"/>
  <c r="Q43" i="11"/>
  <c r="N7" i="11"/>
  <c r="O7" i="11"/>
  <c r="P7" i="11"/>
  <c r="Q7" i="11"/>
  <c r="M7" i="11"/>
  <c r="J9" i="57" l="1"/>
  <c r="Q40" i="58"/>
  <c r="J14" i="57"/>
  <c r="J16" i="57"/>
  <c r="N16" i="56"/>
  <c r="K10" i="58"/>
  <c r="O40" i="56"/>
  <c r="M41" i="30"/>
  <c r="H10" i="58"/>
  <c r="D10" i="58"/>
  <c r="I10" i="58"/>
  <c r="E10" i="58"/>
  <c r="O35" i="56"/>
  <c r="O9" i="56"/>
  <c r="M24" i="30"/>
  <c r="J10" i="58"/>
  <c r="F10" i="58"/>
  <c r="L26" i="58"/>
  <c r="L41" i="58"/>
  <c r="Q41" i="58" s="1"/>
  <c r="Q24" i="58"/>
  <c r="L42" i="58"/>
  <c r="H8" i="57"/>
  <c r="E14" i="34"/>
  <c r="E18" i="34"/>
  <c r="C18" i="34"/>
  <c r="E30" i="34"/>
  <c r="C30" i="34"/>
  <c r="D31" i="34"/>
  <c r="E32" i="34"/>
  <c r="C32" i="34"/>
  <c r="D33" i="34"/>
  <c r="E34" i="34"/>
  <c r="M27" i="28"/>
  <c r="O24" i="28"/>
  <c r="O27" i="56"/>
  <c r="O31" i="56"/>
  <c r="O33" i="56"/>
  <c r="E25" i="34"/>
  <c r="C25" i="34"/>
  <c r="M34" i="28"/>
  <c r="M30" i="28"/>
  <c r="N40" i="40"/>
  <c r="I40" i="29"/>
  <c r="G40" i="55"/>
  <c r="D40" i="34"/>
  <c r="D40" i="29"/>
  <c r="D40" i="55" s="1"/>
  <c r="D41" i="57" s="1"/>
  <c r="F10" i="56"/>
  <c r="F10" i="57" s="1"/>
  <c r="F15" i="56"/>
  <c r="F15" i="57" s="1"/>
  <c r="F17" i="56"/>
  <c r="F17" i="57" s="1"/>
  <c r="F22" i="56"/>
  <c r="F22" i="57" s="1"/>
  <c r="F25" i="56"/>
  <c r="F25" i="57" s="1"/>
  <c r="F27" i="56"/>
  <c r="F27" i="57" s="1"/>
  <c r="F33" i="56"/>
  <c r="F33" i="57" s="1"/>
  <c r="F35" i="56"/>
  <c r="F35" i="57" s="1"/>
  <c r="F40" i="56"/>
  <c r="F40" i="57" s="1"/>
  <c r="F9" i="56"/>
  <c r="F9" i="57" s="1"/>
  <c r="O24" i="30"/>
  <c r="J23" i="56"/>
  <c r="O23" i="56" s="1"/>
  <c r="F23" i="56"/>
  <c r="F23" i="57" s="1"/>
  <c r="K38" i="35"/>
  <c r="K37" i="56"/>
  <c r="I38" i="35"/>
  <c r="I37" i="56"/>
  <c r="O42" i="56"/>
  <c r="F42" i="56"/>
  <c r="F42" i="57" s="1"/>
  <c r="N9" i="40"/>
  <c r="E8" i="57"/>
  <c r="E12" i="34"/>
  <c r="C12" i="34"/>
  <c r="F23" i="35"/>
  <c r="D23" i="34"/>
  <c r="K23" i="57"/>
  <c r="P23" i="55"/>
  <c r="K24" i="57"/>
  <c r="P24" i="55"/>
  <c r="D26" i="34"/>
  <c r="E27" i="34"/>
  <c r="D30" i="34"/>
  <c r="D34" i="34"/>
  <c r="E35" i="34"/>
  <c r="C38" i="34"/>
  <c r="D39" i="34"/>
  <c r="J40" i="55"/>
  <c r="J41" i="57" s="1"/>
  <c r="H40" i="55"/>
  <c r="E40" i="34"/>
  <c r="E40" i="29"/>
  <c r="E40" i="55" s="1"/>
  <c r="E41" i="57" s="1"/>
  <c r="C40" i="34"/>
  <c r="C40" i="29"/>
  <c r="C40" i="55" s="1"/>
  <c r="C41" i="57" s="1"/>
  <c r="O32" i="28"/>
  <c r="M28" i="28"/>
  <c r="N22" i="28"/>
  <c r="N16" i="28"/>
  <c r="F11" i="56"/>
  <c r="F11" i="57" s="1"/>
  <c r="F14" i="56"/>
  <c r="F14" i="57" s="1"/>
  <c r="K15" i="57"/>
  <c r="F16" i="56"/>
  <c r="F16" i="57" s="1"/>
  <c r="K22" i="57"/>
  <c r="F24" i="56"/>
  <c r="F24" i="57" s="1"/>
  <c r="O26" i="56"/>
  <c r="F26" i="56"/>
  <c r="F26" i="57" s="1"/>
  <c r="O34" i="56"/>
  <c r="F34" i="56"/>
  <c r="F34" i="57" s="1"/>
  <c r="O38" i="56"/>
  <c r="O12" i="56"/>
  <c r="F12" i="56"/>
  <c r="F12" i="57" s="1"/>
  <c r="J37" i="57"/>
  <c r="O37" i="56"/>
  <c r="F28" i="56"/>
  <c r="F28" i="57" s="1"/>
  <c r="O32" i="56"/>
  <c r="K25" i="57"/>
  <c r="P25" i="55"/>
  <c r="K13" i="57"/>
  <c r="K21" i="57"/>
  <c r="K8" i="57"/>
  <c r="P8" i="57" s="1"/>
  <c r="P8" i="55"/>
  <c r="K16" i="57"/>
  <c r="P16" i="55"/>
  <c r="K17" i="57"/>
  <c r="P17" i="55"/>
  <c r="K19" i="55"/>
  <c r="P19" i="55" s="1"/>
  <c r="F19" i="56"/>
  <c r="F19" i="57" s="1"/>
  <c r="F32" i="56"/>
  <c r="F32" i="57" s="1"/>
  <c r="D7" i="57"/>
  <c r="K7" i="57"/>
  <c r="P7" i="55"/>
  <c r="K9" i="57"/>
  <c r="P9" i="55"/>
  <c r="K10" i="57"/>
  <c r="P10" i="55"/>
  <c r="K11" i="57"/>
  <c r="P11" i="55"/>
  <c r="F21" i="56"/>
  <c r="F21" i="57" s="1"/>
  <c r="F31" i="56"/>
  <c r="F31" i="57" s="1"/>
  <c r="E7" i="57"/>
  <c r="K12" i="57"/>
  <c r="P12" i="55"/>
  <c r="K14" i="57"/>
  <c r="P14" i="55"/>
  <c r="I16" i="57"/>
  <c r="F13" i="56"/>
  <c r="F13" i="57" s="1"/>
  <c r="O30" i="56"/>
  <c r="F30" i="56"/>
  <c r="F30" i="57" s="1"/>
  <c r="F38" i="56"/>
  <c r="J18" i="57"/>
  <c r="F18" i="56"/>
  <c r="P18" i="56" s="1"/>
  <c r="J20" i="57"/>
  <c r="F20" i="56"/>
  <c r="F20" i="57" s="1"/>
  <c r="F42" i="30"/>
  <c r="K18" i="57"/>
  <c r="K20" i="57"/>
  <c r="O21" i="40"/>
  <c r="H8" i="30"/>
  <c r="H8" i="35" s="1"/>
  <c r="N8" i="40"/>
  <c r="M23" i="40"/>
  <c r="O17" i="40"/>
  <c r="C11" i="34"/>
  <c r="D12" i="34"/>
  <c r="E26" i="34"/>
  <c r="C26" i="34"/>
  <c r="D27" i="34"/>
  <c r="E28" i="34"/>
  <c r="C28" i="34"/>
  <c r="D29" i="34"/>
  <c r="M36" i="28"/>
  <c r="O33" i="28"/>
  <c r="M31" i="28"/>
  <c r="M29" i="28"/>
  <c r="O25" i="28"/>
  <c r="N23" i="28"/>
  <c r="N21" i="28"/>
  <c r="N18" i="28"/>
  <c r="I8" i="30"/>
  <c r="I8" i="35" s="1"/>
  <c r="J20" i="29"/>
  <c r="J19" i="55" s="1"/>
  <c r="H20" i="29"/>
  <c r="H19" i="55" s="1"/>
  <c r="N13" i="40"/>
  <c r="I20" i="29"/>
  <c r="I19" i="55" s="1"/>
  <c r="F38" i="35"/>
  <c r="O18" i="40"/>
  <c r="M15" i="40"/>
  <c r="F19" i="35"/>
  <c r="D19" i="34"/>
  <c r="E20" i="34"/>
  <c r="C20" i="34"/>
  <c r="D21" i="34"/>
  <c r="E22" i="34"/>
  <c r="C22" i="34"/>
  <c r="E31" i="34"/>
  <c r="C31" i="34"/>
  <c r="D32" i="34"/>
  <c r="E33" i="34"/>
  <c r="C33" i="34"/>
  <c r="O30" i="28"/>
  <c r="O29" i="28"/>
  <c r="O28" i="28"/>
  <c r="N19" i="28"/>
  <c r="N17" i="28"/>
  <c r="P43" i="34"/>
  <c r="N43" i="34"/>
  <c r="N25" i="40"/>
  <c r="O22" i="40"/>
  <c r="O20" i="40"/>
  <c r="M18" i="40"/>
  <c r="O15" i="40"/>
  <c r="O28" i="40"/>
  <c r="O40" i="40"/>
  <c r="M40" i="40"/>
  <c r="M9" i="28"/>
  <c r="P31" i="40"/>
  <c r="P27" i="40"/>
  <c r="P34" i="40"/>
  <c r="P32" i="40"/>
  <c r="P30" i="40"/>
  <c r="P23" i="40"/>
  <c r="P8" i="40"/>
  <c r="C27" i="34"/>
  <c r="M24" i="28"/>
  <c r="E38" i="34"/>
  <c r="O34" i="28"/>
  <c r="F12" i="35"/>
  <c r="E11" i="34"/>
  <c r="C14" i="34"/>
  <c r="D15" i="34"/>
  <c r="E16" i="34"/>
  <c r="F17" i="35"/>
  <c r="F21" i="35"/>
  <c r="M32" i="28"/>
  <c r="D28" i="34"/>
  <c r="E29" i="34"/>
  <c r="C35" i="34"/>
  <c r="D36" i="34"/>
  <c r="O36" i="28"/>
  <c r="O31" i="28"/>
  <c r="M25" i="28"/>
  <c r="N14" i="28"/>
  <c r="J39" i="34"/>
  <c r="M33" i="28"/>
  <c r="O26" i="28"/>
  <c r="N13" i="28"/>
  <c r="N12" i="28"/>
  <c r="P10" i="28"/>
  <c r="P24" i="40"/>
  <c r="O8" i="40"/>
  <c r="N42" i="40"/>
  <c r="N33" i="40"/>
  <c r="M16" i="40"/>
  <c r="P29" i="40"/>
  <c r="P33" i="40"/>
  <c r="P42" i="40"/>
  <c r="N29" i="40"/>
  <c r="P36" i="40"/>
  <c r="O19" i="40"/>
  <c r="N12" i="40"/>
  <c r="M8" i="40"/>
  <c r="O10" i="40"/>
  <c r="M14" i="40"/>
  <c r="N24" i="40"/>
  <c r="M22" i="40"/>
  <c r="M20" i="40"/>
  <c r="M10" i="40"/>
  <c r="M26" i="40"/>
  <c r="M30" i="40"/>
  <c r="O32" i="40"/>
  <c r="M34" i="40"/>
  <c r="O36" i="40"/>
  <c r="M38" i="40"/>
  <c r="M21" i="40"/>
  <c r="M19" i="40"/>
  <c r="O16" i="40"/>
  <c r="O14" i="40"/>
  <c r="N11" i="40"/>
  <c r="O26" i="40"/>
  <c r="O30" i="40"/>
  <c r="M32" i="40"/>
  <c r="O34" i="40"/>
  <c r="M36" i="40"/>
  <c r="O38" i="40"/>
  <c r="P26" i="40"/>
  <c r="P12" i="40"/>
  <c r="P11" i="40"/>
  <c r="O39" i="40"/>
  <c r="M9" i="29"/>
  <c r="M13" i="40"/>
  <c r="O41" i="30"/>
  <c r="F25" i="35"/>
  <c r="I9" i="30"/>
  <c r="I8" i="56" s="1"/>
  <c r="N8" i="56" s="1"/>
  <c r="N9" i="28"/>
  <c r="D11" i="30"/>
  <c r="D10" i="56" s="1"/>
  <c r="N10" i="28"/>
  <c r="C12" i="30"/>
  <c r="M11" i="28"/>
  <c r="J14" i="30"/>
  <c r="O12" i="28"/>
  <c r="H14" i="30"/>
  <c r="M14" i="30" s="1"/>
  <c r="M12" i="28"/>
  <c r="E15" i="30"/>
  <c r="O13" i="28"/>
  <c r="C15" i="30"/>
  <c r="C14" i="56" s="1"/>
  <c r="M13" i="28"/>
  <c r="J16" i="30"/>
  <c r="O14" i="28"/>
  <c r="H16" i="30"/>
  <c r="H16" i="35" s="1"/>
  <c r="M14" i="28"/>
  <c r="E17" i="30"/>
  <c r="O15" i="28"/>
  <c r="C17" i="30"/>
  <c r="M15" i="28"/>
  <c r="J18" i="30"/>
  <c r="O16" i="28"/>
  <c r="H18" i="30"/>
  <c r="M18" i="30" s="1"/>
  <c r="M16" i="28"/>
  <c r="E19" i="30"/>
  <c r="O17" i="28"/>
  <c r="C19" i="30"/>
  <c r="M17" i="28"/>
  <c r="J20" i="30"/>
  <c r="O18" i="28"/>
  <c r="H20" i="30"/>
  <c r="M18" i="28"/>
  <c r="E21" i="30"/>
  <c r="O19" i="28"/>
  <c r="C21" i="30"/>
  <c r="M19" i="28"/>
  <c r="J22" i="30"/>
  <c r="O20" i="28"/>
  <c r="H22" i="30"/>
  <c r="M22" i="30" s="1"/>
  <c r="M20" i="28"/>
  <c r="E23" i="30"/>
  <c r="O21" i="28"/>
  <c r="C23" i="30"/>
  <c r="M21" i="28"/>
  <c r="J25" i="30"/>
  <c r="O22" i="28"/>
  <c r="H25" i="30"/>
  <c r="H25" i="35" s="1"/>
  <c r="M22" i="28"/>
  <c r="E26" i="30"/>
  <c r="O23" i="28"/>
  <c r="C26" i="30"/>
  <c r="M23" i="28"/>
  <c r="F11" i="35"/>
  <c r="D11" i="34"/>
  <c r="D14" i="34"/>
  <c r="E15" i="34"/>
  <c r="C15" i="34"/>
  <c r="F16" i="35"/>
  <c r="D16" i="34"/>
  <c r="E17" i="34"/>
  <c r="C17" i="34"/>
  <c r="F18" i="35"/>
  <c r="D18" i="34"/>
  <c r="E19" i="34"/>
  <c r="C19" i="34"/>
  <c r="F20" i="35"/>
  <c r="D20" i="34"/>
  <c r="E21" i="34"/>
  <c r="C21" i="34"/>
  <c r="F22" i="35"/>
  <c r="D22" i="34"/>
  <c r="E23" i="34"/>
  <c r="C23" i="34"/>
  <c r="F24" i="35"/>
  <c r="D38" i="34"/>
  <c r="C39" i="34"/>
  <c r="P36" i="28"/>
  <c r="N36" i="28"/>
  <c r="P34" i="28"/>
  <c r="N34" i="28"/>
  <c r="P33" i="28"/>
  <c r="N33" i="28"/>
  <c r="P32" i="28"/>
  <c r="N32" i="28"/>
  <c r="P31" i="28"/>
  <c r="N31" i="28"/>
  <c r="P30" i="28"/>
  <c r="N30" i="28"/>
  <c r="P29" i="28"/>
  <c r="N29" i="28"/>
  <c r="P28" i="28"/>
  <c r="N28" i="28"/>
  <c r="N27" i="28"/>
  <c r="P26" i="28"/>
  <c r="N26" i="28"/>
  <c r="P25" i="28"/>
  <c r="N25" i="28"/>
  <c r="P24" i="28"/>
  <c r="N24" i="28"/>
  <c r="P23" i="28"/>
  <c r="P22" i="28"/>
  <c r="P21" i="28"/>
  <c r="P20" i="28"/>
  <c r="P19" i="28"/>
  <c r="P18" i="28"/>
  <c r="P17" i="28"/>
  <c r="P16" i="28"/>
  <c r="P15" i="28"/>
  <c r="P14" i="28"/>
  <c r="P13" i="28"/>
  <c r="P12" i="28"/>
  <c r="P11" i="28"/>
  <c r="M10" i="28"/>
  <c r="P11" i="30"/>
  <c r="N11" i="30"/>
  <c r="N14" i="30"/>
  <c r="P16" i="30"/>
  <c r="N16" i="30"/>
  <c r="P18" i="30"/>
  <c r="N18" i="30"/>
  <c r="P20" i="30"/>
  <c r="N20" i="30"/>
  <c r="P22" i="30"/>
  <c r="N22" i="30"/>
  <c r="P25" i="30"/>
  <c r="N25" i="30"/>
  <c r="P27" i="30"/>
  <c r="N27" i="30"/>
  <c r="O28" i="30"/>
  <c r="M28" i="30"/>
  <c r="P29" i="30"/>
  <c r="N29" i="30"/>
  <c r="M30" i="30"/>
  <c r="P31" i="30"/>
  <c r="N31" i="30"/>
  <c r="O32" i="30"/>
  <c r="M32" i="30"/>
  <c r="P33" i="30"/>
  <c r="N33" i="30"/>
  <c r="O34" i="30"/>
  <c r="M34" i="30"/>
  <c r="P35" i="30"/>
  <c r="N35" i="30"/>
  <c r="O36" i="30"/>
  <c r="M36" i="30"/>
  <c r="P38" i="30"/>
  <c r="N38" i="30"/>
  <c r="O40" i="30"/>
  <c r="M40" i="30"/>
  <c r="N10" i="30"/>
  <c r="O13" i="30"/>
  <c r="M13" i="30"/>
  <c r="P24" i="30"/>
  <c r="N24" i="30"/>
  <c r="O37" i="30"/>
  <c r="M37" i="30"/>
  <c r="P41" i="30"/>
  <c r="N41" i="30"/>
  <c r="O42" i="40"/>
  <c r="M42" i="40"/>
  <c r="M39" i="40"/>
  <c r="O37" i="40"/>
  <c r="M37" i="40"/>
  <c r="O35" i="40"/>
  <c r="M35" i="40"/>
  <c r="O33" i="40"/>
  <c r="M33" i="40"/>
  <c r="O31" i="40"/>
  <c r="M31" i="40"/>
  <c r="O29" i="40"/>
  <c r="M29" i="40"/>
  <c r="O27" i="40"/>
  <c r="M27" i="40"/>
  <c r="O25" i="40"/>
  <c r="M25" i="40"/>
  <c r="O24" i="40"/>
  <c r="M24" i="40"/>
  <c r="N23" i="40"/>
  <c r="P22" i="40"/>
  <c r="N22" i="40"/>
  <c r="P21" i="40"/>
  <c r="N21" i="40"/>
  <c r="P20" i="40"/>
  <c r="N20" i="40"/>
  <c r="P19" i="40"/>
  <c r="N19" i="40"/>
  <c r="P18" i="40"/>
  <c r="N18" i="40"/>
  <c r="P17" i="40"/>
  <c r="P16" i="40"/>
  <c r="N16" i="40"/>
  <c r="P15" i="40"/>
  <c r="N15" i="40"/>
  <c r="P14" i="40"/>
  <c r="N14" i="40"/>
  <c r="P13" i="40"/>
  <c r="O12" i="40"/>
  <c r="M12" i="40"/>
  <c r="O11" i="40"/>
  <c r="M11" i="40"/>
  <c r="N10" i="40"/>
  <c r="P9" i="40"/>
  <c r="M9" i="40"/>
  <c r="O43" i="34"/>
  <c r="M43" i="34"/>
  <c r="P9" i="29"/>
  <c r="N9" i="29"/>
  <c r="O8" i="29"/>
  <c r="M8" i="29"/>
  <c r="G9" i="29"/>
  <c r="O13" i="40"/>
  <c r="J13" i="29"/>
  <c r="J12" i="55" s="1"/>
  <c r="J12" i="57" s="1"/>
  <c r="H13" i="35"/>
  <c r="K14" i="35"/>
  <c r="P14" i="29"/>
  <c r="I14" i="35"/>
  <c r="G14" i="29"/>
  <c r="J15" i="35"/>
  <c r="H15" i="35"/>
  <c r="K16" i="35"/>
  <c r="P16" i="29"/>
  <c r="I16" i="35"/>
  <c r="J17" i="35"/>
  <c r="M17" i="40"/>
  <c r="H17" i="29"/>
  <c r="H16" i="55" s="1"/>
  <c r="H16" i="57" s="1"/>
  <c r="N17" i="40"/>
  <c r="K18" i="35"/>
  <c r="P18" i="29"/>
  <c r="I18" i="35"/>
  <c r="G18" i="29"/>
  <c r="J19" i="35"/>
  <c r="H19" i="35"/>
  <c r="K20" i="35"/>
  <c r="P20" i="29"/>
  <c r="I20" i="35"/>
  <c r="G20" i="29"/>
  <c r="J21" i="35"/>
  <c r="H21" i="35"/>
  <c r="K22" i="35"/>
  <c r="P22" i="29"/>
  <c r="I22" i="35"/>
  <c r="G22" i="29"/>
  <c r="O23" i="40"/>
  <c r="J23" i="29"/>
  <c r="J22" i="55" s="1"/>
  <c r="J22" i="57" s="1"/>
  <c r="H23" i="35"/>
  <c r="K24" i="35"/>
  <c r="P24" i="29"/>
  <c r="I24" i="35"/>
  <c r="G24" i="29"/>
  <c r="K26" i="35"/>
  <c r="I26" i="29"/>
  <c r="I25" i="55" s="1"/>
  <c r="I26" i="34"/>
  <c r="N26" i="34" s="1"/>
  <c r="G26" i="29"/>
  <c r="G26" i="34"/>
  <c r="J27" i="29"/>
  <c r="J26" i="55" s="1"/>
  <c r="J26" i="57" s="1"/>
  <c r="J27" i="34"/>
  <c r="H27" i="29"/>
  <c r="H26" i="55" s="1"/>
  <c r="H27" i="34"/>
  <c r="F27" i="35"/>
  <c r="F27" i="34"/>
  <c r="K28" i="29"/>
  <c r="K27" i="55" s="1"/>
  <c r="K28" i="34"/>
  <c r="I28" i="29"/>
  <c r="I27" i="55" s="1"/>
  <c r="I28" i="34"/>
  <c r="G28" i="29"/>
  <c r="G28" i="34"/>
  <c r="J29" i="29"/>
  <c r="J28" i="55" s="1"/>
  <c r="J28" i="57" s="1"/>
  <c r="J29" i="34"/>
  <c r="O29" i="34" s="1"/>
  <c r="H29" i="29"/>
  <c r="H28" i="55" s="1"/>
  <c r="H29" i="34"/>
  <c r="M29" i="34" s="1"/>
  <c r="F29" i="35"/>
  <c r="F29" i="34"/>
  <c r="K30" i="29"/>
  <c r="K29" i="55" s="1"/>
  <c r="K30" i="34"/>
  <c r="I30" i="29"/>
  <c r="I29" i="55" s="1"/>
  <c r="I30" i="34"/>
  <c r="N30" i="34" s="1"/>
  <c r="G30" i="29"/>
  <c r="G30" i="34"/>
  <c r="J31" i="29"/>
  <c r="J30" i="55" s="1"/>
  <c r="J30" i="57" s="1"/>
  <c r="J31" i="34"/>
  <c r="H31" i="29"/>
  <c r="H30" i="55" s="1"/>
  <c r="H31" i="34"/>
  <c r="F31" i="35"/>
  <c r="F31" i="34"/>
  <c r="K32" i="29"/>
  <c r="K31" i="55" s="1"/>
  <c r="P31" i="55" s="1"/>
  <c r="K32" i="34"/>
  <c r="I32" i="29"/>
  <c r="I31" i="55" s="1"/>
  <c r="I32" i="34"/>
  <c r="G32" i="29"/>
  <c r="G32" i="34"/>
  <c r="J33" i="29"/>
  <c r="J32" i="55" s="1"/>
  <c r="J32" i="57" s="1"/>
  <c r="J33" i="34"/>
  <c r="O33" i="34" s="1"/>
  <c r="H33" i="29"/>
  <c r="H32" i="55" s="1"/>
  <c r="H33" i="34"/>
  <c r="F33" i="35"/>
  <c r="F33" i="34"/>
  <c r="K34" i="29"/>
  <c r="K33" i="55" s="1"/>
  <c r="K34" i="34"/>
  <c r="I34" i="29"/>
  <c r="I33" i="55" s="1"/>
  <c r="I34" i="34"/>
  <c r="G34" i="29"/>
  <c r="G34" i="34"/>
  <c r="J35" i="29"/>
  <c r="J34" i="55" s="1"/>
  <c r="J34" i="57" s="1"/>
  <c r="J35" i="34"/>
  <c r="H35" i="29"/>
  <c r="H34" i="55" s="1"/>
  <c r="H35" i="34"/>
  <c r="F35" i="35"/>
  <c r="F35" i="34"/>
  <c r="K36" i="29"/>
  <c r="K35" i="55" s="1"/>
  <c r="K36" i="34"/>
  <c r="I36" i="29"/>
  <c r="I35" i="55" s="1"/>
  <c r="I36" i="34"/>
  <c r="G36" i="29"/>
  <c r="G36" i="34"/>
  <c r="J37" i="29"/>
  <c r="J36" i="55" s="1"/>
  <c r="J36" i="57" s="1"/>
  <c r="J37" i="34"/>
  <c r="O37" i="34" s="1"/>
  <c r="H37" i="29"/>
  <c r="H36" i="55" s="1"/>
  <c r="H37" i="34"/>
  <c r="M37" i="34" s="1"/>
  <c r="F37" i="35"/>
  <c r="F37" i="34"/>
  <c r="K38" i="29"/>
  <c r="K38" i="55" s="1"/>
  <c r="K38" i="34"/>
  <c r="I38" i="29"/>
  <c r="I38" i="55" s="1"/>
  <c r="I38" i="34"/>
  <c r="G38" i="29"/>
  <c r="G38" i="34"/>
  <c r="H39" i="29"/>
  <c r="H39" i="55" s="1"/>
  <c r="H39" i="34"/>
  <c r="F41" i="35"/>
  <c r="F39" i="34"/>
  <c r="K40" i="34"/>
  <c r="I40" i="34"/>
  <c r="G40" i="34"/>
  <c r="J42" i="29"/>
  <c r="J42" i="55" s="1"/>
  <c r="J42" i="57" s="1"/>
  <c r="J42" i="34"/>
  <c r="O42" i="34" s="1"/>
  <c r="H42" i="29"/>
  <c r="H42" i="55" s="1"/>
  <c r="H42" i="34"/>
  <c r="M42" i="34" s="1"/>
  <c r="F43" i="35"/>
  <c r="F42" i="34"/>
  <c r="K10" i="35"/>
  <c r="I10" i="35"/>
  <c r="K11" i="35"/>
  <c r="P11" i="29"/>
  <c r="I11" i="35"/>
  <c r="K12" i="35"/>
  <c r="P12" i="29"/>
  <c r="O8" i="28"/>
  <c r="J8" i="30"/>
  <c r="J7" i="56" s="1"/>
  <c r="P8" i="28"/>
  <c r="F8" i="30"/>
  <c r="F7" i="56" s="1"/>
  <c r="D8" i="35"/>
  <c r="K9" i="35"/>
  <c r="G9" i="30"/>
  <c r="E9" i="35"/>
  <c r="C9" i="35"/>
  <c r="O10" i="28"/>
  <c r="J11" i="30"/>
  <c r="M11" i="30"/>
  <c r="P12" i="30"/>
  <c r="N11" i="28"/>
  <c r="I12" i="30"/>
  <c r="N12" i="30" s="1"/>
  <c r="G12" i="30"/>
  <c r="P15" i="30"/>
  <c r="N15" i="30"/>
  <c r="G15" i="30"/>
  <c r="P17" i="30"/>
  <c r="N17" i="30"/>
  <c r="G17" i="30"/>
  <c r="P19" i="30"/>
  <c r="N19" i="30"/>
  <c r="G19" i="30"/>
  <c r="P21" i="30"/>
  <c r="N21" i="30"/>
  <c r="G21" i="30"/>
  <c r="P23" i="30"/>
  <c r="N23" i="30"/>
  <c r="G23" i="30"/>
  <c r="P26" i="30"/>
  <c r="N26" i="30"/>
  <c r="G26" i="30"/>
  <c r="O27" i="30"/>
  <c r="M27" i="30"/>
  <c r="P28" i="30"/>
  <c r="N28" i="30"/>
  <c r="G28" i="30"/>
  <c r="O29" i="30"/>
  <c r="M29" i="30"/>
  <c r="N30" i="30"/>
  <c r="G30" i="30"/>
  <c r="O31" i="30"/>
  <c r="M31" i="30"/>
  <c r="P32" i="30"/>
  <c r="N32" i="30"/>
  <c r="G32" i="30"/>
  <c r="O33" i="30"/>
  <c r="M33" i="30"/>
  <c r="P34" i="30"/>
  <c r="N34" i="30"/>
  <c r="G34" i="30"/>
  <c r="O35" i="30"/>
  <c r="M35" i="30"/>
  <c r="P36" i="30"/>
  <c r="N36" i="30"/>
  <c r="G36" i="30"/>
  <c r="O38" i="30"/>
  <c r="M38" i="30"/>
  <c r="P40" i="30"/>
  <c r="N40" i="30"/>
  <c r="G40" i="30"/>
  <c r="J8" i="34"/>
  <c r="H8" i="34"/>
  <c r="F8" i="34"/>
  <c r="D8" i="34"/>
  <c r="K9" i="34"/>
  <c r="I9" i="34"/>
  <c r="G9" i="34"/>
  <c r="E9" i="34"/>
  <c r="C9" i="34"/>
  <c r="J10" i="34"/>
  <c r="O10" i="34" s="1"/>
  <c r="H10" i="34"/>
  <c r="M10" i="34" s="1"/>
  <c r="K11" i="34"/>
  <c r="I11" i="34"/>
  <c r="J12" i="34"/>
  <c r="H12" i="34"/>
  <c r="F12" i="34"/>
  <c r="K14" i="34"/>
  <c r="I14" i="34"/>
  <c r="G14" i="34"/>
  <c r="J15" i="34"/>
  <c r="H15" i="34"/>
  <c r="F15" i="34"/>
  <c r="K16" i="34"/>
  <c r="I16" i="34"/>
  <c r="G16" i="34"/>
  <c r="J17" i="34"/>
  <c r="H17" i="34"/>
  <c r="F17" i="34"/>
  <c r="D17" i="34"/>
  <c r="K18" i="34"/>
  <c r="I18" i="34"/>
  <c r="G18" i="34"/>
  <c r="J19" i="34"/>
  <c r="H19" i="34"/>
  <c r="F19" i="34"/>
  <c r="K20" i="34"/>
  <c r="I20" i="34"/>
  <c r="G20" i="34"/>
  <c r="J21" i="34"/>
  <c r="H21" i="34"/>
  <c r="F21" i="34"/>
  <c r="K22" i="34"/>
  <c r="I22" i="34"/>
  <c r="G22" i="34"/>
  <c r="J23" i="34"/>
  <c r="H23" i="34"/>
  <c r="F23" i="34"/>
  <c r="K24" i="34"/>
  <c r="I24" i="34"/>
  <c r="N24" i="34" s="1"/>
  <c r="G24" i="34"/>
  <c r="J25" i="34"/>
  <c r="O25" i="34" s="1"/>
  <c r="H25" i="34"/>
  <c r="F25" i="34"/>
  <c r="K26" i="34"/>
  <c r="P8" i="29"/>
  <c r="N8" i="29"/>
  <c r="G8" i="29"/>
  <c r="O9" i="40"/>
  <c r="J9" i="29"/>
  <c r="P10" i="40"/>
  <c r="P10" i="29"/>
  <c r="K13" i="35"/>
  <c r="P13" i="29"/>
  <c r="I13" i="35"/>
  <c r="G13" i="29"/>
  <c r="K15" i="35"/>
  <c r="P15" i="29"/>
  <c r="I15" i="35"/>
  <c r="G15" i="29"/>
  <c r="K17" i="35"/>
  <c r="P17" i="29"/>
  <c r="I17" i="35"/>
  <c r="G17" i="29"/>
  <c r="K19" i="35"/>
  <c r="P19" i="29"/>
  <c r="I19" i="35"/>
  <c r="G19" i="29"/>
  <c r="K21" i="35"/>
  <c r="P21" i="29"/>
  <c r="I21" i="35"/>
  <c r="G21" i="29"/>
  <c r="K23" i="35"/>
  <c r="P23" i="29"/>
  <c r="I23" i="35"/>
  <c r="G23" i="29"/>
  <c r="J24" i="35"/>
  <c r="H24" i="35"/>
  <c r="K25" i="35"/>
  <c r="P25" i="29"/>
  <c r="I25" i="35"/>
  <c r="G25" i="29"/>
  <c r="J26" i="29"/>
  <c r="J25" i="55" s="1"/>
  <c r="J25" i="57" s="1"/>
  <c r="J26" i="34"/>
  <c r="O26" i="34" s="1"/>
  <c r="H26" i="29"/>
  <c r="H25" i="55" s="1"/>
  <c r="H26" i="34"/>
  <c r="F26" i="35"/>
  <c r="F26" i="34"/>
  <c r="K27" i="29"/>
  <c r="K26" i="55" s="1"/>
  <c r="K27" i="34"/>
  <c r="I27" i="29"/>
  <c r="I26" i="55" s="1"/>
  <c r="I27" i="34"/>
  <c r="N27" i="34" s="1"/>
  <c r="G27" i="29"/>
  <c r="G27" i="34"/>
  <c r="J28" i="29"/>
  <c r="J27" i="55" s="1"/>
  <c r="J27" i="57" s="1"/>
  <c r="J28" i="34"/>
  <c r="H28" i="29"/>
  <c r="H27" i="55" s="1"/>
  <c r="H28" i="34"/>
  <c r="F28" i="35"/>
  <c r="F28" i="34"/>
  <c r="K29" i="29"/>
  <c r="K28" i="55" s="1"/>
  <c r="K29" i="34"/>
  <c r="I29" i="29"/>
  <c r="I28" i="55" s="1"/>
  <c r="I29" i="34"/>
  <c r="G29" i="29"/>
  <c r="G29" i="34"/>
  <c r="J30" i="29"/>
  <c r="J29" i="55" s="1"/>
  <c r="J30" i="34"/>
  <c r="O30" i="34" s="1"/>
  <c r="H30" i="29"/>
  <c r="H29" i="55" s="1"/>
  <c r="H30" i="34"/>
  <c r="F30" i="34"/>
  <c r="K31" i="29"/>
  <c r="K30" i="55" s="1"/>
  <c r="P30" i="55" s="1"/>
  <c r="K31" i="34"/>
  <c r="I31" i="29"/>
  <c r="I30" i="55" s="1"/>
  <c r="I31" i="34"/>
  <c r="N31" i="34" s="1"/>
  <c r="G31" i="29"/>
  <c r="G31" i="34"/>
  <c r="J32" i="29"/>
  <c r="J31" i="55" s="1"/>
  <c r="J31" i="57" s="1"/>
  <c r="J32" i="34"/>
  <c r="H32" i="29"/>
  <c r="H31" i="55" s="1"/>
  <c r="H32" i="34"/>
  <c r="M32" i="34" s="1"/>
  <c r="F32" i="35"/>
  <c r="F32" i="34"/>
  <c r="K33" i="29"/>
  <c r="K32" i="55" s="1"/>
  <c r="P32" i="55" s="1"/>
  <c r="K33" i="34"/>
  <c r="I33" i="29"/>
  <c r="I32" i="55" s="1"/>
  <c r="I33" i="34"/>
  <c r="G33" i="29"/>
  <c r="G33" i="34"/>
  <c r="J34" i="29"/>
  <c r="J33" i="55" s="1"/>
  <c r="J33" i="57" s="1"/>
  <c r="J34" i="34"/>
  <c r="O34" i="34" s="1"/>
  <c r="H34" i="29"/>
  <c r="H33" i="55" s="1"/>
  <c r="H34" i="34"/>
  <c r="M34" i="34" s="1"/>
  <c r="F34" i="35"/>
  <c r="F34" i="34"/>
  <c r="K35" i="29"/>
  <c r="K34" i="55" s="1"/>
  <c r="K35" i="34"/>
  <c r="I35" i="29"/>
  <c r="I34" i="55" s="1"/>
  <c r="I35" i="34"/>
  <c r="N35" i="34" s="1"/>
  <c r="G35" i="29"/>
  <c r="G35" i="34"/>
  <c r="J36" i="29"/>
  <c r="J35" i="55" s="1"/>
  <c r="J35" i="57" s="1"/>
  <c r="J36" i="34"/>
  <c r="O36" i="34" s="1"/>
  <c r="H36" i="29"/>
  <c r="H35" i="55" s="1"/>
  <c r="H36" i="34"/>
  <c r="M36" i="34" s="1"/>
  <c r="F36" i="35"/>
  <c r="F36" i="34"/>
  <c r="K37" i="29"/>
  <c r="K36" i="55" s="1"/>
  <c r="K37" i="34"/>
  <c r="I37" i="29"/>
  <c r="I36" i="55" s="1"/>
  <c r="I37" i="34"/>
  <c r="N37" i="34" s="1"/>
  <c r="G37" i="29"/>
  <c r="G37" i="34"/>
  <c r="J38" i="29"/>
  <c r="J38" i="55" s="1"/>
  <c r="J38" i="57" s="1"/>
  <c r="J38" i="34"/>
  <c r="H38" i="29"/>
  <c r="H38" i="55" s="1"/>
  <c r="H38" i="34"/>
  <c r="F39" i="35"/>
  <c r="F38" i="34"/>
  <c r="K39" i="29"/>
  <c r="K39" i="55" s="1"/>
  <c r="K39" i="34"/>
  <c r="I39" i="29"/>
  <c r="I39" i="55" s="1"/>
  <c r="I39" i="34"/>
  <c r="G39" i="29"/>
  <c r="G39" i="55" s="1"/>
  <c r="G39" i="34"/>
  <c r="J40" i="34"/>
  <c r="H40" i="34"/>
  <c r="M40" i="34" s="1"/>
  <c r="F42" i="35"/>
  <c r="F40" i="34"/>
  <c r="K42" i="29"/>
  <c r="K42" i="55" s="1"/>
  <c r="P42" i="55" s="1"/>
  <c r="K42" i="34"/>
  <c r="I42" i="29"/>
  <c r="I42" i="55" s="1"/>
  <c r="I42" i="34"/>
  <c r="N42" i="34" s="1"/>
  <c r="G42" i="29"/>
  <c r="G42" i="34"/>
  <c r="J10" i="35"/>
  <c r="H10" i="35"/>
  <c r="H11" i="35"/>
  <c r="H12" i="35"/>
  <c r="G8" i="30"/>
  <c r="E8" i="35"/>
  <c r="C8" i="35"/>
  <c r="O9" i="28"/>
  <c r="J9" i="30"/>
  <c r="J8" i="56" s="1"/>
  <c r="O8" i="56" s="1"/>
  <c r="H9" i="35"/>
  <c r="P9" i="28"/>
  <c r="P9" i="30"/>
  <c r="D9" i="35"/>
  <c r="G11" i="30"/>
  <c r="O11" i="28"/>
  <c r="J12" i="30"/>
  <c r="G14" i="30"/>
  <c r="G16" i="30"/>
  <c r="G18" i="30"/>
  <c r="G20" i="30"/>
  <c r="G22" i="30"/>
  <c r="G25" i="30"/>
  <c r="G27" i="30"/>
  <c r="G29" i="30"/>
  <c r="O27" i="28"/>
  <c r="J30" i="30"/>
  <c r="P27" i="28"/>
  <c r="F30" i="30"/>
  <c r="F29" i="56" s="1"/>
  <c r="F29" i="57" s="1"/>
  <c r="G31" i="30"/>
  <c r="G33" i="30"/>
  <c r="G35" i="30"/>
  <c r="G38" i="30"/>
  <c r="K8" i="34"/>
  <c r="I8" i="34"/>
  <c r="G8" i="34"/>
  <c r="E8" i="34"/>
  <c r="C8" i="34"/>
  <c r="J9" i="34"/>
  <c r="H9" i="34"/>
  <c r="F9" i="34"/>
  <c r="D9" i="34"/>
  <c r="K10" i="34"/>
  <c r="P10" i="34" s="1"/>
  <c r="I10" i="34"/>
  <c r="N10" i="34" s="1"/>
  <c r="J11" i="34"/>
  <c r="H11" i="34"/>
  <c r="F11" i="34"/>
  <c r="K12" i="34"/>
  <c r="I12" i="34"/>
  <c r="J14" i="34"/>
  <c r="H14" i="34"/>
  <c r="F14" i="34"/>
  <c r="K15" i="34"/>
  <c r="I15" i="34"/>
  <c r="G15" i="34"/>
  <c r="J16" i="34"/>
  <c r="H16" i="34"/>
  <c r="M16" i="34" s="1"/>
  <c r="F16" i="34"/>
  <c r="K17" i="34"/>
  <c r="I17" i="34"/>
  <c r="G17" i="34"/>
  <c r="J18" i="34"/>
  <c r="O18" i="34" s="1"/>
  <c r="H18" i="34"/>
  <c r="F18" i="34"/>
  <c r="K19" i="34"/>
  <c r="I19" i="34"/>
  <c r="G19" i="34"/>
  <c r="J20" i="34"/>
  <c r="H20" i="34"/>
  <c r="F20" i="34"/>
  <c r="K21" i="34"/>
  <c r="I21" i="34"/>
  <c r="G21" i="34"/>
  <c r="J22" i="34"/>
  <c r="H22" i="34"/>
  <c r="F22" i="34"/>
  <c r="K23" i="34"/>
  <c r="I23" i="34"/>
  <c r="G23" i="34"/>
  <c r="J24" i="34"/>
  <c r="O24" i="34" s="1"/>
  <c r="H24" i="34"/>
  <c r="M24" i="34" s="1"/>
  <c r="F24" i="34"/>
  <c r="K25" i="34"/>
  <c r="I25" i="34"/>
  <c r="N25" i="34" s="1"/>
  <c r="G25" i="34"/>
  <c r="O10" i="30"/>
  <c r="M10" i="30"/>
  <c r="N13" i="30"/>
  <c r="P37" i="30"/>
  <c r="N37" i="30"/>
  <c r="J38" i="35"/>
  <c r="H38" i="35"/>
  <c r="G38" i="35"/>
  <c r="P14" i="30"/>
  <c r="F14" i="35"/>
  <c r="P13" i="30"/>
  <c r="F13" i="35"/>
  <c r="F10" i="35"/>
  <c r="P10" i="30"/>
  <c r="F9" i="35"/>
  <c r="E39" i="34"/>
  <c r="J39" i="29"/>
  <c r="J39" i="55" s="1"/>
  <c r="J40" i="57" s="1"/>
  <c r="P44" i="34"/>
  <c r="K43" i="56"/>
  <c r="K44" i="35"/>
  <c r="M9" i="30"/>
  <c r="M64" i="45"/>
  <c r="N64" i="45"/>
  <c r="O64" i="45"/>
  <c r="P64" i="45"/>
  <c r="Q64" i="45"/>
  <c r="M65" i="45"/>
  <c r="O65" i="45"/>
  <c r="P65" i="45"/>
  <c r="Q65" i="45"/>
  <c r="M66" i="45"/>
  <c r="N66" i="45"/>
  <c r="O66" i="45"/>
  <c r="P66" i="45"/>
  <c r="Q66" i="45"/>
  <c r="M67" i="45"/>
  <c r="N67" i="45"/>
  <c r="O67" i="45"/>
  <c r="P67" i="45"/>
  <c r="Q67" i="45"/>
  <c r="M68" i="45"/>
  <c r="N68" i="45"/>
  <c r="O68" i="45"/>
  <c r="P68" i="45"/>
  <c r="Q68" i="45"/>
  <c r="M69" i="45"/>
  <c r="N69" i="45"/>
  <c r="O69" i="45"/>
  <c r="P69" i="45"/>
  <c r="Q69" i="45"/>
  <c r="M70" i="45"/>
  <c r="N70" i="45"/>
  <c r="O70" i="45"/>
  <c r="P70" i="45"/>
  <c r="Q70" i="45"/>
  <c r="M71" i="45"/>
  <c r="O71" i="45"/>
  <c r="P71" i="45"/>
  <c r="Q71" i="45"/>
  <c r="M72" i="45"/>
  <c r="N72" i="45"/>
  <c r="O72" i="45"/>
  <c r="P72" i="45"/>
  <c r="Q72" i="45"/>
  <c r="M73" i="45"/>
  <c r="N73" i="45"/>
  <c r="O73" i="45"/>
  <c r="P73" i="45"/>
  <c r="Q73" i="45"/>
  <c r="M74" i="45"/>
  <c r="O74" i="45"/>
  <c r="P74" i="45"/>
  <c r="Q74" i="45"/>
  <c r="N75" i="45"/>
  <c r="O75" i="45"/>
  <c r="P75" i="45"/>
  <c r="Q75" i="45"/>
  <c r="M76" i="45"/>
  <c r="N76" i="45"/>
  <c r="O76" i="45"/>
  <c r="P76" i="45"/>
  <c r="Q76" i="45"/>
  <c r="M77" i="45"/>
  <c r="O77" i="45"/>
  <c r="P77" i="45"/>
  <c r="Q77" i="45"/>
  <c r="M78" i="45"/>
  <c r="N78" i="45"/>
  <c r="O78" i="45"/>
  <c r="P78" i="45"/>
  <c r="Q78" i="45"/>
  <c r="M79" i="45"/>
  <c r="N79" i="45"/>
  <c r="O79" i="45"/>
  <c r="P79" i="45"/>
  <c r="Q79" i="45"/>
  <c r="M80" i="45"/>
  <c r="O80" i="45"/>
  <c r="P80" i="45"/>
  <c r="Q80" i="45"/>
  <c r="M81" i="45"/>
  <c r="N81" i="45"/>
  <c r="O81" i="45"/>
  <c r="P81" i="45"/>
  <c r="Q81" i="45"/>
  <c r="M82" i="45"/>
  <c r="N82" i="45"/>
  <c r="O82" i="45"/>
  <c r="P82" i="45"/>
  <c r="Q82" i="45"/>
  <c r="M83" i="45"/>
  <c r="O83" i="45"/>
  <c r="P83" i="45"/>
  <c r="Q83" i="45"/>
  <c r="M84" i="45"/>
  <c r="N84" i="45"/>
  <c r="O84" i="45"/>
  <c r="P84" i="45"/>
  <c r="Q84" i="45"/>
  <c r="M85" i="45"/>
  <c r="N85" i="45"/>
  <c r="O85" i="45"/>
  <c r="P85" i="45"/>
  <c r="Q85" i="45"/>
  <c r="M86" i="45"/>
  <c r="O86" i="45"/>
  <c r="P86" i="45"/>
  <c r="Q86" i="45"/>
  <c r="M87" i="45"/>
  <c r="N87" i="45"/>
  <c r="O87" i="45"/>
  <c r="P87" i="45"/>
  <c r="Q87" i="45"/>
  <c r="M88" i="45"/>
  <c r="N88" i="45"/>
  <c r="O88" i="45"/>
  <c r="P88" i="45"/>
  <c r="Q88" i="45"/>
  <c r="M89" i="45"/>
  <c r="N89" i="45"/>
  <c r="O89" i="45"/>
  <c r="P89" i="45"/>
  <c r="Q89" i="45"/>
  <c r="M90" i="45"/>
  <c r="N90" i="45"/>
  <c r="O90" i="45"/>
  <c r="P90" i="45"/>
  <c r="Q90" i="45"/>
  <c r="M91" i="45"/>
  <c r="O91" i="45"/>
  <c r="P91" i="45"/>
  <c r="Q91" i="45"/>
  <c r="M92" i="45"/>
  <c r="N92" i="45"/>
  <c r="O92" i="45"/>
  <c r="P92" i="45"/>
  <c r="Q92" i="45"/>
  <c r="M93" i="45"/>
  <c r="N93" i="45"/>
  <c r="O93" i="45"/>
  <c r="P93" i="45"/>
  <c r="Q93" i="45"/>
  <c r="M94" i="45"/>
  <c r="N94" i="45"/>
  <c r="O94" i="45"/>
  <c r="P94" i="45"/>
  <c r="Q94" i="45"/>
  <c r="M95" i="45"/>
  <c r="N95" i="45"/>
  <c r="O95" i="45"/>
  <c r="P95" i="45"/>
  <c r="Q95" i="45"/>
  <c r="M96" i="45"/>
  <c r="N96" i="45"/>
  <c r="O96" i="45"/>
  <c r="P96" i="45"/>
  <c r="Q96" i="45"/>
  <c r="M97" i="45"/>
  <c r="N97" i="45"/>
  <c r="O97" i="45"/>
  <c r="P97" i="45"/>
  <c r="Q97" i="45"/>
  <c r="M98" i="45"/>
  <c r="O98" i="45"/>
  <c r="P98" i="45"/>
  <c r="Q98" i="45"/>
  <c r="N99" i="45"/>
  <c r="O99" i="45"/>
  <c r="P99" i="45"/>
  <c r="Q99" i="45"/>
  <c r="N100" i="45"/>
  <c r="O100" i="45"/>
  <c r="P100" i="45"/>
  <c r="Q100" i="45"/>
  <c r="Q101" i="45"/>
  <c r="N63" i="45"/>
  <c r="O63" i="45"/>
  <c r="P63" i="45"/>
  <c r="Q63" i="45"/>
  <c r="M63" i="45"/>
  <c r="M7" i="45"/>
  <c r="N7" i="45"/>
  <c r="O7" i="45"/>
  <c r="P7" i="45"/>
  <c r="Q7" i="45"/>
  <c r="N8" i="45"/>
  <c r="O8" i="45"/>
  <c r="P8" i="45"/>
  <c r="Q8" i="45"/>
  <c r="M9" i="45"/>
  <c r="N9" i="45"/>
  <c r="O9" i="45"/>
  <c r="P9" i="45"/>
  <c r="Q9" i="45"/>
  <c r="M10" i="45"/>
  <c r="N10" i="45"/>
  <c r="O10" i="45"/>
  <c r="P10" i="45"/>
  <c r="Q10" i="45"/>
  <c r="N11" i="45"/>
  <c r="O11" i="45"/>
  <c r="P11" i="45"/>
  <c r="Q11" i="45"/>
  <c r="M12" i="45"/>
  <c r="N12" i="45"/>
  <c r="O12" i="45"/>
  <c r="P12" i="45"/>
  <c r="Q12" i="45"/>
  <c r="M13" i="45"/>
  <c r="N13" i="45"/>
  <c r="O13" i="45"/>
  <c r="P13" i="45"/>
  <c r="Q13" i="45"/>
  <c r="M14" i="45"/>
  <c r="N14" i="45"/>
  <c r="O14" i="45"/>
  <c r="P14" i="45"/>
  <c r="Q14" i="45"/>
  <c r="M15" i="45"/>
  <c r="N15" i="45"/>
  <c r="O15" i="45"/>
  <c r="P15" i="45"/>
  <c r="Q15" i="45"/>
  <c r="M16" i="45"/>
  <c r="N16" i="45"/>
  <c r="O16" i="45"/>
  <c r="P16" i="45"/>
  <c r="Q16" i="45"/>
  <c r="M17" i="45"/>
  <c r="N17" i="45"/>
  <c r="O17" i="45"/>
  <c r="P17" i="45"/>
  <c r="Q17" i="45"/>
  <c r="M18" i="45"/>
  <c r="N18" i="45"/>
  <c r="O18" i="45"/>
  <c r="P18" i="45"/>
  <c r="Q18" i="45"/>
  <c r="M19" i="45"/>
  <c r="N19" i="45"/>
  <c r="O19" i="45"/>
  <c r="P19" i="45"/>
  <c r="Q19" i="45"/>
  <c r="M20" i="45"/>
  <c r="N20" i="45"/>
  <c r="O20" i="45"/>
  <c r="P20" i="45"/>
  <c r="Q20" i="45"/>
  <c r="M21" i="45"/>
  <c r="O21" i="45"/>
  <c r="P21" i="45"/>
  <c r="Q21" i="45"/>
  <c r="M22" i="45"/>
  <c r="N22" i="45"/>
  <c r="O22" i="45"/>
  <c r="P22" i="45"/>
  <c r="Q22" i="45"/>
  <c r="M23" i="45"/>
  <c r="N23" i="45"/>
  <c r="O23" i="45"/>
  <c r="P23" i="45"/>
  <c r="Q23" i="45"/>
  <c r="M24" i="45"/>
  <c r="O24" i="45"/>
  <c r="P24" i="45"/>
  <c r="Q24" i="45"/>
  <c r="M25" i="45"/>
  <c r="N25" i="45"/>
  <c r="O25" i="45"/>
  <c r="P25" i="45"/>
  <c r="Q25" i="45"/>
  <c r="M26" i="45"/>
  <c r="N26" i="45"/>
  <c r="O26" i="45"/>
  <c r="P26" i="45"/>
  <c r="Q26" i="45"/>
  <c r="M27" i="45"/>
  <c r="N27" i="45"/>
  <c r="O27" i="45"/>
  <c r="P27" i="45"/>
  <c r="Q27" i="45"/>
  <c r="M28" i="45"/>
  <c r="N28" i="45"/>
  <c r="O28" i="45"/>
  <c r="P28" i="45"/>
  <c r="Q28" i="45"/>
  <c r="M29" i="45"/>
  <c r="N29" i="45"/>
  <c r="O29" i="45"/>
  <c r="P29" i="45"/>
  <c r="Q29" i="45"/>
  <c r="M30" i="45"/>
  <c r="N30" i="45"/>
  <c r="O30" i="45"/>
  <c r="P30" i="45"/>
  <c r="Q30" i="45"/>
  <c r="M31" i="45"/>
  <c r="N31" i="45"/>
  <c r="O31" i="45"/>
  <c r="P31" i="45"/>
  <c r="Q31" i="45"/>
  <c r="M32" i="45"/>
  <c r="N32" i="45"/>
  <c r="O32" i="45"/>
  <c r="P32" i="45"/>
  <c r="Q32" i="45"/>
  <c r="M33" i="45"/>
  <c r="N33" i="45"/>
  <c r="O33" i="45"/>
  <c r="P33" i="45"/>
  <c r="Q33" i="45"/>
  <c r="M34" i="45"/>
  <c r="N34" i="45"/>
  <c r="O34" i="45"/>
  <c r="P34" i="45"/>
  <c r="Q34" i="45"/>
  <c r="M35" i="45"/>
  <c r="O35" i="45"/>
  <c r="P35" i="45"/>
  <c r="Q35" i="45"/>
  <c r="M36" i="45"/>
  <c r="N36" i="45"/>
  <c r="O36" i="45"/>
  <c r="P36" i="45"/>
  <c r="Q36" i="45"/>
  <c r="M37" i="45"/>
  <c r="N37" i="45"/>
  <c r="O37" i="45"/>
  <c r="P37" i="45"/>
  <c r="Q37" i="45"/>
  <c r="M38" i="45"/>
  <c r="O38" i="45"/>
  <c r="P38" i="45"/>
  <c r="Q38" i="45"/>
  <c r="M39" i="45"/>
  <c r="N39" i="45"/>
  <c r="O39" i="45"/>
  <c r="P39" i="45"/>
  <c r="Q39" i="45"/>
  <c r="M40" i="45"/>
  <c r="N40" i="45"/>
  <c r="O40" i="45"/>
  <c r="P40" i="45"/>
  <c r="Q40" i="45"/>
  <c r="M41" i="45"/>
  <c r="O41" i="45"/>
  <c r="P41" i="45"/>
  <c r="Q41" i="45"/>
  <c r="M42" i="45"/>
  <c r="N42" i="45"/>
  <c r="O42" i="45"/>
  <c r="P42" i="45"/>
  <c r="Q42" i="45"/>
  <c r="M43" i="45"/>
  <c r="N43" i="45"/>
  <c r="O43" i="45"/>
  <c r="P43" i="45"/>
  <c r="Q43" i="45"/>
  <c r="M44" i="45"/>
  <c r="O44" i="45"/>
  <c r="P44" i="45"/>
  <c r="Q44" i="45"/>
  <c r="M45" i="45"/>
  <c r="N45" i="45"/>
  <c r="O45" i="45"/>
  <c r="P45" i="45"/>
  <c r="Q45" i="45"/>
  <c r="M46" i="45"/>
  <c r="N46" i="45"/>
  <c r="O46" i="45"/>
  <c r="P46" i="45"/>
  <c r="Q46" i="45"/>
  <c r="M47" i="45"/>
  <c r="O47" i="45"/>
  <c r="P47" i="45"/>
  <c r="Q47" i="45"/>
  <c r="M48" i="45"/>
  <c r="N48" i="45"/>
  <c r="O48" i="45"/>
  <c r="P48" i="45"/>
  <c r="Q48" i="45"/>
  <c r="M49" i="45"/>
  <c r="N49" i="45"/>
  <c r="O49" i="45"/>
  <c r="P49" i="45"/>
  <c r="Q49" i="45"/>
  <c r="M50" i="45"/>
  <c r="O50" i="45"/>
  <c r="P50" i="45"/>
  <c r="Q50" i="45"/>
  <c r="M51" i="45"/>
  <c r="N51" i="45"/>
  <c r="O51" i="45"/>
  <c r="P51" i="45"/>
  <c r="Q51" i="45"/>
  <c r="M52" i="45"/>
  <c r="N52" i="45"/>
  <c r="O52" i="45"/>
  <c r="P52" i="45"/>
  <c r="Q52" i="45"/>
  <c r="M53" i="45"/>
  <c r="O53" i="45"/>
  <c r="P53" i="45"/>
  <c r="Q53" i="45"/>
  <c r="M54" i="45"/>
  <c r="N54" i="45"/>
  <c r="O54" i="45"/>
  <c r="P54" i="45"/>
  <c r="Q54" i="45"/>
  <c r="M55" i="45"/>
  <c r="N55" i="45"/>
  <c r="O55" i="45"/>
  <c r="P55" i="45"/>
  <c r="Q55" i="45"/>
  <c r="M56" i="45"/>
  <c r="O56" i="45"/>
  <c r="P56" i="45"/>
  <c r="Q56" i="45"/>
  <c r="N6" i="45"/>
  <c r="O6" i="45"/>
  <c r="P6" i="45"/>
  <c r="Q6" i="45"/>
  <c r="M6" i="45"/>
  <c r="L9" i="46"/>
  <c r="M9" i="46"/>
  <c r="N9" i="46"/>
  <c r="O9" i="46"/>
  <c r="P9" i="46"/>
  <c r="L10" i="46"/>
  <c r="M10" i="46"/>
  <c r="N10" i="46"/>
  <c r="O10" i="46"/>
  <c r="P10" i="46"/>
  <c r="L11" i="46"/>
  <c r="M11" i="46"/>
  <c r="N11" i="46"/>
  <c r="O11" i="46"/>
  <c r="P11" i="46"/>
  <c r="L12" i="46"/>
  <c r="M12" i="46"/>
  <c r="N12" i="46"/>
  <c r="O12" i="46"/>
  <c r="P12" i="46"/>
  <c r="L13" i="46"/>
  <c r="M13" i="46"/>
  <c r="N13" i="46"/>
  <c r="O13" i="46"/>
  <c r="P13" i="46"/>
  <c r="L14" i="46"/>
  <c r="M14" i="46"/>
  <c r="N14" i="46"/>
  <c r="O14" i="46"/>
  <c r="P14" i="46"/>
  <c r="L15" i="46"/>
  <c r="M15" i="46"/>
  <c r="N15" i="46"/>
  <c r="O15" i="46"/>
  <c r="P15" i="46"/>
  <c r="L16" i="46"/>
  <c r="M16" i="46"/>
  <c r="N16" i="46"/>
  <c r="O16" i="46"/>
  <c r="P16" i="46"/>
  <c r="L17" i="46"/>
  <c r="M17" i="46"/>
  <c r="N17" i="46"/>
  <c r="O17" i="46"/>
  <c r="P17" i="46"/>
  <c r="L18" i="46"/>
  <c r="M18" i="46"/>
  <c r="N18" i="46"/>
  <c r="O18" i="46"/>
  <c r="P18" i="46"/>
  <c r="L19" i="46"/>
  <c r="M19" i="46"/>
  <c r="N19" i="46"/>
  <c r="O19" i="46"/>
  <c r="L20" i="46"/>
  <c r="M20" i="46"/>
  <c r="N20" i="46"/>
  <c r="O20" i="46"/>
  <c r="P20" i="46"/>
  <c r="L21" i="46"/>
  <c r="M21" i="46"/>
  <c r="N21" i="46"/>
  <c r="O21" i="46"/>
  <c r="P21" i="46"/>
  <c r="L22" i="46"/>
  <c r="M22" i="46"/>
  <c r="N22" i="46"/>
  <c r="O22" i="46"/>
  <c r="P22" i="46"/>
  <c r="L23" i="46"/>
  <c r="M23" i="46"/>
  <c r="N23" i="46"/>
  <c r="O23" i="46"/>
  <c r="P23" i="46"/>
  <c r="L24" i="46"/>
  <c r="M24" i="46"/>
  <c r="N24" i="46"/>
  <c r="O24" i="46"/>
  <c r="P24" i="46"/>
  <c r="L25" i="46"/>
  <c r="M25" i="46"/>
  <c r="N25" i="46"/>
  <c r="O25" i="46"/>
  <c r="P25" i="46"/>
  <c r="L26" i="46"/>
  <c r="M26" i="46"/>
  <c r="N26" i="46"/>
  <c r="O26" i="46"/>
  <c r="P26" i="46"/>
  <c r="L27" i="46"/>
  <c r="M27" i="46"/>
  <c r="N27" i="46"/>
  <c r="O27" i="46"/>
  <c r="P27" i="46"/>
  <c r="L28" i="46"/>
  <c r="M28" i="46"/>
  <c r="N28" i="46"/>
  <c r="O28" i="46"/>
  <c r="P28" i="46"/>
  <c r="L29" i="46"/>
  <c r="M29" i="46"/>
  <c r="N29" i="46"/>
  <c r="O29" i="46"/>
  <c r="P29" i="46"/>
  <c r="L30" i="46"/>
  <c r="M30" i="46"/>
  <c r="N30" i="46"/>
  <c r="O30" i="46"/>
  <c r="P30" i="46"/>
  <c r="L31" i="46"/>
  <c r="M31" i="46"/>
  <c r="N31" i="46"/>
  <c r="O31" i="46"/>
  <c r="P31" i="46"/>
  <c r="L32" i="46"/>
  <c r="M32" i="46"/>
  <c r="N32" i="46"/>
  <c r="O32" i="46"/>
  <c r="P32" i="46"/>
  <c r="L33" i="46"/>
  <c r="M33" i="46"/>
  <c r="N33" i="46"/>
  <c r="O33" i="46"/>
  <c r="P33" i="46"/>
  <c r="L34" i="46"/>
  <c r="M34" i="46"/>
  <c r="N34" i="46"/>
  <c r="O34" i="46"/>
  <c r="P34" i="46"/>
  <c r="L35" i="46"/>
  <c r="M35" i="46"/>
  <c r="N35" i="46"/>
  <c r="O35" i="46"/>
  <c r="P35" i="46"/>
  <c r="L37" i="46"/>
  <c r="M37" i="46"/>
  <c r="N37" i="46"/>
  <c r="O37" i="46"/>
  <c r="P37" i="46"/>
  <c r="L38" i="46"/>
  <c r="M38" i="46"/>
  <c r="N38" i="46"/>
  <c r="O38" i="46"/>
  <c r="P38" i="46"/>
  <c r="O39" i="46"/>
  <c r="P39" i="46"/>
  <c r="M8" i="46"/>
  <c r="N8" i="46"/>
  <c r="O8" i="46"/>
  <c r="P8" i="46"/>
  <c r="L8" i="46"/>
  <c r="M8" i="47"/>
  <c r="N8" i="47"/>
  <c r="O8" i="47"/>
  <c r="P8" i="47"/>
  <c r="Q8" i="47"/>
  <c r="M9" i="47"/>
  <c r="O9" i="47"/>
  <c r="P9" i="47"/>
  <c r="Q9" i="47"/>
  <c r="M10" i="47"/>
  <c r="N10" i="47"/>
  <c r="O10" i="47"/>
  <c r="P10" i="47"/>
  <c r="Q10" i="47"/>
  <c r="M11" i="47"/>
  <c r="N11" i="47"/>
  <c r="O11" i="47"/>
  <c r="P11" i="47"/>
  <c r="Q11" i="47"/>
  <c r="M12" i="47"/>
  <c r="N12" i="47"/>
  <c r="O12" i="47"/>
  <c r="P12" i="47"/>
  <c r="Q12" i="47"/>
  <c r="M13" i="47"/>
  <c r="N13" i="47"/>
  <c r="O13" i="47"/>
  <c r="P13" i="47"/>
  <c r="Q13" i="47"/>
  <c r="M14" i="47"/>
  <c r="O14" i="47"/>
  <c r="P14" i="47"/>
  <c r="Q14" i="47"/>
  <c r="M15" i="47"/>
  <c r="N15" i="47"/>
  <c r="O15" i="47"/>
  <c r="P15" i="47"/>
  <c r="Q15" i="47"/>
  <c r="M17" i="47"/>
  <c r="N17" i="47"/>
  <c r="O17" i="47"/>
  <c r="P17" i="47"/>
  <c r="Q17" i="47"/>
  <c r="M18" i="47"/>
  <c r="N18" i="47"/>
  <c r="O18" i="47"/>
  <c r="P18" i="47"/>
  <c r="Q18" i="47"/>
  <c r="M19" i="47"/>
  <c r="N19" i="47"/>
  <c r="O19" i="47"/>
  <c r="P19" i="47"/>
  <c r="Q19" i="47"/>
  <c r="M20" i="47"/>
  <c r="N20" i="47"/>
  <c r="O20" i="47"/>
  <c r="P20" i="47"/>
  <c r="Q20" i="47"/>
  <c r="M21" i="47"/>
  <c r="O21" i="47"/>
  <c r="P21" i="47"/>
  <c r="Q21" i="47"/>
  <c r="M22" i="47"/>
  <c r="N22" i="47"/>
  <c r="O22" i="47"/>
  <c r="P22" i="47"/>
  <c r="Q22" i="47"/>
  <c r="M23" i="47"/>
  <c r="N23" i="47"/>
  <c r="O23" i="47"/>
  <c r="P23" i="47"/>
  <c r="Q23" i="47"/>
  <c r="M24" i="47"/>
  <c r="O24" i="47"/>
  <c r="P24" i="47"/>
  <c r="Q24" i="47"/>
  <c r="M25" i="47"/>
  <c r="N25" i="47"/>
  <c r="O25" i="47"/>
  <c r="P25" i="47"/>
  <c r="Q25" i="47"/>
  <c r="M26" i="47"/>
  <c r="N26" i="47"/>
  <c r="O26" i="47"/>
  <c r="P26" i="47"/>
  <c r="Q26" i="47"/>
  <c r="M27" i="47"/>
  <c r="O27" i="47"/>
  <c r="P27" i="47"/>
  <c r="Q27" i="47"/>
  <c r="M28" i="47"/>
  <c r="N28" i="47"/>
  <c r="O28" i="47"/>
  <c r="P28" i="47"/>
  <c r="Q28" i="47"/>
  <c r="M29" i="47"/>
  <c r="N29" i="47"/>
  <c r="O29" i="47"/>
  <c r="P29" i="47"/>
  <c r="Q29" i="47"/>
  <c r="M30" i="47"/>
  <c r="O30" i="47"/>
  <c r="P30" i="47"/>
  <c r="Q30" i="47"/>
  <c r="M31" i="47"/>
  <c r="N31" i="47"/>
  <c r="O31" i="47"/>
  <c r="P31" i="47"/>
  <c r="Q31" i="47"/>
  <c r="M32" i="47"/>
  <c r="N32" i="47"/>
  <c r="O32" i="47"/>
  <c r="P32" i="47"/>
  <c r="Q32" i="47"/>
  <c r="M33" i="47"/>
  <c r="N33" i="47"/>
  <c r="O33" i="47"/>
  <c r="P33" i="47"/>
  <c r="Q33" i="47"/>
  <c r="M34" i="47"/>
  <c r="N34" i="47"/>
  <c r="O34" i="47"/>
  <c r="P34" i="47"/>
  <c r="Q34" i="47"/>
  <c r="M37" i="47"/>
  <c r="N37" i="47"/>
  <c r="O37" i="47"/>
  <c r="P37" i="47"/>
  <c r="Q37" i="47"/>
  <c r="M38" i="47"/>
  <c r="N38" i="47"/>
  <c r="O38" i="47"/>
  <c r="P38" i="47"/>
  <c r="Q38" i="47"/>
  <c r="M39" i="47"/>
  <c r="O39" i="47"/>
  <c r="P39" i="47"/>
  <c r="Q39" i="47"/>
  <c r="M40" i="47"/>
  <c r="N40" i="47"/>
  <c r="O40" i="47"/>
  <c r="P40" i="47"/>
  <c r="Q40" i="47"/>
  <c r="M41" i="47"/>
  <c r="N41" i="47"/>
  <c r="O41" i="47"/>
  <c r="P41" i="47"/>
  <c r="Q41" i="47"/>
  <c r="M42" i="47"/>
  <c r="O42" i="47"/>
  <c r="P42" i="47"/>
  <c r="Q42" i="47"/>
  <c r="M43" i="47"/>
  <c r="N43" i="47"/>
  <c r="O43" i="47"/>
  <c r="P43" i="47"/>
  <c r="Q43" i="47"/>
  <c r="M44" i="47"/>
  <c r="N44" i="47"/>
  <c r="O44" i="47"/>
  <c r="P44" i="47"/>
  <c r="Q44" i="47"/>
  <c r="Q45" i="47"/>
  <c r="M46" i="47"/>
  <c r="N46" i="47"/>
  <c r="O46" i="47"/>
  <c r="P46" i="47"/>
  <c r="Q46" i="47"/>
  <c r="M47" i="47"/>
  <c r="N47" i="47"/>
  <c r="O47" i="47"/>
  <c r="P47" i="47"/>
  <c r="Q47" i="47"/>
  <c r="M48" i="47"/>
  <c r="N48" i="47"/>
  <c r="O48" i="47"/>
  <c r="P48" i="47"/>
  <c r="Q48" i="47"/>
  <c r="M49" i="47"/>
  <c r="N49" i="47"/>
  <c r="O49" i="47"/>
  <c r="P49" i="47"/>
  <c r="Q49" i="47"/>
  <c r="M50" i="47"/>
  <c r="N50" i="47"/>
  <c r="O50" i="47"/>
  <c r="P50" i="47"/>
  <c r="Q50" i="47"/>
  <c r="Q51" i="47"/>
  <c r="Q52" i="47"/>
  <c r="Q53" i="47"/>
  <c r="N7" i="47"/>
  <c r="O7" i="47"/>
  <c r="P7" i="47"/>
  <c r="Q7" i="47"/>
  <c r="M7" i="47"/>
  <c r="L8" i="48"/>
  <c r="M8" i="48"/>
  <c r="N8" i="48"/>
  <c r="O8" i="48"/>
  <c r="P8" i="48"/>
  <c r="L9" i="48"/>
  <c r="M9" i="48"/>
  <c r="N9" i="48"/>
  <c r="O9" i="48"/>
  <c r="P9" i="48"/>
  <c r="L10" i="48"/>
  <c r="M10" i="48"/>
  <c r="N10" i="48"/>
  <c r="O10" i="48"/>
  <c r="P10" i="48"/>
  <c r="L11" i="48"/>
  <c r="M11" i="48"/>
  <c r="N11" i="48"/>
  <c r="O11" i="48"/>
  <c r="P11" i="48"/>
  <c r="L12" i="48"/>
  <c r="M12" i="48"/>
  <c r="N12" i="48"/>
  <c r="O12" i="48"/>
  <c r="P12" i="48"/>
  <c r="L13" i="48"/>
  <c r="M13" i="48"/>
  <c r="N13" i="48"/>
  <c r="O13" i="48"/>
  <c r="P13" i="48"/>
  <c r="L14" i="48"/>
  <c r="M14" i="48"/>
  <c r="N14" i="48"/>
  <c r="O14" i="48"/>
  <c r="P14" i="48"/>
  <c r="L15" i="48"/>
  <c r="M15" i="48"/>
  <c r="N15" i="48"/>
  <c r="O15" i="48"/>
  <c r="P15" i="48"/>
  <c r="L16" i="48"/>
  <c r="M16" i="48"/>
  <c r="N16" i="48"/>
  <c r="O16" i="48"/>
  <c r="P16" i="48"/>
  <c r="L17" i="48"/>
  <c r="M17" i="48"/>
  <c r="N17" i="48"/>
  <c r="O17" i="48"/>
  <c r="P17" i="48"/>
  <c r="L18" i="48"/>
  <c r="M18" i="48"/>
  <c r="N18" i="48"/>
  <c r="O18" i="48"/>
  <c r="P18" i="48"/>
  <c r="L19" i="48"/>
  <c r="M19" i="48"/>
  <c r="N19" i="48"/>
  <c r="O19" i="48"/>
  <c r="P19" i="48"/>
  <c r="L20" i="48"/>
  <c r="M20" i="48"/>
  <c r="N20" i="48"/>
  <c r="O20" i="48"/>
  <c r="P20" i="48"/>
  <c r="L21" i="48"/>
  <c r="M21" i="48"/>
  <c r="N21" i="48"/>
  <c r="O21" i="48"/>
  <c r="P21" i="48"/>
  <c r="L22" i="48"/>
  <c r="M22" i="48"/>
  <c r="N22" i="48"/>
  <c r="O22" i="48"/>
  <c r="P22" i="48"/>
  <c r="L23" i="48"/>
  <c r="M23" i="48"/>
  <c r="N23" i="48"/>
  <c r="O23" i="48"/>
  <c r="P23" i="48"/>
  <c r="L24" i="48"/>
  <c r="M24" i="48"/>
  <c r="N24" i="48"/>
  <c r="O24" i="48"/>
  <c r="P24" i="48"/>
  <c r="L25" i="48"/>
  <c r="M25" i="48"/>
  <c r="N25" i="48"/>
  <c r="O25" i="48"/>
  <c r="P25" i="48"/>
  <c r="L26" i="48"/>
  <c r="M26" i="48"/>
  <c r="N26" i="48"/>
  <c r="O26" i="48"/>
  <c r="P26" i="48"/>
  <c r="L27" i="48"/>
  <c r="M27" i="48"/>
  <c r="N27" i="48"/>
  <c r="O27" i="48"/>
  <c r="P27" i="48"/>
  <c r="L28" i="48"/>
  <c r="M28" i="48"/>
  <c r="N28" i="48"/>
  <c r="O28" i="48"/>
  <c r="P28" i="48"/>
  <c r="P29" i="48"/>
  <c r="M7" i="48"/>
  <c r="N7" i="48"/>
  <c r="O7" i="48"/>
  <c r="P7" i="48"/>
  <c r="L7" i="48"/>
  <c r="O14" i="34" l="1"/>
  <c r="O40" i="34"/>
  <c r="N40" i="34"/>
  <c r="P42" i="56"/>
  <c r="M8" i="30"/>
  <c r="H20" i="35"/>
  <c r="P25" i="57"/>
  <c r="P9" i="57"/>
  <c r="P33" i="56"/>
  <c r="P25" i="56"/>
  <c r="P17" i="56"/>
  <c r="M15" i="30"/>
  <c r="P23" i="57"/>
  <c r="P14" i="56"/>
  <c r="P22" i="56"/>
  <c r="P23" i="56"/>
  <c r="P9" i="56"/>
  <c r="J23" i="57"/>
  <c r="F44" i="35"/>
  <c r="G25" i="58"/>
  <c r="L43" i="58"/>
  <c r="M18" i="34"/>
  <c r="N33" i="34"/>
  <c r="O32" i="34"/>
  <c r="M30" i="34"/>
  <c r="M12" i="34"/>
  <c r="N34" i="34"/>
  <c r="P11" i="57"/>
  <c r="P10" i="57"/>
  <c r="N8" i="30"/>
  <c r="N23" i="34"/>
  <c r="N21" i="34"/>
  <c r="O20" i="34"/>
  <c r="N15" i="34"/>
  <c r="M11" i="34"/>
  <c r="M38" i="34"/>
  <c r="M25" i="34"/>
  <c r="O27" i="34"/>
  <c r="P10" i="56"/>
  <c r="P24" i="57"/>
  <c r="P26" i="56"/>
  <c r="M22" i="34"/>
  <c r="M28" i="34"/>
  <c r="O15" i="34"/>
  <c r="O12" i="34"/>
  <c r="M31" i="34"/>
  <c r="P14" i="57"/>
  <c r="P12" i="57"/>
  <c r="P17" i="57"/>
  <c r="P27" i="56"/>
  <c r="P22" i="57"/>
  <c r="P15" i="57"/>
  <c r="P38" i="35"/>
  <c r="P24" i="56"/>
  <c r="O11" i="30"/>
  <c r="J10" i="56"/>
  <c r="M26" i="30"/>
  <c r="C25" i="56"/>
  <c r="O26" i="30"/>
  <c r="E25" i="56"/>
  <c r="O25" i="56" s="1"/>
  <c r="O25" i="30"/>
  <c r="J24" i="56"/>
  <c r="M23" i="30"/>
  <c r="C22" i="56"/>
  <c r="O23" i="30"/>
  <c r="E22" i="56"/>
  <c r="O18" i="30"/>
  <c r="J17" i="56"/>
  <c r="M17" i="30"/>
  <c r="C16" i="56"/>
  <c r="O17" i="30"/>
  <c r="E16" i="56"/>
  <c r="O16" i="56" s="1"/>
  <c r="O16" i="30"/>
  <c r="J15" i="56"/>
  <c r="O15" i="30"/>
  <c r="E14" i="56"/>
  <c r="O14" i="56" s="1"/>
  <c r="M12" i="30"/>
  <c r="C11" i="56"/>
  <c r="K42" i="57"/>
  <c r="P42" i="57" s="1"/>
  <c r="O41" i="57"/>
  <c r="P34" i="56"/>
  <c r="I40" i="55"/>
  <c r="N40" i="29"/>
  <c r="M20" i="34"/>
  <c r="M14" i="34"/>
  <c r="N12" i="34"/>
  <c r="O30" i="30"/>
  <c r="J29" i="56"/>
  <c r="O29" i="56" s="1"/>
  <c r="O12" i="30"/>
  <c r="J11" i="56"/>
  <c r="N39" i="34"/>
  <c r="O38" i="34"/>
  <c r="N29" i="34"/>
  <c r="O28" i="34"/>
  <c r="M35" i="34"/>
  <c r="O35" i="34"/>
  <c r="N32" i="34"/>
  <c r="J25" i="35"/>
  <c r="P16" i="57"/>
  <c r="P40" i="56"/>
  <c r="P35" i="56"/>
  <c r="P15" i="56"/>
  <c r="M40" i="29"/>
  <c r="O40" i="29"/>
  <c r="I37" i="57"/>
  <c r="N37" i="56"/>
  <c r="K37" i="57"/>
  <c r="P37" i="57" s="1"/>
  <c r="P37" i="56"/>
  <c r="P12" i="56"/>
  <c r="P29" i="56"/>
  <c r="P16" i="56"/>
  <c r="P11" i="56"/>
  <c r="P28" i="56"/>
  <c r="P32" i="56"/>
  <c r="P19" i="56"/>
  <c r="I8" i="57"/>
  <c r="N8" i="57" s="1"/>
  <c r="K19" i="57"/>
  <c r="P19" i="57" s="1"/>
  <c r="P20" i="57"/>
  <c r="P20" i="56"/>
  <c r="P21" i="57"/>
  <c r="P31" i="56"/>
  <c r="K28" i="57"/>
  <c r="P28" i="57" s="1"/>
  <c r="P28" i="55"/>
  <c r="K35" i="57"/>
  <c r="P35" i="57" s="1"/>
  <c r="P35" i="55"/>
  <c r="K27" i="57"/>
  <c r="P27" i="57" s="1"/>
  <c r="P27" i="55"/>
  <c r="K32" i="57"/>
  <c r="P32" i="57" s="1"/>
  <c r="O9" i="29"/>
  <c r="J8" i="55"/>
  <c r="K38" i="57"/>
  <c r="P38" i="55"/>
  <c r="K29" i="57"/>
  <c r="P29" i="57" s="1"/>
  <c r="P29" i="55"/>
  <c r="O31" i="34"/>
  <c r="M27" i="34"/>
  <c r="P21" i="56"/>
  <c r="K40" i="57"/>
  <c r="P40" i="57" s="1"/>
  <c r="P39" i="55"/>
  <c r="K34" i="57"/>
  <c r="P34" i="57" s="1"/>
  <c r="P34" i="55"/>
  <c r="O22" i="30"/>
  <c r="J21" i="56"/>
  <c r="O20" i="30"/>
  <c r="J19" i="56"/>
  <c r="O19" i="56" s="1"/>
  <c r="O14" i="30"/>
  <c r="J13" i="56"/>
  <c r="P13" i="57"/>
  <c r="K36" i="57"/>
  <c r="P36" i="57" s="1"/>
  <c r="P36" i="55"/>
  <c r="K26" i="57"/>
  <c r="P26" i="57" s="1"/>
  <c r="P26" i="55"/>
  <c r="K33" i="57"/>
  <c r="P33" i="57" s="1"/>
  <c r="P33" i="55"/>
  <c r="N28" i="34"/>
  <c r="K30" i="57"/>
  <c r="P30" i="57" s="1"/>
  <c r="K31" i="57"/>
  <c r="P31" i="57" s="1"/>
  <c r="P13" i="56"/>
  <c r="F7" i="57"/>
  <c r="P7" i="56"/>
  <c r="J7" i="57"/>
  <c r="O7" i="56"/>
  <c r="P30" i="56"/>
  <c r="F38" i="57"/>
  <c r="P38" i="56"/>
  <c r="M21" i="30"/>
  <c r="C20" i="56"/>
  <c r="O21" i="30"/>
  <c r="E20" i="56"/>
  <c r="M19" i="30"/>
  <c r="C18" i="56"/>
  <c r="O19" i="30"/>
  <c r="E18" i="56"/>
  <c r="P42" i="30"/>
  <c r="F43" i="56"/>
  <c r="F43" i="57" s="1"/>
  <c r="F18" i="57"/>
  <c r="M26" i="34"/>
  <c r="N22" i="34"/>
  <c r="N18" i="34"/>
  <c r="M17" i="34"/>
  <c r="M15" i="34"/>
  <c r="M20" i="30"/>
  <c r="P30" i="30"/>
  <c r="P23" i="35"/>
  <c r="P19" i="35"/>
  <c r="P15" i="35"/>
  <c r="P17" i="35"/>
  <c r="P18" i="35"/>
  <c r="M9" i="35"/>
  <c r="N9" i="30"/>
  <c r="M16" i="30"/>
  <c r="H22" i="35"/>
  <c r="J20" i="35"/>
  <c r="H18" i="35"/>
  <c r="J16" i="35"/>
  <c r="M25" i="30"/>
  <c r="I9" i="35"/>
  <c r="N9" i="35" s="1"/>
  <c r="F8" i="35"/>
  <c r="O8" i="30"/>
  <c r="J8" i="35"/>
  <c r="O8" i="35" s="1"/>
  <c r="O22" i="34"/>
  <c r="N19" i="34"/>
  <c r="M33" i="34"/>
  <c r="P17" i="34"/>
  <c r="O11" i="34"/>
  <c r="O9" i="34"/>
  <c r="N8" i="34"/>
  <c r="J9" i="35"/>
  <c r="O9" i="35" s="1"/>
  <c r="P42" i="34"/>
  <c r="P25" i="35"/>
  <c r="M39" i="34"/>
  <c r="O39" i="34"/>
  <c r="N17" i="34"/>
  <c r="O16" i="34"/>
  <c r="M9" i="34"/>
  <c r="M23" i="34"/>
  <c r="M21" i="34"/>
  <c r="M19" i="34"/>
  <c r="N14" i="34"/>
  <c r="P8" i="34"/>
  <c r="P21" i="35"/>
  <c r="P12" i="35"/>
  <c r="P15" i="34"/>
  <c r="N36" i="34"/>
  <c r="H14" i="35"/>
  <c r="O17" i="34"/>
  <c r="N20" i="34"/>
  <c r="N38" i="34"/>
  <c r="N16" i="34"/>
  <c r="P24" i="35"/>
  <c r="P22" i="35"/>
  <c r="J11" i="35"/>
  <c r="J22" i="35"/>
  <c r="J18" i="35"/>
  <c r="J14" i="35"/>
  <c r="P11" i="35"/>
  <c r="O9" i="30"/>
  <c r="P10" i="35"/>
  <c r="P12" i="34"/>
  <c r="P39" i="34"/>
  <c r="P35" i="34"/>
  <c r="P31" i="34"/>
  <c r="P27" i="34"/>
  <c r="O23" i="34"/>
  <c r="O21" i="34"/>
  <c r="O19" i="34"/>
  <c r="N11" i="34"/>
  <c r="P20" i="35"/>
  <c r="P16" i="35"/>
  <c r="P25" i="34"/>
  <c r="P23" i="34"/>
  <c r="P21" i="34"/>
  <c r="P19" i="34"/>
  <c r="N8" i="35"/>
  <c r="P37" i="34"/>
  <c r="P33" i="34"/>
  <c r="P29" i="34"/>
  <c r="P9" i="35"/>
  <c r="P14" i="35"/>
  <c r="M8" i="35"/>
  <c r="G43" i="35"/>
  <c r="I43" i="35"/>
  <c r="K43" i="35"/>
  <c r="P42" i="29"/>
  <c r="H42" i="35"/>
  <c r="J42" i="35"/>
  <c r="G37" i="35"/>
  <c r="I37" i="35"/>
  <c r="K37" i="35"/>
  <c r="P37" i="29"/>
  <c r="H36" i="35"/>
  <c r="J36" i="35"/>
  <c r="G33" i="35"/>
  <c r="I33" i="35"/>
  <c r="K33" i="35"/>
  <c r="P33" i="29"/>
  <c r="H32" i="35"/>
  <c r="J32" i="35"/>
  <c r="G29" i="35"/>
  <c r="I29" i="35"/>
  <c r="K29" i="35"/>
  <c r="P29" i="29"/>
  <c r="H28" i="35"/>
  <c r="J28" i="35"/>
  <c r="G23" i="35"/>
  <c r="G19" i="35"/>
  <c r="G15" i="35"/>
  <c r="G13" i="35"/>
  <c r="P26" i="34"/>
  <c r="P24" i="34"/>
  <c r="P22" i="34"/>
  <c r="P20" i="34"/>
  <c r="P18" i="34"/>
  <c r="P11" i="34"/>
  <c r="N9" i="34"/>
  <c r="M8" i="34"/>
  <c r="G9" i="35"/>
  <c r="I12" i="35"/>
  <c r="H43" i="35"/>
  <c r="J43" i="35"/>
  <c r="P40" i="34"/>
  <c r="G39" i="35"/>
  <c r="I39" i="35"/>
  <c r="K39" i="35"/>
  <c r="P38" i="29"/>
  <c r="H37" i="35"/>
  <c r="J37" i="35"/>
  <c r="P36" i="34"/>
  <c r="G34" i="35"/>
  <c r="I34" i="35"/>
  <c r="K34" i="35"/>
  <c r="P34" i="29"/>
  <c r="H33" i="35"/>
  <c r="J33" i="35"/>
  <c r="P32" i="34"/>
  <c r="G30" i="35"/>
  <c r="I30" i="35"/>
  <c r="K30" i="35"/>
  <c r="P30" i="29"/>
  <c r="H29" i="35"/>
  <c r="J29" i="35"/>
  <c r="P28" i="34"/>
  <c r="G26" i="35"/>
  <c r="I26" i="35"/>
  <c r="P26" i="35"/>
  <c r="G22" i="35"/>
  <c r="G18" i="35"/>
  <c r="G16" i="35"/>
  <c r="J13" i="35"/>
  <c r="G8" i="35"/>
  <c r="J12" i="35"/>
  <c r="G41" i="35"/>
  <c r="I41" i="35"/>
  <c r="K41" i="35"/>
  <c r="P39" i="29"/>
  <c r="H39" i="35"/>
  <c r="J39" i="35"/>
  <c r="G35" i="35"/>
  <c r="I35" i="35"/>
  <c r="K35" i="35"/>
  <c r="P35" i="29"/>
  <c r="H34" i="35"/>
  <c r="J34" i="35"/>
  <c r="G31" i="35"/>
  <c r="I31" i="35"/>
  <c r="K31" i="35"/>
  <c r="P31" i="29"/>
  <c r="F30" i="35"/>
  <c r="H30" i="35"/>
  <c r="J30" i="35"/>
  <c r="G27" i="35"/>
  <c r="I27" i="35"/>
  <c r="K27" i="35"/>
  <c r="P27" i="29"/>
  <c r="H26" i="35"/>
  <c r="J26" i="35"/>
  <c r="G25" i="35"/>
  <c r="G21" i="35"/>
  <c r="G17" i="35"/>
  <c r="P16" i="34"/>
  <c r="P14" i="34"/>
  <c r="P9" i="34"/>
  <c r="O8" i="34"/>
  <c r="G42" i="35"/>
  <c r="I42" i="35"/>
  <c r="K42" i="35"/>
  <c r="H41" i="35"/>
  <c r="P38" i="34"/>
  <c r="G36" i="35"/>
  <c r="I36" i="35"/>
  <c r="K36" i="35"/>
  <c r="P36" i="29"/>
  <c r="H35" i="35"/>
  <c r="J35" i="35"/>
  <c r="P34" i="34"/>
  <c r="G32" i="35"/>
  <c r="I32" i="35"/>
  <c r="K32" i="35"/>
  <c r="P32" i="29"/>
  <c r="H31" i="35"/>
  <c r="J31" i="35"/>
  <c r="P30" i="34"/>
  <c r="G28" i="35"/>
  <c r="I28" i="35"/>
  <c r="K28" i="35"/>
  <c r="P28" i="29"/>
  <c r="H27" i="35"/>
  <c r="J27" i="35"/>
  <c r="P26" i="29"/>
  <c r="G24" i="35"/>
  <c r="J23" i="35"/>
  <c r="G20" i="35"/>
  <c r="H17" i="35"/>
  <c r="G14" i="35"/>
  <c r="P13" i="35"/>
  <c r="J41" i="35"/>
  <c r="P44" i="35"/>
  <c r="O22" i="52"/>
  <c r="G42" i="58" l="1"/>
  <c r="G26" i="58"/>
  <c r="Q26" i="58" s="1"/>
  <c r="Q25" i="58"/>
  <c r="J29" i="57"/>
  <c r="J15" i="57"/>
  <c r="O15" i="56"/>
  <c r="O17" i="56"/>
  <c r="J17" i="57"/>
  <c r="O22" i="56"/>
  <c r="J24" i="57"/>
  <c r="O24" i="56"/>
  <c r="O10" i="56"/>
  <c r="J10" i="57"/>
  <c r="O11" i="56"/>
  <c r="J11" i="57"/>
  <c r="O13" i="56"/>
  <c r="J13" i="57"/>
  <c r="O21" i="56"/>
  <c r="J21" i="57"/>
  <c r="J8" i="57"/>
  <c r="J19" i="57"/>
  <c r="O7" i="57"/>
  <c r="P7" i="57"/>
  <c r="P38" i="57"/>
  <c r="P18" i="57"/>
  <c r="O18" i="56"/>
  <c r="O20" i="56"/>
  <c r="P43" i="56"/>
  <c r="P42" i="35"/>
  <c r="P37" i="35"/>
  <c r="P32" i="35"/>
  <c r="P27" i="35"/>
  <c r="P34" i="35"/>
  <c r="P28" i="35"/>
  <c r="P36" i="35"/>
  <c r="P31" i="35"/>
  <c r="P35" i="35"/>
  <c r="P41" i="35"/>
  <c r="P39" i="35"/>
  <c r="P29" i="35"/>
  <c r="P33" i="35"/>
  <c r="P43" i="35"/>
  <c r="P30" i="35"/>
  <c r="I12" i="53"/>
  <c r="I12" i="56" s="1"/>
  <c r="I23" i="53"/>
  <c r="I23" i="56" s="1"/>
  <c r="I24" i="53"/>
  <c r="I24" i="56" s="1"/>
  <c r="I29" i="53"/>
  <c r="I29" i="56" s="1"/>
  <c r="I37" i="53"/>
  <c r="I38" i="56" s="1"/>
  <c r="I38" i="53"/>
  <c r="I40" i="56" s="1"/>
  <c r="I39" i="53"/>
  <c r="I41" i="56" s="1"/>
  <c r="C54" i="60"/>
  <c r="C52" i="59"/>
  <c r="F89" i="11"/>
  <c r="H89" i="11"/>
  <c r="I89" i="11"/>
  <c r="J89" i="11"/>
  <c r="K89" i="11"/>
  <c r="P89" i="11" s="1"/>
  <c r="C89" i="11"/>
  <c r="D89" i="11"/>
  <c r="E89" i="11"/>
  <c r="I35" i="53"/>
  <c r="I35" i="56" s="1"/>
  <c r="I34" i="53"/>
  <c r="I34" i="56" s="1"/>
  <c r="I33" i="53"/>
  <c r="I33" i="56" s="1"/>
  <c r="I31" i="53"/>
  <c r="I31" i="56" s="1"/>
  <c r="I30" i="53"/>
  <c r="I30" i="56" s="1"/>
  <c r="H28" i="53"/>
  <c r="H28" i="56" s="1"/>
  <c r="H28" i="57" s="1"/>
  <c r="I28" i="53"/>
  <c r="I27" i="53"/>
  <c r="I27" i="56" s="1"/>
  <c r="G43" i="58" l="1"/>
  <c r="Q43" i="58" s="1"/>
  <c r="Q42" i="58"/>
  <c r="O15" i="57"/>
  <c r="B28" i="54"/>
  <c r="O8" i="57"/>
  <c r="I27" i="57"/>
  <c r="N27" i="56"/>
  <c r="I28" i="54"/>
  <c r="I28" i="56"/>
  <c r="I30" i="57"/>
  <c r="N30" i="56"/>
  <c r="I33" i="57"/>
  <c r="N33" i="56"/>
  <c r="I35" i="57"/>
  <c r="N35" i="56"/>
  <c r="I40" i="57"/>
  <c r="N40" i="56"/>
  <c r="I29" i="57"/>
  <c r="N29" i="56"/>
  <c r="I23" i="57"/>
  <c r="N23" i="56"/>
  <c r="I31" i="57"/>
  <c r="N31" i="56"/>
  <c r="I34" i="57"/>
  <c r="N34" i="56"/>
  <c r="I41" i="57"/>
  <c r="N41" i="57" s="1"/>
  <c r="N41" i="56"/>
  <c r="I38" i="57"/>
  <c r="N38" i="56"/>
  <c r="I24" i="57"/>
  <c r="N24" i="56"/>
  <c r="I12" i="57"/>
  <c r="N12" i="56"/>
  <c r="N27" i="53"/>
  <c r="I27" i="54"/>
  <c r="N31" i="53"/>
  <c r="I31" i="54"/>
  <c r="N34" i="53"/>
  <c r="I34" i="54"/>
  <c r="N39" i="53"/>
  <c r="I39" i="54"/>
  <c r="N37" i="53"/>
  <c r="I37" i="54"/>
  <c r="N24" i="53"/>
  <c r="I24" i="54"/>
  <c r="N12" i="53"/>
  <c r="I12" i="54"/>
  <c r="N30" i="53"/>
  <c r="I30" i="54"/>
  <c r="N33" i="53"/>
  <c r="I33" i="54"/>
  <c r="N35" i="53"/>
  <c r="I35" i="54"/>
  <c r="M54" i="60"/>
  <c r="N38" i="53"/>
  <c r="I38" i="54"/>
  <c r="N29" i="53"/>
  <c r="I29" i="54"/>
  <c r="N23" i="53"/>
  <c r="I23" i="54"/>
  <c r="O28" i="53"/>
  <c r="O89" i="11"/>
  <c r="M89" i="11"/>
  <c r="M52" i="59"/>
  <c r="I40" i="53"/>
  <c r="I42" i="56" s="1"/>
  <c r="N89" i="11"/>
  <c r="B30" i="28"/>
  <c r="P45" i="47"/>
  <c r="N45" i="47"/>
  <c r="O45" i="47"/>
  <c r="N33" i="54" l="1"/>
  <c r="N38" i="54"/>
  <c r="N30" i="54"/>
  <c r="N39" i="54"/>
  <c r="N31" i="54"/>
  <c r="N29" i="54"/>
  <c r="N34" i="54"/>
  <c r="N27" i="54"/>
  <c r="N28" i="54"/>
  <c r="N35" i="54"/>
  <c r="N24" i="54"/>
  <c r="N23" i="54"/>
  <c r="N12" i="54"/>
  <c r="I42" i="57"/>
  <c r="N42" i="56"/>
  <c r="I28" i="57"/>
  <c r="N28" i="56"/>
  <c r="N37" i="54"/>
  <c r="N40" i="53"/>
  <c r="I41" i="54"/>
  <c r="M45" i="47"/>
  <c r="L30" i="28"/>
  <c r="N41" i="54" l="1"/>
  <c r="B43" i="29"/>
  <c r="C43" i="29"/>
  <c r="C37" i="55" s="1"/>
  <c r="C37" i="57" s="1"/>
  <c r="D43" i="29"/>
  <c r="D37" i="55" s="1"/>
  <c r="D37" i="57" s="1"/>
  <c r="N37" i="57" s="1"/>
  <c r="E43" i="29"/>
  <c r="E37" i="55" s="1"/>
  <c r="E37" i="57" s="1"/>
  <c r="O37" i="57" s="1"/>
  <c r="B43" i="34"/>
  <c r="E42" i="29"/>
  <c r="E42" i="55" s="1"/>
  <c r="E42" i="57" s="1"/>
  <c r="O42" i="57" s="1"/>
  <c r="O7" i="55"/>
  <c r="O8" i="55"/>
  <c r="E10" i="29"/>
  <c r="E9" i="55" s="1"/>
  <c r="E11" i="29"/>
  <c r="E10" i="55" s="1"/>
  <c r="E10" i="57" s="1"/>
  <c r="O10" i="57" s="1"/>
  <c r="E12" i="29"/>
  <c r="E11" i="55" s="1"/>
  <c r="E11" i="57" s="1"/>
  <c r="O11" i="57" s="1"/>
  <c r="E13" i="29"/>
  <c r="E12" i="55" s="1"/>
  <c r="E12" i="57" s="1"/>
  <c r="O12" i="57" s="1"/>
  <c r="E14" i="29"/>
  <c r="E13" i="55" s="1"/>
  <c r="E13" i="57" s="1"/>
  <c r="O13" i="57" s="1"/>
  <c r="E15" i="29"/>
  <c r="E14" i="55" s="1"/>
  <c r="E14" i="57" s="1"/>
  <c r="O14" i="57" s="1"/>
  <c r="O15" i="55"/>
  <c r="E17" i="29"/>
  <c r="E16" i="55" s="1"/>
  <c r="E16" i="57" s="1"/>
  <c r="O16" i="57" s="1"/>
  <c r="E18" i="29"/>
  <c r="E19" i="29"/>
  <c r="E18" i="55" s="1"/>
  <c r="E18" i="57" s="1"/>
  <c r="O18" i="57" s="1"/>
  <c r="E20" i="29"/>
  <c r="E19" i="55" s="1"/>
  <c r="E19" i="57" s="1"/>
  <c r="O19" i="57" s="1"/>
  <c r="E21" i="29"/>
  <c r="E20" i="55" s="1"/>
  <c r="E20" i="57" s="1"/>
  <c r="O20" i="57" s="1"/>
  <c r="E22" i="29"/>
  <c r="E21" i="55" s="1"/>
  <c r="E21" i="57" s="1"/>
  <c r="O21" i="57" s="1"/>
  <c r="E23" i="29"/>
  <c r="E22" i="55" s="1"/>
  <c r="E22" i="57" s="1"/>
  <c r="O22" i="57" s="1"/>
  <c r="E24" i="29"/>
  <c r="E23" i="55" s="1"/>
  <c r="E23" i="57" s="1"/>
  <c r="O23" i="57" s="1"/>
  <c r="E25" i="29"/>
  <c r="E24" i="55" s="1"/>
  <c r="E24" i="57" s="1"/>
  <c r="O24" i="57" s="1"/>
  <c r="E26" i="29"/>
  <c r="E27" i="29"/>
  <c r="E26" i="55" s="1"/>
  <c r="E26" i="57" s="1"/>
  <c r="O26" i="57" s="1"/>
  <c r="E28" i="29"/>
  <c r="E27" i="55" s="1"/>
  <c r="E27" i="57" s="1"/>
  <c r="O27" i="57" s="1"/>
  <c r="E29" i="29"/>
  <c r="E28" i="55" s="1"/>
  <c r="E28" i="57" s="1"/>
  <c r="O28" i="57" s="1"/>
  <c r="E30" i="29"/>
  <c r="E29" i="55" s="1"/>
  <c r="E29" i="57" s="1"/>
  <c r="O29" i="57" s="1"/>
  <c r="E31" i="29"/>
  <c r="E30" i="55" s="1"/>
  <c r="E30" i="57" s="1"/>
  <c r="O30" i="57" s="1"/>
  <c r="E32" i="29"/>
  <c r="E31" i="55" s="1"/>
  <c r="E31" i="57" s="1"/>
  <c r="O31" i="57" s="1"/>
  <c r="E33" i="29"/>
  <c r="E32" i="55" s="1"/>
  <c r="E32" i="57" s="1"/>
  <c r="O32" i="57" s="1"/>
  <c r="E34" i="29"/>
  <c r="E35" i="29"/>
  <c r="E34" i="55" s="1"/>
  <c r="E34" i="57" s="1"/>
  <c r="O34" i="57" s="1"/>
  <c r="E36" i="29"/>
  <c r="E35" i="55" s="1"/>
  <c r="E35" i="57" s="1"/>
  <c r="O35" i="57" s="1"/>
  <c r="E37" i="29"/>
  <c r="E36" i="55" s="1"/>
  <c r="E36" i="57" s="1"/>
  <c r="O36" i="57" s="1"/>
  <c r="E38" i="29"/>
  <c r="E38" i="55" s="1"/>
  <c r="E38" i="57" s="1"/>
  <c r="O38" i="57" s="1"/>
  <c r="E39" i="29"/>
  <c r="E39" i="55" s="1"/>
  <c r="E40" i="57" s="1"/>
  <c r="O40" i="57" s="1"/>
  <c r="E25" i="55" l="1"/>
  <c r="E25" i="57" s="1"/>
  <c r="O25" i="57" s="1"/>
  <c r="E17" i="55"/>
  <c r="E17" i="57" s="1"/>
  <c r="O17" i="57" s="1"/>
  <c r="E9" i="57"/>
  <c r="E33" i="55"/>
  <c r="E33" i="57" s="1"/>
  <c r="O33" i="57" s="1"/>
  <c r="O40" i="55"/>
  <c r="E42" i="35"/>
  <c r="O42" i="35" s="1"/>
  <c r="O38" i="55"/>
  <c r="E39" i="35"/>
  <c r="O39" i="35" s="1"/>
  <c r="O38" i="29"/>
  <c r="O35" i="55"/>
  <c r="E36" i="35"/>
  <c r="O36" i="35" s="1"/>
  <c r="O36" i="29"/>
  <c r="E34" i="35"/>
  <c r="O34" i="35" s="1"/>
  <c r="O34" i="29"/>
  <c r="O31" i="55"/>
  <c r="E32" i="35"/>
  <c r="O32" i="35" s="1"/>
  <c r="O32" i="29"/>
  <c r="O29" i="55"/>
  <c r="E30" i="35"/>
  <c r="O30" i="35" s="1"/>
  <c r="O30" i="29"/>
  <c r="O27" i="55"/>
  <c r="E28" i="35"/>
  <c r="O28" i="35" s="1"/>
  <c r="O28" i="29"/>
  <c r="E26" i="35"/>
  <c r="O26" i="35" s="1"/>
  <c r="O26" i="29"/>
  <c r="O23" i="55"/>
  <c r="E24" i="35"/>
  <c r="O24" i="35" s="1"/>
  <c r="O24" i="29"/>
  <c r="O21" i="55"/>
  <c r="E22" i="35"/>
  <c r="O22" i="35" s="1"/>
  <c r="O22" i="29"/>
  <c r="O19" i="55"/>
  <c r="E20" i="35"/>
  <c r="O20" i="35" s="1"/>
  <c r="O20" i="29"/>
  <c r="E18" i="35"/>
  <c r="O18" i="35" s="1"/>
  <c r="O18" i="29"/>
  <c r="E16" i="35"/>
  <c r="O16" i="35" s="1"/>
  <c r="O16" i="29"/>
  <c r="O13" i="55"/>
  <c r="E14" i="35"/>
  <c r="O14" i="35" s="1"/>
  <c r="O14" i="29"/>
  <c r="O11" i="55"/>
  <c r="E12" i="35"/>
  <c r="O12" i="35" s="1"/>
  <c r="O12" i="29"/>
  <c r="O9" i="55"/>
  <c r="E10" i="35"/>
  <c r="O10" i="35" s="1"/>
  <c r="O10" i="29"/>
  <c r="L43" i="34"/>
  <c r="D38" i="35"/>
  <c r="N38" i="35" s="1"/>
  <c r="N43" i="29"/>
  <c r="B37" i="55"/>
  <c r="L43" i="29"/>
  <c r="O36" i="55"/>
  <c r="E37" i="35"/>
  <c r="O37" i="35" s="1"/>
  <c r="O37" i="29"/>
  <c r="O34" i="55"/>
  <c r="E35" i="35"/>
  <c r="O35" i="35" s="1"/>
  <c r="O35" i="29"/>
  <c r="O32" i="55"/>
  <c r="E33" i="35"/>
  <c r="O33" i="35" s="1"/>
  <c r="O33" i="29"/>
  <c r="O30" i="55"/>
  <c r="E31" i="35"/>
  <c r="O31" i="35" s="1"/>
  <c r="O31" i="29"/>
  <c r="O28" i="55"/>
  <c r="E29" i="35"/>
  <c r="O29" i="35" s="1"/>
  <c r="O29" i="29"/>
  <c r="O26" i="55"/>
  <c r="E27" i="35"/>
  <c r="O27" i="35" s="1"/>
  <c r="O27" i="29"/>
  <c r="O24" i="55"/>
  <c r="E25" i="35"/>
  <c r="O25" i="35" s="1"/>
  <c r="O25" i="29"/>
  <c r="O22" i="55"/>
  <c r="E23" i="35"/>
  <c r="O23" i="35" s="1"/>
  <c r="O23" i="29"/>
  <c r="O20" i="55"/>
  <c r="E21" i="35"/>
  <c r="O21" i="35" s="1"/>
  <c r="O21" i="29"/>
  <c r="O18" i="55"/>
  <c r="E19" i="35"/>
  <c r="O19" i="35" s="1"/>
  <c r="O19" i="29"/>
  <c r="O16" i="55"/>
  <c r="E17" i="35"/>
  <c r="O17" i="35" s="1"/>
  <c r="O17" i="29"/>
  <c r="O14" i="55"/>
  <c r="E15" i="35"/>
  <c r="O15" i="35" s="1"/>
  <c r="O15" i="29"/>
  <c r="O12" i="55"/>
  <c r="E13" i="35"/>
  <c r="O13" i="35" s="1"/>
  <c r="O13" i="29"/>
  <c r="O10" i="55"/>
  <c r="E11" i="35"/>
  <c r="O11" i="35" s="1"/>
  <c r="O11" i="29"/>
  <c r="O42" i="55"/>
  <c r="E43" i="35"/>
  <c r="O43" i="35" s="1"/>
  <c r="O42" i="29"/>
  <c r="E38" i="35"/>
  <c r="O38" i="35" s="1"/>
  <c r="O43" i="29"/>
  <c r="C38" i="35"/>
  <c r="M38" i="35" s="1"/>
  <c r="M43" i="29"/>
  <c r="O39" i="55"/>
  <c r="E41" i="35"/>
  <c r="O39" i="29"/>
  <c r="M37" i="55"/>
  <c r="N37" i="55"/>
  <c r="I18" i="53"/>
  <c r="I18" i="56" s="1"/>
  <c r="I13" i="53"/>
  <c r="I13" i="56" s="1"/>
  <c r="L37" i="55" l="1"/>
  <c r="O9" i="57"/>
  <c r="O25" i="55"/>
  <c r="O33" i="55"/>
  <c r="O17" i="55"/>
  <c r="I13" i="57"/>
  <c r="N13" i="56"/>
  <c r="I18" i="57"/>
  <c r="N18" i="56"/>
  <c r="N13" i="53"/>
  <c r="I13" i="54"/>
  <c r="N18" i="53"/>
  <c r="I18" i="54"/>
  <c r="O37" i="55"/>
  <c r="O41" i="35"/>
  <c r="E37" i="28"/>
  <c r="E42" i="30" l="1"/>
  <c r="F25" i="58" s="1"/>
  <c r="F42" i="58" s="1"/>
  <c r="F22" i="58"/>
  <c r="N18" i="54"/>
  <c r="N13" i="54"/>
  <c r="J37" i="28"/>
  <c r="K22" i="58" s="1"/>
  <c r="P52" i="47"/>
  <c r="I11" i="53"/>
  <c r="I11" i="56" s="1"/>
  <c r="E43" i="56" l="1"/>
  <c r="I11" i="57"/>
  <c r="N11" i="56"/>
  <c r="J42" i="30"/>
  <c r="N11" i="53"/>
  <c r="I11" i="54"/>
  <c r="K25" i="58" l="1"/>
  <c r="N11" i="54"/>
  <c r="J43" i="56"/>
  <c r="O42" i="30"/>
  <c r="K42" i="58" l="1"/>
  <c r="O43" i="56"/>
  <c r="B10" i="30"/>
  <c r="B13" i="30"/>
  <c r="B24" i="30"/>
  <c r="E29" i="48"/>
  <c r="J29" i="48"/>
  <c r="P7" i="46"/>
  <c r="F14" i="58" l="1"/>
  <c r="K14" i="58"/>
  <c r="P35" i="58"/>
  <c r="J44" i="40"/>
  <c r="P51" i="47"/>
  <c r="E44" i="40"/>
  <c r="F21" i="58" s="1"/>
  <c r="F23" i="58" s="1"/>
  <c r="L13" i="30"/>
  <c r="P12" i="58"/>
  <c r="O29" i="48"/>
  <c r="P10" i="58"/>
  <c r="P33" i="58"/>
  <c r="L24" i="30"/>
  <c r="L10" i="30"/>
  <c r="P37" i="58"/>
  <c r="P32" i="58"/>
  <c r="P30" i="58"/>
  <c r="P19" i="58"/>
  <c r="O37" i="28"/>
  <c r="P25" i="58"/>
  <c r="P36" i="58"/>
  <c r="P15" i="58"/>
  <c r="P18" i="58"/>
  <c r="P8" i="58"/>
  <c r="P16" i="58"/>
  <c r="P7" i="58"/>
  <c r="K21" i="58" l="1"/>
  <c r="K23" i="58" s="1"/>
  <c r="P11" i="58"/>
  <c r="O44" i="40"/>
  <c r="O42" i="52"/>
  <c r="J44" i="29"/>
  <c r="J44" i="34"/>
  <c r="P53" i="47"/>
  <c r="P14" i="58"/>
  <c r="E44" i="29"/>
  <c r="F24" i="58" s="1"/>
  <c r="E44" i="34"/>
  <c r="P39" i="58"/>
  <c r="P34" i="58"/>
  <c r="P31" i="58"/>
  <c r="P29" i="58"/>
  <c r="P28" i="58"/>
  <c r="P27" i="58"/>
  <c r="P22" i="58"/>
  <c r="P101" i="45"/>
  <c r="P9" i="58"/>
  <c r="P17" i="58"/>
  <c r="P21" i="58" l="1"/>
  <c r="J43" i="55"/>
  <c r="K24" i="58"/>
  <c r="F26" i="58"/>
  <c r="F41" i="58"/>
  <c r="F43" i="58" s="1"/>
  <c r="P13" i="58"/>
  <c r="E43" i="55"/>
  <c r="P23" i="58"/>
  <c r="E44" i="35"/>
  <c r="O44" i="29"/>
  <c r="J44" i="35"/>
  <c r="O44" i="34"/>
  <c r="O42" i="54"/>
  <c r="M26" i="8"/>
  <c r="P38" i="58"/>
  <c r="P40" i="58"/>
  <c r="P42" i="58"/>
  <c r="P20" i="58"/>
  <c r="K41" i="58" l="1"/>
  <c r="K43" i="58" s="1"/>
  <c r="K26" i="58"/>
  <c r="J43" i="57"/>
  <c r="P24" i="58"/>
  <c r="E43" i="57"/>
  <c r="O43" i="55"/>
  <c r="O44" i="35"/>
  <c r="P26" i="58" l="1"/>
  <c r="P41" i="58"/>
  <c r="P43" i="58"/>
  <c r="O43" i="57"/>
  <c r="I13" i="34" l="1"/>
  <c r="D13" i="34"/>
  <c r="N13" i="34" l="1"/>
  <c r="N8" i="28"/>
  <c r="C74" i="59" l="1"/>
  <c r="M74" i="59" l="1"/>
  <c r="I26" i="61"/>
  <c r="D26" i="61"/>
  <c r="E35" i="58" s="1"/>
  <c r="E39" i="58" s="1"/>
  <c r="E40" i="58" s="1"/>
  <c r="D29" i="48"/>
  <c r="J35" i="58" l="1"/>
  <c r="J39" i="58" s="1"/>
  <c r="J40" i="58" s="1"/>
  <c r="E14" i="58"/>
  <c r="D41" i="53"/>
  <c r="D44" i="40"/>
  <c r="E21" i="58" s="1"/>
  <c r="O51" i="47"/>
  <c r="N26" i="61"/>
  <c r="M39" i="46"/>
  <c r="N39" i="46"/>
  <c r="D44" i="29" l="1"/>
  <c r="D43" i="55" l="1"/>
  <c r="E24" i="58"/>
  <c r="D37" i="28"/>
  <c r="E22" i="58" s="1"/>
  <c r="E23" i="58" s="1"/>
  <c r="E41" i="58" l="1"/>
  <c r="D42" i="30"/>
  <c r="E25" i="58" s="1"/>
  <c r="E42" i="58" s="1"/>
  <c r="D44" i="34"/>
  <c r="O82" i="59"/>
  <c r="O101" i="45"/>
  <c r="C37" i="28"/>
  <c r="I29" i="48"/>
  <c r="E26" i="58" l="1"/>
  <c r="J14" i="58"/>
  <c r="C42" i="30"/>
  <c r="D25" i="58" s="1"/>
  <c r="D22" i="58"/>
  <c r="E43" i="58"/>
  <c r="N29" i="48"/>
  <c r="I44" i="40"/>
  <c r="J21" i="58" s="1"/>
  <c r="H37" i="28"/>
  <c r="N52" i="47"/>
  <c r="I37" i="28"/>
  <c r="O52" i="47"/>
  <c r="N51" i="47"/>
  <c r="N101" i="45"/>
  <c r="O53" i="47"/>
  <c r="J22" i="58" l="1"/>
  <c r="J23" i="58" s="1"/>
  <c r="I22" i="58"/>
  <c r="N37" i="28"/>
  <c r="I42" i="30"/>
  <c r="N53" i="47"/>
  <c r="M37" i="28"/>
  <c r="H42" i="30"/>
  <c r="I44" i="34"/>
  <c r="I44" i="29"/>
  <c r="J24" i="58" s="1"/>
  <c r="N44" i="40"/>
  <c r="D44" i="35"/>
  <c r="I25" i="53"/>
  <c r="I25" i="56" s="1"/>
  <c r="I20" i="53"/>
  <c r="I20" i="56" s="1"/>
  <c r="I17" i="53"/>
  <c r="I17" i="56" s="1"/>
  <c r="I15" i="53"/>
  <c r="I15" i="56" s="1"/>
  <c r="I14" i="53"/>
  <c r="I14" i="56" s="1"/>
  <c r="I10" i="53"/>
  <c r="I10" i="56" s="1"/>
  <c r="I9" i="53"/>
  <c r="I9" i="56" s="1"/>
  <c r="N22" i="52"/>
  <c r="D42" i="29"/>
  <c r="D42" i="55" s="1"/>
  <c r="D39" i="29"/>
  <c r="D39" i="55" s="1"/>
  <c r="D40" i="57" s="1"/>
  <c r="N40" i="57" s="1"/>
  <c r="D38" i="29"/>
  <c r="D38" i="55" s="1"/>
  <c r="D38" i="57" s="1"/>
  <c r="N38" i="57" s="1"/>
  <c r="D37" i="29"/>
  <c r="D36" i="55" s="1"/>
  <c r="D36" i="57" s="1"/>
  <c r="D36" i="29"/>
  <c r="D35" i="55" s="1"/>
  <c r="D35" i="57" s="1"/>
  <c r="N35" i="57" s="1"/>
  <c r="D35" i="29"/>
  <c r="D34" i="55" s="1"/>
  <c r="D34" i="57" s="1"/>
  <c r="N34" i="57" s="1"/>
  <c r="D34" i="29"/>
  <c r="D33" i="55" s="1"/>
  <c r="D33" i="57" s="1"/>
  <c r="N33" i="57" s="1"/>
  <c r="D33" i="29"/>
  <c r="D32" i="55" s="1"/>
  <c r="D32" i="57" s="1"/>
  <c r="D32" i="29"/>
  <c r="D31" i="55" s="1"/>
  <c r="D31" i="57" s="1"/>
  <c r="N31" i="57" s="1"/>
  <c r="D31" i="29"/>
  <c r="D30" i="55" s="1"/>
  <c r="D30" i="57" s="1"/>
  <c r="N30" i="57" s="1"/>
  <c r="D30" i="29"/>
  <c r="D29" i="55" s="1"/>
  <c r="D29" i="57" s="1"/>
  <c r="N29" i="57" s="1"/>
  <c r="D29" i="29"/>
  <c r="D28" i="55" s="1"/>
  <c r="D28" i="57" s="1"/>
  <c r="N28" i="57" s="1"/>
  <c r="D28" i="29"/>
  <c r="D27" i="55" s="1"/>
  <c r="D27" i="57" s="1"/>
  <c r="N27" i="57" s="1"/>
  <c r="D27" i="29"/>
  <c r="D26" i="55" s="1"/>
  <c r="D26" i="57" s="1"/>
  <c r="D26" i="29"/>
  <c r="D25" i="55" s="1"/>
  <c r="D25" i="57" s="1"/>
  <c r="D25" i="29"/>
  <c r="D24" i="55" s="1"/>
  <c r="D24" i="57" s="1"/>
  <c r="N24" i="57" s="1"/>
  <c r="D24" i="29"/>
  <c r="D23" i="55" s="1"/>
  <c r="D23" i="57" s="1"/>
  <c r="N23" i="57" s="1"/>
  <c r="D23" i="29"/>
  <c r="D22" i="55" s="1"/>
  <c r="D22" i="57" s="1"/>
  <c r="D22" i="29"/>
  <c r="D21" i="55" s="1"/>
  <c r="D21" i="57" s="1"/>
  <c r="D21" i="29"/>
  <c r="D20" i="55" s="1"/>
  <c r="D20" i="57" s="1"/>
  <c r="D20" i="29"/>
  <c r="D19" i="55" s="1"/>
  <c r="D19" i="57" s="1"/>
  <c r="D19" i="29"/>
  <c r="D18" i="55" s="1"/>
  <c r="D18" i="57" s="1"/>
  <c r="D18" i="29"/>
  <c r="D17" i="55" s="1"/>
  <c r="D17" i="57" s="1"/>
  <c r="D17" i="29"/>
  <c r="D16" i="55" s="1"/>
  <c r="D16" i="57" s="1"/>
  <c r="N16" i="57" s="1"/>
  <c r="D15" i="29"/>
  <c r="D14" i="55" s="1"/>
  <c r="D14" i="57" s="1"/>
  <c r="D14" i="29"/>
  <c r="D13" i="55" s="1"/>
  <c r="D13" i="57" s="1"/>
  <c r="N13" i="57" s="1"/>
  <c r="D13" i="29"/>
  <c r="D12" i="55" s="1"/>
  <c r="D12" i="57" s="1"/>
  <c r="N12" i="57" s="1"/>
  <c r="D12" i="29"/>
  <c r="D11" i="55" s="1"/>
  <c r="D11" i="57" s="1"/>
  <c r="N11" i="57" s="1"/>
  <c r="D11" i="29"/>
  <c r="D10" i="55" s="1"/>
  <c r="D10" i="57" s="1"/>
  <c r="D10" i="29"/>
  <c r="D9" i="55" s="1"/>
  <c r="N8" i="55"/>
  <c r="O7" i="46"/>
  <c r="I25" i="58" l="1"/>
  <c r="J25" i="58"/>
  <c r="J42" i="58" s="1"/>
  <c r="J41" i="58"/>
  <c r="D42" i="57"/>
  <c r="N42" i="57" s="1"/>
  <c r="D9" i="57"/>
  <c r="N18" i="57"/>
  <c r="I43" i="55"/>
  <c r="I9" i="57"/>
  <c r="N9" i="56"/>
  <c r="I14" i="57"/>
  <c r="N14" i="57" s="1"/>
  <c r="N14" i="56"/>
  <c r="I17" i="57"/>
  <c r="N17" i="57" s="1"/>
  <c r="N17" i="56"/>
  <c r="I25" i="57"/>
  <c r="N25" i="57" s="1"/>
  <c r="N25" i="56"/>
  <c r="I10" i="57"/>
  <c r="N10" i="57" s="1"/>
  <c r="N10" i="56"/>
  <c r="I15" i="57"/>
  <c r="N15" i="56"/>
  <c r="I20" i="57"/>
  <c r="N20" i="57" s="1"/>
  <c r="N20" i="56"/>
  <c r="N44" i="34"/>
  <c r="N8" i="53"/>
  <c r="I8" i="54"/>
  <c r="N10" i="53"/>
  <c r="I10" i="54"/>
  <c r="N15" i="53"/>
  <c r="I15" i="54"/>
  <c r="N17" i="53"/>
  <c r="I17" i="54"/>
  <c r="N25" i="53"/>
  <c r="I25" i="54"/>
  <c r="N9" i="53"/>
  <c r="I9" i="54"/>
  <c r="N14" i="53"/>
  <c r="I14" i="54"/>
  <c r="N16" i="53"/>
  <c r="I16" i="54"/>
  <c r="N20" i="53"/>
  <c r="I20" i="54"/>
  <c r="N9" i="55"/>
  <c r="D10" i="35"/>
  <c r="N10" i="35" s="1"/>
  <c r="N10" i="29"/>
  <c r="N11" i="55"/>
  <c r="D12" i="35"/>
  <c r="N12" i="35" s="1"/>
  <c r="N12" i="29"/>
  <c r="N13" i="55"/>
  <c r="D14" i="35"/>
  <c r="N14" i="35" s="1"/>
  <c r="N14" i="29"/>
  <c r="N15" i="55"/>
  <c r="D16" i="35"/>
  <c r="N16" i="35" s="1"/>
  <c r="N16" i="29"/>
  <c r="N17" i="55"/>
  <c r="D18" i="35"/>
  <c r="N18" i="35" s="1"/>
  <c r="N18" i="29"/>
  <c r="N19" i="55"/>
  <c r="D20" i="35"/>
  <c r="N20" i="35" s="1"/>
  <c r="N20" i="29"/>
  <c r="D22" i="35"/>
  <c r="N22" i="35" s="1"/>
  <c r="N22" i="29"/>
  <c r="D24" i="35"/>
  <c r="N24" i="35" s="1"/>
  <c r="N24" i="29"/>
  <c r="D26" i="35"/>
  <c r="N26" i="35" s="1"/>
  <c r="N26" i="29"/>
  <c r="D28" i="35"/>
  <c r="N28" i="35" s="1"/>
  <c r="N28" i="29"/>
  <c r="D30" i="35"/>
  <c r="N30" i="35" s="1"/>
  <c r="N30" i="29"/>
  <c r="D32" i="35"/>
  <c r="N32" i="35" s="1"/>
  <c r="N32" i="29"/>
  <c r="D34" i="35"/>
  <c r="N34" i="35" s="1"/>
  <c r="N34" i="29"/>
  <c r="D36" i="35"/>
  <c r="N36" i="35" s="1"/>
  <c r="N36" i="29"/>
  <c r="D39" i="35"/>
  <c r="N39" i="35" s="1"/>
  <c r="N38" i="29"/>
  <c r="D42" i="35"/>
  <c r="N42" i="35" s="1"/>
  <c r="I19" i="56"/>
  <c r="O10" i="58"/>
  <c r="O12" i="58"/>
  <c r="O28" i="58"/>
  <c r="O33" i="58"/>
  <c r="N42" i="30"/>
  <c r="N10" i="55"/>
  <c r="D11" i="35"/>
  <c r="N11" i="35" s="1"/>
  <c r="N11" i="29"/>
  <c r="N12" i="55"/>
  <c r="D13" i="35"/>
  <c r="N13" i="35" s="1"/>
  <c r="N13" i="29"/>
  <c r="N14" i="55"/>
  <c r="D15" i="35"/>
  <c r="N15" i="35" s="1"/>
  <c r="N15" i="29"/>
  <c r="N16" i="55"/>
  <c r="D17" i="35"/>
  <c r="N17" i="35" s="1"/>
  <c r="N17" i="29"/>
  <c r="D19" i="35"/>
  <c r="N19" i="35" s="1"/>
  <c r="N19" i="29"/>
  <c r="D21" i="35"/>
  <c r="N21" i="35" s="1"/>
  <c r="N21" i="29"/>
  <c r="D23" i="35"/>
  <c r="N23" i="35" s="1"/>
  <c r="N23" i="29"/>
  <c r="D25" i="35"/>
  <c r="N25" i="35" s="1"/>
  <c r="N25" i="29"/>
  <c r="D27" i="35"/>
  <c r="N27" i="35" s="1"/>
  <c r="N27" i="29"/>
  <c r="D29" i="35"/>
  <c r="N29" i="35" s="1"/>
  <c r="N29" i="29"/>
  <c r="D31" i="35"/>
  <c r="N31" i="35" s="1"/>
  <c r="N31" i="29"/>
  <c r="D33" i="35"/>
  <c r="N33" i="35" s="1"/>
  <c r="N33" i="29"/>
  <c r="D35" i="35"/>
  <c r="N35" i="35" s="1"/>
  <c r="N35" i="29"/>
  <c r="D37" i="35"/>
  <c r="N37" i="35" s="1"/>
  <c r="N37" i="29"/>
  <c r="D41" i="35"/>
  <c r="N41" i="35" s="1"/>
  <c r="N39" i="29"/>
  <c r="D43" i="35"/>
  <c r="N43" i="35" s="1"/>
  <c r="N42" i="29"/>
  <c r="I21" i="53"/>
  <c r="I21" i="56" s="1"/>
  <c r="N28" i="53"/>
  <c r="I36" i="53"/>
  <c r="I36" i="56" s="1"/>
  <c r="O11" i="58"/>
  <c r="O14" i="58"/>
  <c r="O35" i="58"/>
  <c r="M42" i="30"/>
  <c r="O32" i="58"/>
  <c r="O30" i="58"/>
  <c r="O29" i="58"/>
  <c r="O27" i="58"/>
  <c r="O20" i="58"/>
  <c r="O19" i="58"/>
  <c r="O18" i="58"/>
  <c r="O16" i="58"/>
  <c r="O22" i="58"/>
  <c r="O25" i="58"/>
  <c r="O15" i="58"/>
  <c r="O21" i="58"/>
  <c r="O8" i="58"/>
  <c r="O7" i="58"/>
  <c r="N44" i="29"/>
  <c r="I44" i="35"/>
  <c r="N7" i="55"/>
  <c r="N21" i="55"/>
  <c r="N23" i="55"/>
  <c r="N25" i="55"/>
  <c r="N27" i="55"/>
  <c r="N29" i="55"/>
  <c r="N31" i="55"/>
  <c r="N33" i="55"/>
  <c r="N35" i="55"/>
  <c r="N38" i="55"/>
  <c r="N40" i="55"/>
  <c r="N18" i="55"/>
  <c r="N20" i="55"/>
  <c r="N22" i="55"/>
  <c r="N24" i="55"/>
  <c r="N26" i="55"/>
  <c r="N28" i="55"/>
  <c r="N30" i="55"/>
  <c r="N32" i="55"/>
  <c r="N34" i="55"/>
  <c r="N36" i="55"/>
  <c r="N39" i="55"/>
  <c r="N42" i="55"/>
  <c r="J43" i="58" l="1"/>
  <c r="J26" i="58"/>
  <c r="N9" i="54"/>
  <c r="N17" i="54"/>
  <c r="N10" i="54"/>
  <c r="N20" i="54"/>
  <c r="N14" i="54"/>
  <c r="N15" i="54"/>
  <c r="N9" i="57"/>
  <c r="N25" i="54"/>
  <c r="N8" i="54"/>
  <c r="N16" i="54"/>
  <c r="I21" i="57"/>
  <c r="N21" i="57" s="1"/>
  <c r="N21" i="56"/>
  <c r="I19" i="57"/>
  <c r="N19" i="57" s="1"/>
  <c r="N19" i="56"/>
  <c r="I36" i="57"/>
  <c r="N36" i="57" s="1"/>
  <c r="N36" i="56"/>
  <c r="N15" i="57"/>
  <c r="N44" i="35"/>
  <c r="N21" i="53"/>
  <c r="I21" i="54"/>
  <c r="N36" i="53"/>
  <c r="I36" i="54"/>
  <c r="D43" i="56"/>
  <c r="D42" i="54"/>
  <c r="N19" i="53"/>
  <c r="I19" i="54"/>
  <c r="O13" i="58"/>
  <c r="I32" i="53"/>
  <c r="I32" i="56" s="1"/>
  <c r="I26" i="53"/>
  <c r="I26" i="56" s="1"/>
  <c r="I22" i="53"/>
  <c r="I22" i="56" s="1"/>
  <c r="I7" i="53"/>
  <c r="I7" i="56" s="1"/>
  <c r="I41" i="53"/>
  <c r="O34" i="58"/>
  <c r="O31" i="58"/>
  <c r="O23" i="58"/>
  <c r="O17" i="58"/>
  <c r="O9" i="58"/>
  <c r="O24" i="58"/>
  <c r="B23" i="53"/>
  <c r="G23" i="53"/>
  <c r="H23" i="53"/>
  <c r="H12" i="53"/>
  <c r="H12" i="56" s="1"/>
  <c r="H12" i="57" s="1"/>
  <c r="H24" i="53"/>
  <c r="H24" i="56" s="1"/>
  <c r="H24" i="57" s="1"/>
  <c r="H37" i="53"/>
  <c r="H38" i="56" s="1"/>
  <c r="H38" i="57" s="1"/>
  <c r="H38" i="53"/>
  <c r="H40" i="56" s="1"/>
  <c r="H40" i="57" s="1"/>
  <c r="H39" i="53"/>
  <c r="H41" i="56" s="1"/>
  <c r="H41" i="57" s="1"/>
  <c r="B17" i="40"/>
  <c r="N21" i="54" l="1"/>
  <c r="N36" i="54"/>
  <c r="N19" i="54"/>
  <c r="I7" i="57"/>
  <c r="N7" i="56"/>
  <c r="I26" i="57"/>
  <c r="N26" i="57" s="1"/>
  <c r="N26" i="56"/>
  <c r="D43" i="57"/>
  <c r="M23" i="53"/>
  <c r="H23" i="56"/>
  <c r="H23" i="57" s="1"/>
  <c r="I22" i="57"/>
  <c r="N22" i="57" s="1"/>
  <c r="N22" i="56"/>
  <c r="I32" i="57"/>
  <c r="N32" i="57" s="1"/>
  <c r="N32" i="56"/>
  <c r="N22" i="53"/>
  <c r="I22" i="54"/>
  <c r="N32" i="53"/>
  <c r="I32" i="54"/>
  <c r="L23" i="53"/>
  <c r="I7" i="54"/>
  <c r="N26" i="53"/>
  <c r="I26" i="54"/>
  <c r="N41" i="53"/>
  <c r="I43" i="56"/>
  <c r="N43" i="56" s="1"/>
  <c r="N7" i="53"/>
  <c r="L17" i="40"/>
  <c r="M81" i="59"/>
  <c r="O26" i="58"/>
  <c r="O37" i="58"/>
  <c r="C24" i="52"/>
  <c r="N22" i="54" l="1"/>
  <c r="N26" i="54"/>
  <c r="N32" i="54"/>
  <c r="N7" i="57"/>
  <c r="M24" i="52"/>
  <c r="N7" i="54"/>
  <c r="N42" i="52"/>
  <c r="I42" i="54"/>
  <c r="O36" i="58"/>
  <c r="N82" i="59"/>
  <c r="O39" i="58"/>
  <c r="N42" i="54" l="1"/>
  <c r="I43" i="57"/>
  <c r="N43" i="55"/>
  <c r="O38" i="58"/>
  <c r="O42" i="58"/>
  <c r="O41" i="58"/>
  <c r="O40" i="58"/>
  <c r="N43" i="57" l="1"/>
  <c r="O43" i="58"/>
  <c r="M8" i="28" l="1"/>
  <c r="C28" i="58"/>
  <c r="C27" i="58"/>
  <c r="C20" i="58"/>
  <c r="C19" i="58"/>
  <c r="N11" i="58" l="1"/>
  <c r="N12" i="58"/>
  <c r="N32" i="58"/>
  <c r="N8" i="58"/>
  <c r="M28" i="58"/>
  <c r="M27" i="58"/>
  <c r="M20" i="58"/>
  <c r="M19" i="58"/>
  <c r="B39" i="53"/>
  <c r="G39" i="53"/>
  <c r="B38" i="53"/>
  <c r="G38" i="53"/>
  <c r="B37" i="53"/>
  <c r="M37" i="53"/>
  <c r="G37" i="53"/>
  <c r="B12" i="53"/>
  <c r="M12" i="53"/>
  <c r="G12" i="53"/>
  <c r="M40" i="52"/>
  <c r="L40" i="52"/>
  <c r="B37" i="52"/>
  <c r="C37" i="52"/>
  <c r="G37" i="52"/>
  <c r="G38" i="55" s="1"/>
  <c r="G36" i="55"/>
  <c r="B23" i="52"/>
  <c r="C23" i="52"/>
  <c r="G23" i="52"/>
  <c r="B12" i="52"/>
  <c r="C12" i="52"/>
  <c r="G12" i="52"/>
  <c r="G12" i="55" s="1"/>
  <c r="H12" i="54"/>
  <c r="B9" i="52"/>
  <c r="C9" i="52"/>
  <c r="G9" i="52"/>
  <c r="H40" i="53"/>
  <c r="H42" i="56" s="1"/>
  <c r="H42" i="57" s="1"/>
  <c r="H35" i="53"/>
  <c r="H35" i="56" s="1"/>
  <c r="H35" i="57" s="1"/>
  <c r="H34" i="53"/>
  <c r="H34" i="56" s="1"/>
  <c r="H34" i="57" s="1"/>
  <c r="H33" i="53"/>
  <c r="H33" i="56" s="1"/>
  <c r="H33" i="57" s="1"/>
  <c r="H32" i="53"/>
  <c r="H32" i="56" s="1"/>
  <c r="H32" i="57" s="1"/>
  <c r="H30" i="53"/>
  <c r="H30" i="56" s="1"/>
  <c r="H30" i="57" s="1"/>
  <c r="H27" i="53"/>
  <c r="H27" i="56" s="1"/>
  <c r="H27" i="57" s="1"/>
  <c r="H22" i="53"/>
  <c r="H22" i="56" s="1"/>
  <c r="H22" i="57" s="1"/>
  <c r="H19" i="53"/>
  <c r="H19" i="56" s="1"/>
  <c r="H19" i="57" s="1"/>
  <c r="H17" i="53"/>
  <c r="H17" i="56" s="1"/>
  <c r="H17" i="57" s="1"/>
  <c r="H15" i="53"/>
  <c r="H15" i="56" s="1"/>
  <c r="H15" i="57" s="1"/>
  <c r="H14" i="53"/>
  <c r="H14" i="56" s="1"/>
  <c r="H14" i="57" s="1"/>
  <c r="H13" i="53"/>
  <c r="H13" i="56" s="1"/>
  <c r="H13" i="57" s="1"/>
  <c r="H10" i="53"/>
  <c r="H10" i="56" s="1"/>
  <c r="H10" i="57" s="1"/>
  <c r="H9" i="53"/>
  <c r="H9" i="56" s="1"/>
  <c r="H9" i="57" s="1"/>
  <c r="C41" i="52"/>
  <c r="C35" i="52"/>
  <c r="C34" i="52"/>
  <c r="C33" i="52"/>
  <c r="C31" i="52"/>
  <c r="C29" i="52"/>
  <c r="C28" i="52"/>
  <c r="C27" i="52"/>
  <c r="C22" i="52"/>
  <c r="C20" i="52"/>
  <c r="C19" i="52"/>
  <c r="C17" i="52"/>
  <c r="C15" i="52"/>
  <c r="C14" i="52"/>
  <c r="C13" i="52"/>
  <c r="C11" i="52"/>
  <c r="H26" i="61"/>
  <c r="C26" i="61"/>
  <c r="I35" i="58" l="1"/>
  <c r="I39" i="58" s="1"/>
  <c r="D35" i="58"/>
  <c r="N13" i="58"/>
  <c r="C29" i="54"/>
  <c r="C11" i="54"/>
  <c r="C14" i="54"/>
  <c r="C27" i="54"/>
  <c r="C35" i="54"/>
  <c r="G23" i="55"/>
  <c r="C13" i="54"/>
  <c r="C19" i="54"/>
  <c r="C22" i="54"/>
  <c r="C34" i="54"/>
  <c r="C15" i="54"/>
  <c r="C15" i="55"/>
  <c r="C17" i="54"/>
  <c r="M9" i="52"/>
  <c r="M12" i="52"/>
  <c r="C12" i="54"/>
  <c r="M12" i="54" s="1"/>
  <c r="B23" i="54"/>
  <c r="M36" i="52"/>
  <c r="C36" i="54"/>
  <c r="M24" i="53"/>
  <c r="C24" i="54"/>
  <c r="L39" i="53"/>
  <c r="B41" i="56"/>
  <c r="L9" i="52"/>
  <c r="L12" i="52"/>
  <c r="M23" i="52"/>
  <c r="C23" i="54"/>
  <c r="L36" i="52"/>
  <c r="L12" i="53"/>
  <c r="L37" i="53"/>
  <c r="M38" i="53"/>
  <c r="C38" i="54"/>
  <c r="M39" i="53"/>
  <c r="C39" i="54"/>
  <c r="L37" i="52"/>
  <c r="M37" i="52"/>
  <c r="C37" i="54"/>
  <c r="L38" i="53"/>
  <c r="M11" i="52"/>
  <c r="M14" i="52"/>
  <c r="C26" i="52"/>
  <c r="C32" i="52"/>
  <c r="M17" i="52"/>
  <c r="M26" i="61"/>
  <c r="C8" i="52"/>
  <c r="C8" i="55" s="1"/>
  <c r="C8" i="57" s="1"/>
  <c r="C18" i="52"/>
  <c r="M13" i="52"/>
  <c r="M15" i="52"/>
  <c r="M22" i="52"/>
  <c r="M28" i="52"/>
  <c r="M34" i="52"/>
  <c r="C25" i="54"/>
  <c r="M40" i="53"/>
  <c r="M14" i="53"/>
  <c r="M22" i="53"/>
  <c r="H29" i="53"/>
  <c r="M35" i="53"/>
  <c r="G23" i="54"/>
  <c r="L23" i="52"/>
  <c r="M27" i="52"/>
  <c r="M29" i="52"/>
  <c r="M31" i="52"/>
  <c r="M33" i="52"/>
  <c r="M35" i="52"/>
  <c r="M13" i="53"/>
  <c r="M15" i="53"/>
  <c r="M17" i="53"/>
  <c r="M19" i="53"/>
  <c r="H25" i="53"/>
  <c r="H25" i="56" s="1"/>
  <c r="H25" i="57" s="1"/>
  <c r="M27" i="53"/>
  <c r="M30" i="53"/>
  <c r="M32" i="53"/>
  <c r="M34" i="53"/>
  <c r="H36" i="53"/>
  <c r="M20" i="52"/>
  <c r="M19" i="52"/>
  <c r="C33" i="54"/>
  <c r="H31" i="53"/>
  <c r="H31" i="56" s="1"/>
  <c r="H31" i="57" s="1"/>
  <c r="H11" i="53"/>
  <c r="M9" i="53"/>
  <c r="B12" i="54"/>
  <c r="H37" i="54"/>
  <c r="B37" i="54"/>
  <c r="G37" i="54"/>
  <c r="C20" i="54"/>
  <c r="C31" i="54"/>
  <c r="H38" i="54"/>
  <c r="G38" i="54"/>
  <c r="H39" i="54"/>
  <c r="B38" i="54"/>
  <c r="C21" i="52"/>
  <c r="H10" i="54"/>
  <c r="H30" i="54"/>
  <c r="H20" i="53"/>
  <c r="H20" i="56" s="1"/>
  <c r="H20" i="57" s="1"/>
  <c r="H22" i="54"/>
  <c r="H7" i="53"/>
  <c r="H7" i="56" s="1"/>
  <c r="H24" i="54"/>
  <c r="N35" i="58"/>
  <c r="M16" i="53"/>
  <c r="H19" i="54"/>
  <c r="G41" i="56"/>
  <c r="G39" i="54"/>
  <c r="M41" i="56"/>
  <c r="B39" i="54"/>
  <c r="H23" i="54"/>
  <c r="H9" i="54"/>
  <c r="G12" i="54"/>
  <c r="H27" i="54"/>
  <c r="C7" i="52"/>
  <c r="I40" i="58" l="1"/>
  <c r="I42" i="58"/>
  <c r="M24" i="54"/>
  <c r="C7" i="54"/>
  <c r="C7" i="55"/>
  <c r="C7" i="57" s="1"/>
  <c r="C32" i="54"/>
  <c r="C21" i="54"/>
  <c r="H7" i="57"/>
  <c r="M36" i="53"/>
  <c r="H36" i="56"/>
  <c r="H36" i="57" s="1"/>
  <c r="M29" i="53"/>
  <c r="H29" i="56"/>
  <c r="H29" i="57" s="1"/>
  <c r="G41" i="57"/>
  <c r="M11" i="53"/>
  <c r="H11" i="56"/>
  <c r="H11" i="57" s="1"/>
  <c r="C15" i="57"/>
  <c r="L41" i="56"/>
  <c r="C16" i="54"/>
  <c r="C41" i="54"/>
  <c r="C9" i="54"/>
  <c r="M9" i="54" s="1"/>
  <c r="M7" i="53"/>
  <c r="L23" i="54"/>
  <c r="C18" i="54"/>
  <c r="C8" i="54"/>
  <c r="C26" i="54"/>
  <c r="M20" i="53"/>
  <c r="M39" i="54"/>
  <c r="H36" i="54"/>
  <c r="M36" i="54" s="1"/>
  <c r="M27" i="54"/>
  <c r="M25" i="53"/>
  <c r="M23" i="54"/>
  <c r="L38" i="54"/>
  <c r="H31" i="54"/>
  <c r="M31" i="54" s="1"/>
  <c r="M31" i="53"/>
  <c r="H41" i="53"/>
  <c r="H42" i="54" s="1"/>
  <c r="M7" i="52"/>
  <c r="L12" i="54"/>
  <c r="H33" i="54"/>
  <c r="M33" i="54" s="1"/>
  <c r="L39" i="54"/>
  <c r="H17" i="54"/>
  <c r="M17" i="54" s="1"/>
  <c r="M10" i="53"/>
  <c r="M22" i="54"/>
  <c r="H35" i="54"/>
  <c r="M35" i="54" s="1"/>
  <c r="M38" i="54"/>
  <c r="L37" i="54"/>
  <c r="M37" i="54"/>
  <c r="C30" i="52"/>
  <c r="M25" i="52"/>
  <c r="M33" i="53"/>
  <c r="H26" i="53"/>
  <c r="M18" i="52"/>
  <c r="M8" i="52"/>
  <c r="C10" i="52"/>
  <c r="M19" i="54"/>
  <c r="M21" i="52"/>
  <c r="H18" i="53"/>
  <c r="H21" i="53"/>
  <c r="M16" i="52"/>
  <c r="H15" i="54"/>
  <c r="M15" i="54" s="1"/>
  <c r="H29" i="54"/>
  <c r="M29" i="54" s="1"/>
  <c r="H11" i="54"/>
  <c r="M11" i="54" s="1"/>
  <c r="H13" i="54"/>
  <c r="M13" i="54" s="1"/>
  <c r="H34" i="54"/>
  <c r="M34" i="54" s="1"/>
  <c r="H28" i="54"/>
  <c r="H14" i="54"/>
  <c r="M14" i="54" s="1"/>
  <c r="M36" i="56" l="1"/>
  <c r="M21" i="53"/>
  <c r="H21" i="56"/>
  <c r="H21" i="57" s="1"/>
  <c r="M18" i="53"/>
  <c r="H18" i="56"/>
  <c r="H18" i="57" s="1"/>
  <c r="M26" i="53"/>
  <c r="H26" i="56"/>
  <c r="H26" i="57" s="1"/>
  <c r="M10" i="52"/>
  <c r="C10" i="54"/>
  <c r="M10" i="54" s="1"/>
  <c r="M30" i="52"/>
  <c r="C30" i="54"/>
  <c r="M30" i="54" s="1"/>
  <c r="H25" i="54"/>
  <c r="M25" i="54" s="1"/>
  <c r="H8" i="54"/>
  <c r="M8" i="54" s="1"/>
  <c r="M8" i="53"/>
  <c r="M28" i="54"/>
  <c r="M28" i="53"/>
  <c r="M26" i="52"/>
  <c r="H26" i="54"/>
  <c r="M26" i="54" s="1"/>
  <c r="H43" i="56"/>
  <c r="M42" i="52"/>
  <c r="M32" i="52"/>
  <c r="H32" i="54"/>
  <c r="M32" i="54" s="1"/>
  <c r="H41" i="54"/>
  <c r="M41" i="54" s="1"/>
  <c r="M41" i="52"/>
  <c r="N36" i="58"/>
  <c r="H18" i="54"/>
  <c r="M18" i="54" s="1"/>
  <c r="H21" i="54"/>
  <c r="M21" i="54" s="1"/>
  <c r="H16" i="54"/>
  <c r="H20" i="54"/>
  <c r="M20" i="54" s="1"/>
  <c r="H7" i="54"/>
  <c r="I35" i="60"/>
  <c r="D35" i="60"/>
  <c r="C11" i="59"/>
  <c r="C35" i="42"/>
  <c r="D28" i="58" s="1"/>
  <c r="D39" i="58" s="1"/>
  <c r="D40" i="58" l="1"/>
  <c r="D42" i="58"/>
  <c r="N37" i="58"/>
  <c r="M16" i="54"/>
  <c r="C41" i="53"/>
  <c r="M7" i="54"/>
  <c r="M11" i="59"/>
  <c r="M35" i="42"/>
  <c r="N35" i="60"/>
  <c r="N29" i="58"/>
  <c r="N28" i="58"/>
  <c r="N33" i="58" l="1"/>
  <c r="N27" i="58"/>
  <c r="N30" i="58"/>
  <c r="C43" i="56"/>
  <c r="C42" i="54"/>
  <c r="M41" i="53"/>
  <c r="N34" i="58"/>
  <c r="B41" i="30"/>
  <c r="B37" i="30"/>
  <c r="G37" i="56"/>
  <c r="G23" i="56"/>
  <c r="G12" i="56"/>
  <c r="B36" i="28"/>
  <c r="B34" i="28"/>
  <c r="B33" i="28"/>
  <c r="B32" i="28"/>
  <c r="B31" i="28"/>
  <c r="B33" i="30"/>
  <c r="B29" i="28"/>
  <c r="B28" i="28"/>
  <c r="B27" i="28"/>
  <c r="B25" i="28"/>
  <c r="B24" i="28"/>
  <c r="B23" i="28"/>
  <c r="B22" i="28"/>
  <c r="B21" i="28"/>
  <c r="B19" i="28"/>
  <c r="B18" i="28"/>
  <c r="B17" i="28"/>
  <c r="B16" i="28"/>
  <c r="B15" i="28"/>
  <c r="B17" i="34" s="1"/>
  <c r="B14" i="28"/>
  <c r="B13" i="28"/>
  <c r="B12" i="28"/>
  <c r="B11" i="28"/>
  <c r="B10" i="28"/>
  <c r="B8" i="28"/>
  <c r="B42" i="40"/>
  <c r="C42" i="29"/>
  <c r="C42" i="55" s="1"/>
  <c r="C42" i="57" s="1"/>
  <c r="B40" i="40"/>
  <c r="B39" i="40"/>
  <c r="C39" i="29"/>
  <c r="C39" i="55" s="1"/>
  <c r="C40" i="57" s="1"/>
  <c r="B38" i="40"/>
  <c r="C38" i="29"/>
  <c r="C38" i="55" s="1"/>
  <c r="C38" i="57" s="1"/>
  <c r="B37" i="40"/>
  <c r="C37" i="29"/>
  <c r="C36" i="55" s="1"/>
  <c r="C36" i="57" s="1"/>
  <c r="B36" i="40"/>
  <c r="C36" i="29"/>
  <c r="C35" i="55" s="1"/>
  <c r="C35" i="57" s="1"/>
  <c r="B35" i="40"/>
  <c r="C35" i="29"/>
  <c r="C34" i="55" s="1"/>
  <c r="C34" i="57" s="1"/>
  <c r="B34" i="40"/>
  <c r="C34" i="29"/>
  <c r="C33" i="55" s="1"/>
  <c r="C33" i="57" s="1"/>
  <c r="B33" i="40"/>
  <c r="C33" i="29"/>
  <c r="C32" i="55" s="1"/>
  <c r="C32" i="57" s="1"/>
  <c r="B32" i="40"/>
  <c r="C32" i="29"/>
  <c r="C31" i="55" s="1"/>
  <c r="C31" i="57" s="1"/>
  <c r="B31" i="40"/>
  <c r="C31" i="29"/>
  <c r="C30" i="55" s="1"/>
  <c r="C30" i="57" s="1"/>
  <c r="B30" i="40"/>
  <c r="C30" i="29"/>
  <c r="C29" i="55" s="1"/>
  <c r="C29" i="57" s="1"/>
  <c r="B29" i="40"/>
  <c r="C29" i="29"/>
  <c r="C28" i="55" s="1"/>
  <c r="C28" i="57" s="1"/>
  <c r="B28" i="40"/>
  <c r="C28" i="29"/>
  <c r="C27" i="55" s="1"/>
  <c r="C27" i="57" s="1"/>
  <c r="B27" i="40"/>
  <c r="C27" i="29"/>
  <c r="C26" i="55" s="1"/>
  <c r="C26" i="57" s="1"/>
  <c r="B26" i="40"/>
  <c r="C26" i="29"/>
  <c r="C25" i="55" s="1"/>
  <c r="C25" i="57" s="1"/>
  <c r="B25" i="40"/>
  <c r="C25" i="29"/>
  <c r="C24" i="55" s="1"/>
  <c r="C24" i="57" s="1"/>
  <c r="B24" i="40"/>
  <c r="C24" i="29"/>
  <c r="C23" i="55" s="1"/>
  <c r="C23" i="57" s="1"/>
  <c r="B23" i="40"/>
  <c r="B22" i="40"/>
  <c r="C22" i="29"/>
  <c r="C21" i="55" s="1"/>
  <c r="C21" i="57" s="1"/>
  <c r="B21" i="40"/>
  <c r="B20" i="40"/>
  <c r="B19" i="40"/>
  <c r="B18" i="40"/>
  <c r="C18" i="29"/>
  <c r="C17" i="55" s="1"/>
  <c r="C17" i="57" s="1"/>
  <c r="C17" i="29"/>
  <c r="C16" i="55" s="1"/>
  <c r="C16" i="57" s="1"/>
  <c r="B15" i="40"/>
  <c r="B14" i="40"/>
  <c r="C14" i="29"/>
  <c r="C13" i="55" s="1"/>
  <c r="C13" i="57" s="1"/>
  <c r="B13" i="40"/>
  <c r="C13" i="29"/>
  <c r="C12" i="55" s="1"/>
  <c r="C12" i="57" s="1"/>
  <c r="B12" i="40"/>
  <c r="C12" i="29"/>
  <c r="C11" i="55" s="1"/>
  <c r="C11" i="57" s="1"/>
  <c r="G12" i="40"/>
  <c r="B11" i="40"/>
  <c r="G11" i="40"/>
  <c r="B10" i="40"/>
  <c r="G10" i="40"/>
  <c r="B9" i="40"/>
  <c r="B8" i="40"/>
  <c r="C35" i="16"/>
  <c r="I9" i="47"/>
  <c r="D14" i="47"/>
  <c r="D85" i="11"/>
  <c r="D81" i="11"/>
  <c r="D78" i="11"/>
  <c r="D75" i="11"/>
  <c r="D72" i="11"/>
  <c r="D69" i="11"/>
  <c r="D66" i="11"/>
  <c r="D62" i="11"/>
  <c r="D58" i="11"/>
  <c r="D55" i="11"/>
  <c r="D52" i="11"/>
  <c r="D42" i="11"/>
  <c r="D39" i="11"/>
  <c r="D36" i="11"/>
  <c r="D33" i="11"/>
  <c r="D30" i="11"/>
  <c r="D27" i="11"/>
  <c r="D21" i="11"/>
  <c r="D12" i="11"/>
  <c r="D98" i="45"/>
  <c r="D91" i="45"/>
  <c r="D86" i="45"/>
  <c r="D83" i="45"/>
  <c r="D80" i="45"/>
  <c r="D77" i="45"/>
  <c r="D74" i="45"/>
  <c r="D71" i="45"/>
  <c r="D65" i="45"/>
  <c r="D56" i="45"/>
  <c r="D53" i="45"/>
  <c r="D50" i="45"/>
  <c r="D47" i="45"/>
  <c r="D44" i="45"/>
  <c r="D41" i="45"/>
  <c r="D38" i="45"/>
  <c r="D35" i="45"/>
  <c r="D24" i="45"/>
  <c r="D21" i="45"/>
  <c r="N7" i="46"/>
  <c r="H29" i="48"/>
  <c r="C29" i="48"/>
  <c r="D14" i="58" s="1"/>
  <c r="D19" i="58" l="1"/>
  <c r="N19" i="58" s="1"/>
  <c r="I14" i="58"/>
  <c r="C44" i="40"/>
  <c r="C44" i="34" s="1"/>
  <c r="G23" i="57"/>
  <c r="G12" i="57"/>
  <c r="G37" i="57"/>
  <c r="M43" i="56"/>
  <c r="M42" i="54"/>
  <c r="M29" i="48"/>
  <c r="H44" i="40"/>
  <c r="I21" i="58" s="1"/>
  <c r="I23" i="58" s="1"/>
  <c r="N24" i="45"/>
  <c r="N38" i="45"/>
  <c r="N44" i="45"/>
  <c r="N50" i="45"/>
  <c r="N56" i="45"/>
  <c r="N71" i="45"/>
  <c r="N77" i="45"/>
  <c r="N83" i="45"/>
  <c r="N91" i="45"/>
  <c r="N12" i="11"/>
  <c r="N27" i="11"/>
  <c r="N33" i="11"/>
  <c r="N39" i="11"/>
  <c r="N52" i="11"/>
  <c r="N58" i="11"/>
  <c r="N66" i="11"/>
  <c r="N72" i="11"/>
  <c r="N78" i="11"/>
  <c r="N85" i="11"/>
  <c r="N9" i="47"/>
  <c r="N21" i="47"/>
  <c r="N27" i="47"/>
  <c r="N39" i="47"/>
  <c r="L9" i="40"/>
  <c r="B10" i="29"/>
  <c r="B10" i="35" s="1"/>
  <c r="B11" i="29"/>
  <c r="C12" i="35"/>
  <c r="M12" i="35" s="1"/>
  <c r="M12" i="29"/>
  <c r="C13" i="35"/>
  <c r="M13" i="35" s="1"/>
  <c r="M13" i="29"/>
  <c r="C14" i="35"/>
  <c r="M14" i="35" s="1"/>
  <c r="M14" i="29"/>
  <c r="B15" i="29"/>
  <c r="L15" i="40"/>
  <c r="L17" i="34"/>
  <c r="L18" i="40"/>
  <c r="B21" i="29"/>
  <c r="L21" i="40"/>
  <c r="L22" i="40"/>
  <c r="C24" i="35"/>
  <c r="M24" i="35" s="1"/>
  <c r="M24" i="29"/>
  <c r="C25" i="35"/>
  <c r="M25" i="35" s="1"/>
  <c r="M25" i="29"/>
  <c r="C26" i="35"/>
  <c r="M26" i="35" s="1"/>
  <c r="M26" i="29"/>
  <c r="C27" i="35"/>
  <c r="M27" i="35" s="1"/>
  <c r="M27" i="29"/>
  <c r="C28" i="35"/>
  <c r="M28" i="35" s="1"/>
  <c r="M28" i="29"/>
  <c r="C29" i="35"/>
  <c r="M29" i="35" s="1"/>
  <c r="M29" i="29"/>
  <c r="C30" i="35"/>
  <c r="M30" i="35" s="1"/>
  <c r="M30" i="29"/>
  <c r="C31" i="35"/>
  <c r="M31" i="35" s="1"/>
  <c r="M31" i="29"/>
  <c r="C32" i="35"/>
  <c r="M32" i="35" s="1"/>
  <c r="M32" i="29"/>
  <c r="C33" i="35"/>
  <c r="M33" i="35" s="1"/>
  <c r="M33" i="29"/>
  <c r="C34" i="35"/>
  <c r="M34" i="35" s="1"/>
  <c r="M34" i="29"/>
  <c r="C35" i="35"/>
  <c r="M35" i="35" s="1"/>
  <c r="M35" i="29"/>
  <c r="C36" i="35"/>
  <c r="M36" i="35" s="1"/>
  <c r="M36" i="29"/>
  <c r="C37" i="35"/>
  <c r="M37" i="35" s="1"/>
  <c r="M37" i="29"/>
  <c r="C39" i="35"/>
  <c r="M39" i="35" s="1"/>
  <c r="M38" i="29"/>
  <c r="C41" i="35"/>
  <c r="M41" i="35" s="1"/>
  <c r="M39" i="29"/>
  <c r="B40" i="29"/>
  <c r="L40" i="40"/>
  <c r="L42" i="40"/>
  <c r="B16" i="29"/>
  <c r="L16" i="40"/>
  <c r="B9" i="30"/>
  <c r="L9" i="28"/>
  <c r="B12" i="30"/>
  <c r="L11" i="28"/>
  <c r="B15" i="30"/>
  <c r="L13" i="28"/>
  <c r="B17" i="30"/>
  <c r="L15" i="28"/>
  <c r="B19" i="30"/>
  <c r="L17" i="28"/>
  <c r="B21" i="30"/>
  <c r="L19" i="28"/>
  <c r="B23" i="30"/>
  <c r="L21" i="28"/>
  <c r="B26" i="30"/>
  <c r="L23" i="28"/>
  <c r="B28" i="30"/>
  <c r="L25" i="28"/>
  <c r="B30" i="30"/>
  <c r="L27" i="28"/>
  <c r="B32" i="30"/>
  <c r="L29" i="28"/>
  <c r="B34" i="30"/>
  <c r="L31" i="28"/>
  <c r="B36" i="30"/>
  <c r="L33" i="28"/>
  <c r="B40" i="30"/>
  <c r="L36" i="28"/>
  <c r="B38" i="35"/>
  <c r="L37" i="30"/>
  <c r="L41" i="30"/>
  <c r="N21" i="45"/>
  <c r="N35" i="45"/>
  <c r="N41" i="45"/>
  <c r="N47" i="45"/>
  <c r="N53" i="45"/>
  <c r="N65" i="45"/>
  <c r="N74" i="45"/>
  <c r="N80" i="45"/>
  <c r="N86" i="45"/>
  <c r="N98" i="45"/>
  <c r="N21" i="11"/>
  <c r="N30" i="11"/>
  <c r="N36" i="11"/>
  <c r="N42" i="11"/>
  <c r="N55" i="11"/>
  <c r="N62" i="11"/>
  <c r="N69" i="11"/>
  <c r="N75" i="11"/>
  <c r="N81" i="11"/>
  <c r="N14" i="47"/>
  <c r="N24" i="47"/>
  <c r="N30" i="47"/>
  <c r="N42" i="47"/>
  <c r="M35" i="16"/>
  <c r="L8" i="40"/>
  <c r="G10" i="29"/>
  <c r="G9" i="55" s="1"/>
  <c r="G10" i="34"/>
  <c r="L10" i="40"/>
  <c r="G11" i="29"/>
  <c r="G11" i="34"/>
  <c r="L11" i="40"/>
  <c r="G12" i="29"/>
  <c r="G12" i="34"/>
  <c r="L12" i="40"/>
  <c r="B13" i="29"/>
  <c r="B13" i="35" s="1"/>
  <c r="B13" i="34"/>
  <c r="L13" i="40"/>
  <c r="B14" i="34"/>
  <c r="L14" i="40"/>
  <c r="C17" i="35"/>
  <c r="M17" i="35" s="1"/>
  <c r="M17" i="29"/>
  <c r="C18" i="35"/>
  <c r="M18" i="35" s="1"/>
  <c r="M18" i="29"/>
  <c r="B19" i="29"/>
  <c r="L19" i="40"/>
  <c r="L20" i="40"/>
  <c r="C22" i="35"/>
  <c r="M22" i="35" s="1"/>
  <c r="M22" i="29"/>
  <c r="B23" i="29"/>
  <c r="L23" i="40"/>
  <c r="B24" i="29"/>
  <c r="B24" i="35" s="1"/>
  <c r="L24" i="40"/>
  <c r="B25" i="29"/>
  <c r="L25" i="40"/>
  <c r="L26" i="40"/>
  <c r="B27" i="29"/>
  <c r="L27" i="40"/>
  <c r="B28" i="29"/>
  <c r="L28" i="40"/>
  <c r="B29" i="29"/>
  <c r="L29" i="40"/>
  <c r="B30" i="29"/>
  <c r="L30" i="40"/>
  <c r="B31" i="29"/>
  <c r="L31" i="40"/>
  <c r="B32" i="29"/>
  <c r="L32" i="40"/>
  <c r="B33" i="29"/>
  <c r="B33" i="35" s="1"/>
  <c r="L33" i="40"/>
  <c r="B34" i="29"/>
  <c r="B34" i="35" s="1"/>
  <c r="L34" i="40"/>
  <c r="B35" i="29"/>
  <c r="L35" i="40"/>
  <c r="B36" i="29"/>
  <c r="L36" i="40"/>
  <c r="L37" i="40"/>
  <c r="B38" i="29"/>
  <c r="B38" i="55" s="1"/>
  <c r="L38" i="40"/>
  <c r="B39" i="29"/>
  <c r="L39" i="40"/>
  <c r="C43" i="35"/>
  <c r="M43" i="35" s="1"/>
  <c r="M42" i="29"/>
  <c r="C16" i="35"/>
  <c r="M16" i="35" s="1"/>
  <c r="M16" i="29"/>
  <c r="B8" i="30"/>
  <c r="B11" i="30"/>
  <c r="L10" i="28"/>
  <c r="B14" i="30"/>
  <c r="L12" i="28"/>
  <c r="B16" i="30"/>
  <c r="L14" i="28"/>
  <c r="B18" i="30"/>
  <c r="L16" i="28"/>
  <c r="B20" i="30"/>
  <c r="L18" i="28"/>
  <c r="B22" i="30"/>
  <c r="L20" i="28"/>
  <c r="B25" i="30"/>
  <c r="L22" i="28"/>
  <c r="B27" i="30"/>
  <c r="L24" i="28"/>
  <c r="B29" i="30"/>
  <c r="L26" i="28"/>
  <c r="B31" i="30"/>
  <c r="L28" i="28"/>
  <c r="L33" i="30"/>
  <c r="B35" i="30"/>
  <c r="L32" i="28"/>
  <c r="B38" i="30"/>
  <c r="B38" i="56" s="1"/>
  <c r="L34" i="28"/>
  <c r="N39" i="58"/>
  <c r="N31" i="58"/>
  <c r="N38" i="58"/>
  <c r="L8" i="28"/>
  <c r="G38" i="56"/>
  <c r="G40" i="56"/>
  <c r="M12" i="56"/>
  <c r="M42" i="56"/>
  <c r="B12" i="56"/>
  <c r="M9" i="56"/>
  <c r="M23" i="56"/>
  <c r="B40" i="56"/>
  <c r="B23" i="56"/>
  <c r="B37" i="56"/>
  <c r="B12" i="34"/>
  <c r="B26" i="34"/>
  <c r="C20" i="29"/>
  <c r="C19" i="55" s="1"/>
  <c r="C19" i="57" s="1"/>
  <c r="B9" i="34"/>
  <c r="B20" i="34"/>
  <c r="B8" i="34"/>
  <c r="B10" i="34"/>
  <c r="G13" i="34"/>
  <c r="C13" i="34"/>
  <c r="B23" i="34"/>
  <c r="B30" i="34"/>
  <c r="B9" i="29"/>
  <c r="C10" i="29"/>
  <c r="C9" i="55" s="1"/>
  <c r="B24" i="34"/>
  <c r="B35" i="34"/>
  <c r="B37" i="29"/>
  <c r="B37" i="34"/>
  <c r="B42" i="29"/>
  <c r="B42" i="34"/>
  <c r="M24" i="56"/>
  <c r="N7" i="58"/>
  <c r="B18" i="34"/>
  <c r="B22" i="34"/>
  <c r="B16" i="34"/>
  <c r="B25" i="34"/>
  <c r="B40" i="34"/>
  <c r="B17" i="29"/>
  <c r="C23" i="29"/>
  <c r="C22" i="55" s="1"/>
  <c r="C22" i="57" s="1"/>
  <c r="N16" i="58"/>
  <c r="H13" i="34"/>
  <c r="B28" i="34"/>
  <c r="M31" i="56"/>
  <c r="B11" i="34"/>
  <c r="B15" i="34"/>
  <c r="B19" i="34"/>
  <c r="B21" i="34"/>
  <c r="B27" i="34"/>
  <c r="B29" i="34"/>
  <c r="B31" i="34"/>
  <c r="B33" i="34"/>
  <c r="B39" i="34"/>
  <c r="B8" i="29"/>
  <c r="C11" i="29"/>
  <c r="C10" i="55" s="1"/>
  <c r="C10" i="57" s="1"/>
  <c r="B12" i="29"/>
  <c r="B14" i="29"/>
  <c r="C15" i="29"/>
  <c r="C14" i="55" s="1"/>
  <c r="C14" i="57" s="1"/>
  <c r="B18" i="29"/>
  <c r="C19" i="29"/>
  <c r="C18" i="55" s="1"/>
  <c r="C18" i="57" s="1"/>
  <c r="B20" i="29"/>
  <c r="C21" i="29"/>
  <c r="C20" i="55" s="1"/>
  <c r="C20" i="57" s="1"/>
  <c r="B22" i="29"/>
  <c r="B26" i="29"/>
  <c r="B32" i="34"/>
  <c r="B34" i="34"/>
  <c r="B36" i="34"/>
  <c r="B38" i="34"/>
  <c r="B41" i="35" l="1"/>
  <c r="L41" i="35" s="1"/>
  <c r="B35" i="35"/>
  <c r="L35" i="35" s="1"/>
  <c r="C44" i="29"/>
  <c r="D24" i="58" s="1"/>
  <c r="D21" i="58"/>
  <c r="D23" i="58" s="1"/>
  <c r="B11" i="35"/>
  <c r="B19" i="35"/>
  <c r="L19" i="35" s="1"/>
  <c r="B40" i="55"/>
  <c r="L40" i="29"/>
  <c r="C9" i="57"/>
  <c r="B37" i="57"/>
  <c r="G38" i="57"/>
  <c r="L23" i="56"/>
  <c r="L12" i="56"/>
  <c r="G40" i="57"/>
  <c r="N40" i="58"/>
  <c r="B9" i="55"/>
  <c r="M13" i="34"/>
  <c r="M7" i="56"/>
  <c r="M21" i="56"/>
  <c r="M34" i="56"/>
  <c r="M17" i="56"/>
  <c r="M25" i="56"/>
  <c r="M8" i="56"/>
  <c r="B23" i="35"/>
  <c r="L23" i="35" s="1"/>
  <c r="B30" i="35"/>
  <c r="B28" i="35"/>
  <c r="L28" i="35" s="1"/>
  <c r="B21" i="35"/>
  <c r="L21" i="35" s="1"/>
  <c r="M33" i="56"/>
  <c r="B39" i="35"/>
  <c r="L39" i="35" s="1"/>
  <c r="B32" i="35"/>
  <c r="L32" i="35" s="1"/>
  <c r="M30" i="56"/>
  <c r="M20" i="56"/>
  <c r="M11" i="56"/>
  <c r="M15" i="56"/>
  <c r="M38" i="56"/>
  <c r="M28" i="56"/>
  <c r="M35" i="56"/>
  <c r="M22" i="56"/>
  <c r="B36" i="35"/>
  <c r="B25" i="35"/>
  <c r="M13" i="56"/>
  <c r="M18" i="56"/>
  <c r="M37" i="57"/>
  <c r="M26" i="56"/>
  <c r="M32" i="56"/>
  <c r="B31" i="35"/>
  <c r="L31" i="35" s="1"/>
  <c r="B29" i="35"/>
  <c r="B27" i="35"/>
  <c r="B15" i="35"/>
  <c r="L15" i="35" s="1"/>
  <c r="B16" i="35"/>
  <c r="B23" i="55"/>
  <c r="B39" i="55"/>
  <c r="B12" i="55"/>
  <c r="M19" i="56"/>
  <c r="M40" i="56"/>
  <c r="M29" i="56"/>
  <c r="M16" i="56"/>
  <c r="M10" i="56"/>
  <c r="M27" i="56"/>
  <c r="M14" i="56"/>
  <c r="L38" i="34"/>
  <c r="L34" i="34"/>
  <c r="B26" i="35"/>
  <c r="L26" i="29"/>
  <c r="C21" i="35"/>
  <c r="M21" i="35" s="1"/>
  <c r="M21" i="29"/>
  <c r="B18" i="35"/>
  <c r="L18" i="29"/>
  <c r="B14" i="35"/>
  <c r="L14" i="29"/>
  <c r="C11" i="35"/>
  <c r="M11" i="35" s="1"/>
  <c r="M11" i="29"/>
  <c r="L39" i="34"/>
  <c r="L31" i="34"/>
  <c r="L27" i="34"/>
  <c r="L19" i="34"/>
  <c r="L38" i="55"/>
  <c r="C42" i="35"/>
  <c r="M42" i="35" s="1"/>
  <c r="N18" i="58"/>
  <c r="B17" i="35"/>
  <c r="L17" i="29"/>
  <c r="L25" i="34"/>
  <c r="L18" i="34"/>
  <c r="B43" i="35"/>
  <c r="L42" i="29"/>
  <c r="B37" i="35"/>
  <c r="L37" i="29"/>
  <c r="L24" i="34"/>
  <c r="C10" i="35"/>
  <c r="M10" i="35" s="1"/>
  <c r="M10" i="29"/>
  <c r="L30" i="34"/>
  <c r="N20" i="58"/>
  <c r="M23" i="55"/>
  <c r="L9" i="34"/>
  <c r="C20" i="35"/>
  <c r="M20" i="35" s="1"/>
  <c r="M20" i="29"/>
  <c r="L24" i="35"/>
  <c r="L13" i="35"/>
  <c r="L33" i="35"/>
  <c r="L38" i="56"/>
  <c r="L37" i="56"/>
  <c r="L35" i="30"/>
  <c r="L29" i="30"/>
  <c r="L25" i="30"/>
  <c r="L20" i="30"/>
  <c r="L16" i="30"/>
  <c r="L11" i="30"/>
  <c r="L8" i="30"/>
  <c r="L38" i="29"/>
  <c r="L35" i="29"/>
  <c r="L33" i="29"/>
  <c r="L31" i="29"/>
  <c r="L29" i="29"/>
  <c r="L27" i="29"/>
  <c r="L24" i="29"/>
  <c r="L19" i="29"/>
  <c r="L14" i="34"/>
  <c r="L38" i="35"/>
  <c r="L40" i="30"/>
  <c r="L34" i="30"/>
  <c r="L30" i="30"/>
  <c r="L26" i="30"/>
  <c r="L21" i="30"/>
  <c r="L17" i="30"/>
  <c r="L12" i="30"/>
  <c r="L16" i="29"/>
  <c r="L21" i="29"/>
  <c r="L36" i="34"/>
  <c r="L32" i="34"/>
  <c r="B22" i="35"/>
  <c r="L22" i="29"/>
  <c r="B20" i="35"/>
  <c r="L20" i="29"/>
  <c r="C19" i="35"/>
  <c r="M19" i="35" s="1"/>
  <c r="M19" i="29"/>
  <c r="C15" i="35"/>
  <c r="M15" i="35" s="1"/>
  <c r="M15" i="29"/>
  <c r="B12" i="35"/>
  <c r="L8" i="29"/>
  <c r="L33" i="34"/>
  <c r="L29" i="34"/>
  <c r="L21" i="34"/>
  <c r="L15" i="34"/>
  <c r="L28" i="34"/>
  <c r="C23" i="35"/>
  <c r="M23" i="35" s="1"/>
  <c r="M23" i="29"/>
  <c r="L40" i="34"/>
  <c r="L16" i="34"/>
  <c r="L22" i="34"/>
  <c r="L42" i="34"/>
  <c r="L37" i="34"/>
  <c r="L35" i="34"/>
  <c r="B9" i="35"/>
  <c r="L9" i="29"/>
  <c r="L23" i="34"/>
  <c r="L13" i="34"/>
  <c r="L8" i="34"/>
  <c r="N10" i="58"/>
  <c r="L20" i="34"/>
  <c r="L26" i="34"/>
  <c r="L34" i="35"/>
  <c r="L40" i="56"/>
  <c r="L38" i="30"/>
  <c r="L31" i="30"/>
  <c r="L27" i="30"/>
  <c r="L22" i="30"/>
  <c r="L18" i="30"/>
  <c r="L14" i="30"/>
  <c r="L39" i="29"/>
  <c r="L36" i="29"/>
  <c r="L34" i="29"/>
  <c r="L32" i="29"/>
  <c r="L30" i="29"/>
  <c r="L28" i="29"/>
  <c r="L25" i="29"/>
  <c r="L23" i="29"/>
  <c r="L13" i="29"/>
  <c r="L12" i="34"/>
  <c r="G12" i="35"/>
  <c r="L12" i="29"/>
  <c r="L11" i="34"/>
  <c r="G11" i="35"/>
  <c r="L11" i="29"/>
  <c r="L10" i="34"/>
  <c r="G10" i="35"/>
  <c r="L10" i="29"/>
  <c r="M37" i="56"/>
  <c r="L36" i="30"/>
  <c r="L32" i="30"/>
  <c r="L28" i="30"/>
  <c r="L23" i="30"/>
  <c r="L19" i="30"/>
  <c r="L15" i="30"/>
  <c r="L9" i="30"/>
  <c r="B42" i="35"/>
  <c r="L15" i="29"/>
  <c r="H44" i="34"/>
  <c r="M44" i="34" s="1"/>
  <c r="H44" i="29"/>
  <c r="I24" i="58" s="1"/>
  <c r="M44" i="40"/>
  <c r="N14" i="58"/>
  <c r="N15" i="58"/>
  <c r="B8" i="35"/>
  <c r="B38" i="57"/>
  <c r="M16" i="55"/>
  <c r="N9" i="58"/>
  <c r="M22" i="55"/>
  <c r="B36" i="55"/>
  <c r="M34" i="55"/>
  <c r="M12" i="55"/>
  <c r="M15" i="55"/>
  <c r="M29" i="55"/>
  <c r="M27" i="55"/>
  <c r="M42" i="55"/>
  <c r="M36" i="55"/>
  <c r="M24" i="55"/>
  <c r="M38" i="55"/>
  <c r="M33" i="55"/>
  <c r="M21" i="55"/>
  <c r="M17" i="55"/>
  <c r="M11" i="55"/>
  <c r="M39" i="55"/>
  <c r="M30" i="55"/>
  <c r="M26" i="55"/>
  <c r="M35" i="55"/>
  <c r="M31" i="55"/>
  <c r="M25" i="55"/>
  <c r="M13" i="55"/>
  <c r="M32" i="55"/>
  <c r="M28" i="55"/>
  <c r="L37" i="57" l="1"/>
  <c r="C43" i="55"/>
  <c r="C43" i="57" s="1"/>
  <c r="D26" i="58"/>
  <c r="D41" i="58"/>
  <c r="D43" i="58" s="1"/>
  <c r="I41" i="58"/>
  <c r="I43" i="58" s="1"/>
  <c r="I26" i="58"/>
  <c r="N17" i="58"/>
  <c r="B41" i="57"/>
  <c r="L27" i="35"/>
  <c r="H43" i="55"/>
  <c r="L39" i="55"/>
  <c r="L12" i="55"/>
  <c r="L9" i="55"/>
  <c r="L36" i="55"/>
  <c r="L23" i="55"/>
  <c r="B23" i="57"/>
  <c r="L30" i="35"/>
  <c r="L25" i="35"/>
  <c r="M23" i="57"/>
  <c r="L29" i="35"/>
  <c r="L36" i="35"/>
  <c r="B12" i="57"/>
  <c r="L16" i="35"/>
  <c r="B40" i="57"/>
  <c r="M19" i="55"/>
  <c r="M10" i="55"/>
  <c r="M9" i="55"/>
  <c r="M8" i="55"/>
  <c r="M20" i="55"/>
  <c r="L38" i="57"/>
  <c r="L42" i="35"/>
  <c r="L11" i="35"/>
  <c r="L22" i="35"/>
  <c r="L37" i="35"/>
  <c r="L17" i="35"/>
  <c r="L18" i="35"/>
  <c r="M18" i="55"/>
  <c r="M14" i="55"/>
  <c r="M40" i="55"/>
  <c r="L10" i="35"/>
  <c r="L12" i="35"/>
  <c r="L9" i="35"/>
  <c r="L20" i="35"/>
  <c r="L43" i="35"/>
  <c r="L14" i="35"/>
  <c r="L26" i="35"/>
  <c r="L40" i="55"/>
  <c r="M7" i="55"/>
  <c r="N22" i="58"/>
  <c r="N21" i="58"/>
  <c r="M44" i="29"/>
  <c r="H44" i="35"/>
  <c r="C44" i="35"/>
  <c r="L8" i="35"/>
  <c r="M8" i="57"/>
  <c r="M41" i="57"/>
  <c r="M36" i="57"/>
  <c r="M29" i="57"/>
  <c r="M12" i="57"/>
  <c r="M16" i="57"/>
  <c r="M9" i="57"/>
  <c r="M15" i="57"/>
  <c r="M24" i="57"/>
  <c r="M42" i="57"/>
  <c r="M27" i="57"/>
  <c r="M34" i="57"/>
  <c r="M22" i="57"/>
  <c r="M32" i="57"/>
  <c r="M35" i="57"/>
  <c r="M18" i="57"/>
  <c r="M30" i="57"/>
  <c r="M11" i="57"/>
  <c r="M17" i="57"/>
  <c r="M21" i="57"/>
  <c r="M33" i="57"/>
  <c r="M14" i="57"/>
  <c r="M28" i="57"/>
  <c r="M7" i="57"/>
  <c r="M13" i="57"/>
  <c r="M19" i="57"/>
  <c r="M25" i="57"/>
  <c r="M31" i="57"/>
  <c r="M10" i="57"/>
  <c r="M26" i="57"/>
  <c r="M40" i="57"/>
  <c r="M38" i="57"/>
  <c r="M20" i="57"/>
  <c r="L7" i="46"/>
  <c r="M7" i="46"/>
  <c r="L41" i="57" l="1"/>
  <c r="L12" i="57"/>
  <c r="L23" i="57"/>
  <c r="L40" i="57"/>
  <c r="N23" i="58"/>
  <c r="M44" i="35"/>
  <c r="N25" i="58"/>
  <c r="H43" i="57"/>
  <c r="M43" i="55"/>
  <c r="N24" i="58"/>
  <c r="P8" i="30"/>
  <c r="K8" i="35"/>
  <c r="N41" i="58"/>
  <c r="G26" i="61"/>
  <c r="H35" i="58" s="1"/>
  <c r="H39" i="58" s="1"/>
  <c r="M43" i="57" l="1"/>
  <c r="P8" i="35"/>
  <c r="N42" i="58"/>
  <c r="N26" i="58"/>
  <c r="B26" i="61"/>
  <c r="C38" i="60"/>
  <c r="C36" i="59"/>
  <c r="G29" i="48"/>
  <c r="H14" i="58" l="1"/>
  <c r="M38" i="60"/>
  <c r="M36" i="59"/>
  <c r="L26" i="61"/>
  <c r="N43" i="58"/>
  <c r="C30" i="58"/>
  <c r="C35" i="58"/>
  <c r="B11" i="53"/>
  <c r="B11" i="56" l="1"/>
  <c r="M35" i="58"/>
  <c r="M30" i="58"/>
  <c r="B17" i="52"/>
  <c r="B14" i="52" l="1"/>
  <c r="B28" i="52"/>
  <c r="B20" i="52"/>
  <c r="B11" i="52"/>
  <c r="B11" i="54" s="1"/>
  <c r="B15" i="52"/>
  <c r="B20" i="53"/>
  <c r="G11" i="52"/>
  <c r="G14" i="52"/>
  <c r="G14" i="55" s="1"/>
  <c r="B14" i="55"/>
  <c r="G15" i="52"/>
  <c r="G15" i="55" s="1"/>
  <c r="G17" i="52"/>
  <c r="G17" i="55" s="1"/>
  <c r="B17" i="55"/>
  <c r="G28" i="52"/>
  <c r="G28" i="55" s="1"/>
  <c r="B15" i="55" l="1"/>
  <c r="B20" i="55"/>
  <c r="B20" i="54"/>
  <c r="G11" i="55"/>
  <c r="B28" i="55"/>
  <c r="L28" i="52"/>
  <c r="L17" i="52"/>
  <c r="L15" i="52"/>
  <c r="L14" i="52"/>
  <c r="B20" i="56"/>
  <c r="B11" i="55"/>
  <c r="L11" i="52"/>
  <c r="C100" i="45"/>
  <c r="B20" i="57" l="1"/>
  <c r="B11" i="57"/>
  <c r="C8" i="58"/>
  <c r="M100" i="45"/>
  <c r="G37" i="28"/>
  <c r="H22" i="58" s="1"/>
  <c r="M52" i="47"/>
  <c r="G44" i="40"/>
  <c r="H21" i="58" s="1"/>
  <c r="M51" i="47"/>
  <c r="L14" i="55"/>
  <c r="L28" i="55"/>
  <c r="L11" i="55"/>
  <c r="L15" i="55"/>
  <c r="L17" i="55"/>
  <c r="C11" i="58"/>
  <c r="C12" i="58"/>
  <c r="H23" i="58" l="1"/>
  <c r="M11" i="58"/>
  <c r="M12" i="58"/>
  <c r="G44" i="34"/>
  <c r="G44" i="29"/>
  <c r="H24" i="58" s="1"/>
  <c r="M8" i="58"/>
  <c r="C13" i="58"/>
  <c r="B28" i="1"/>
  <c r="C91" i="11"/>
  <c r="C15" i="58"/>
  <c r="C8" i="45"/>
  <c r="C11" i="45"/>
  <c r="C16" i="11"/>
  <c r="B29" i="48"/>
  <c r="B36" i="53"/>
  <c r="B29" i="53"/>
  <c r="G26" i="53"/>
  <c r="B25" i="53"/>
  <c r="G22" i="53"/>
  <c r="G20" i="53"/>
  <c r="B19" i="53"/>
  <c r="G17" i="53"/>
  <c r="G15" i="53"/>
  <c r="G9" i="53"/>
  <c r="G7" i="53"/>
  <c r="B35" i="52"/>
  <c r="G34" i="52"/>
  <c r="B33" i="52"/>
  <c r="B29" i="52"/>
  <c r="B27" i="52"/>
  <c r="B25" i="52"/>
  <c r="G22" i="52"/>
  <c r="B8" i="52"/>
  <c r="G7" i="52"/>
  <c r="G7" i="55" s="1"/>
  <c r="C77" i="59"/>
  <c r="C71" i="59"/>
  <c r="C68" i="59"/>
  <c r="C65" i="59"/>
  <c r="C60" i="59"/>
  <c r="C59" i="59"/>
  <c r="C56" i="59"/>
  <c r="C40" i="59"/>
  <c r="C39" i="59"/>
  <c r="C33" i="59"/>
  <c r="C30" i="59"/>
  <c r="C26" i="59"/>
  <c r="C19" i="59"/>
  <c r="C16" i="59"/>
  <c r="C8" i="59"/>
  <c r="H77" i="59"/>
  <c r="H60" i="59"/>
  <c r="H40" i="59"/>
  <c r="H80" i="59" l="1"/>
  <c r="C80" i="59"/>
  <c r="G34" i="55"/>
  <c r="G22" i="55"/>
  <c r="B13" i="56"/>
  <c r="B25" i="56"/>
  <c r="B19" i="56"/>
  <c r="B29" i="56"/>
  <c r="M16" i="59"/>
  <c r="M26" i="59"/>
  <c r="M33" i="59"/>
  <c r="M59" i="59"/>
  <c r="M65" i="59"/>
  <c r="M71" i="59"/>
  <c r="B13" i="52"/>
  <c r="B19" i="52"/>
  <c r="B21" i="52"/>
  <c r="B22" i="52"/>
  <c r="B7" i="53"/>
  <c r="B14" i="53"/>
  <c r="B16" i="54"/>
  <c r="B17" i="53"/>
  <c r="L17" i="53" s="1"/>
  <c r="G22" i="56"/>
  <c r="B27" i="53"/>
  <c r="B31" i="53"/>
  <c r="B33" i="53"/>
  <c r="B34" i="53"/>
  <c r="G36" i="53"/>
  <c r="L29" i="48"/>
  <c r="M11" i="45"/>
  <c r="C18" i="58"/>
  <c r="L28" i="1"/>
  <c r="H42" i="59"/>
  <c r="M40" i="59"/>
  <c r="H79" i="59"/>
  <c r="M77" i="59"/>
  <c r="H62" i="59"/>
  <c r="M60" i="59"/>
  <c r="M8" i="59"/>
  <c r="M19" i="59"/>
  <c r="M30" i="59"/>
  <c r="M39" i="59"/>
  <c r="M56" i="59"/>
  <c r="M68" i="59"/>
  <c r="B7" i="52"/>
  <c r="B30" i="52"/>
  <c r="B31" i="52"/>
  <c r="B34" i="52"/>
  <c r="G7" i="56"/>
  <c r="B9" i="53"/>
  <c r="B10" i="53"/>
  <c r="B15" i="53"/>
  <c r="B15" i="54" s="1"/>
  <c r="G20" i="56"/>
  <c r="L20" i="53"/>
  <c r="B22" i="53"/>
  <c r="G26" i="56"/>
  <c r="G29" i="53"/>
  <c r="B30" i="53"/>
  <c r="B32" i="53"/>
  <c r="B35" i="53"/>
  <c r="M16" i="11"/>
  <c r="M8" i="45"/>
  <c r="C7" i="58"/>
  <c r="M7" i="58" s="1"/>
  <c r="C101" i="45"/>
  <c r="M99" i="45"/>
  <c r="M53" i="47"/>
  <c r="M91" i="11"/>
  <c r="M18" i="58"/>
  <c r="M13" i="58"/>
  <c r="G42" i="30"/>
  <c r="L39" i="46"/>
  <c r="G10" i="53"/>
  <c r="B27" i="55"/>
  <c r="G27" i="52"/>
  <c r="B29" i="55"/>
  <c r="B29" i="54"/>
  <c r="G29" i="52"/>
  <c r="G29" i="55" s="1"/>
  <c r="G31" i="52"/>
  <c r="G17" i="56"/>
  <c r="G17" i="54"/>
  <c r="G24" i="53"/>
  <c r="B28" i="53"/>
  <c r="B36" i="56"/>
  <c r="B36" i="54"/>
  <c r="C16" i="58"/>
  <c r="C17" i="58" s="1"/>
  <c r="B37" i="28"/>
  <c r="B41" i="52"/>
  <c r="G22" i="54"/>
  <c r="G33" i="52"/>
  <c r="G33" i="55" s="1"/>
  <c r="G35" i="52"/>
  <c r="G35" i="55" s="1"/>
  <c r="G41" i="52"/>
  <c r="B8" i="55"/>
  <c r="G13" i="52"/>
  <c r="G13" i="55" s="1"/>
  <c r="G16" i="55"/>
  <c r="G19" i="52"/>
  <c r="G20" i="52"/>
  <c r="B24" i="52"/>
  <c r="G25" i="52"/>
  <c r="G25" i="55" s="1"/>
  <c r="G19" i="53"/>
  <c r="C10" i="58"/>
  <c r="C14" i="58"/>
  <c r="B44" i="40"/>
  <c r="B25" i="54"/>
  <c r="B25" i="55"/>
  <c r="B33" i="55"/>
  <c r="B35" i="55"/>
  <c r="G9" i="56"/>
  <c r="G9" i="54"/>
  <c r="G21" i="53"/>
  <c r="B24" i="53"/>
  <c r="G25" i="53"/>
  <c r="G34" i="53"/>
  <c r="G35" i="53"/>
  <c r="G40" i="53"/>
  <c r="B16" i="55"/>
  <c r="G7" i="54"/>
  <c r="G21" i="52"/>
  <c r="G24" i="52"/>
  <c r="G30" i="52"/>
  <c r="G11" i="53"/>
  <c r="G13" i="53"/>
  <c r="G14" i="53"/>
  <c r="G15" i="56"/>
  <c r="G15" i="54"/>
  <c r="G27" i="53"/>
  <c r="G30" i="53"/>
  <c r="G31" i="53"/>
  <c r="G32" i="53"/>
  <c r="G33" i="53"/>
  <c r="C37" i="58"/>
  <c r="C62" i="59"/>
  <c r="C79" i="59"/>
  <c r="C92" i="11"/>
  <c r="M101" i="45"/>
  <c r="C42" i="59"/>
  <c r="B21" i="53"/>
  <c r="C74" i="60"/>
  <c r="C70" i="60"/>
  <c r="C66" i="60"/>
  <c r="C61" i="60"/>
  <c r="C60" i="60"/>
  <c r="C57" i="60"/>
  <c r="C51" i="60"/>
  <c r="C40" i="60"/>
  <c r="C35" i="60"/>
  <c r="C32" i="60"/>
  <c r="C27" i="60"/>
  <c r="C76" i="60" s="1"/>
  <c r="C22" i="60"/>
  <c r="C19" i="60"/>
  <c r="C16" i="60"/>
  <c r="C11" i="60"/>
  <c r="C8" i="60"/>
  <c r="H61" i="60"/>
  <c r="H40" i="60"/>
  <c r="H35" i="60"/>
  <c r="H11" i="60"/>
  <c r="M80" i="59" l="1"/>
  <c r="B14" i="56"/>
  <c r="B14" i="57" s="1"/>
  <c r="H75" i="60"/>
  <c r="H77" i="60" s="1"/>
  <c r="B14" i="54"/>
  <c r="H32" i="58"/>
  <c r="H34" i="58" s="1"/>
  <c r="H82" i="59"/>
  <c r="H29" i="58"/>
  <c r="H25" i="58"/>
  <c r="B13" i="54"/>
  <c r="C75" i="60"/>
  <c r="C77" i="60" s="1"/>
  <c r="G42" i="55"/>
  <c r="C82" i="59"/>
  <c r="B17" i="56"/>
  <c r="B17" i="54"/>
  <c r="B29" i="57"/>
  <c r="G21" i="55"/>
  <c r="G20" i="55"/>
  <c r="G31" i="55"/>
  <c r="G27" i="55"/>
  <c r="G30" i="55"/>
  <c r="G24" i="55"/>
  <c r="G19" i="55"/>
  <c r="L20" i="56"/>
  <c r="G22" i="57"/>
  <c r="G15" i="57"/>
  <c r="G9" i="57"/>
  <c r="B36" i="57"/>
  <c r="G17" i="57"/>
  <c r="G7" i="57"/>
  <c r="B25" i="57"/>
  <c r="M8" i="60"/>
  <c r="M16" i="60"/>
  <c r="M22" i="60"/>
  <c r="M32" i="60"/>
  <c r="C42" i="60"/>
  <c r="M57" i="60"/>
  <c r="M70" i="60"/>
  <c r="B8" i="56"/>
  <c r="L14" i="53"/>
  <c r="L16" i="52"/>
  <c r="L35" i="52"/>
  <c r="L29" i="52"/>
  <c r="B32" i="56"/>
  <c r="B22" i="56"/>
  <c r="L15" i="53"/>
  <c r="L9" i="53"/>
  <c r="L34" i="52"/>
  <c r="B34" i="56"/>
  <c r="B31" i="56"/>
  <c r="B16" i="56"/>
  <c r="B7" i="56"/>
  <c r="B21" i="55"/>
  <c r="M35" i="60"/>
  <c r="M61" i="60"/>
  <c r="M19" i="60"/>
  <c r="M27" i="60"/>
  <c r="M51" i="60"/>
  <c r="M60" i="60"/>
  <c r="M66" i="60"/>
  <c r="M74" i="60"/>
  <c r="B21" i="56"/>
  <c r="L15" i="54"/>
  <c r="L25" i="52"/>
  <c r="L13" i="52"/>
  <c r="L33" i="52"/>
  <c r="B35" i="56"/>
  <c r="B30" i="56"/>
  <c r="B10" i="56"/>
  <c r="L7" i="52"/>
  <c r="L36" i="53"/>
  <c r="B33" i="56"/>
  <c r="B27" i="56"/>
  <c r="B13" i="55"/>
  <c r="B35" i="54"/>
  <c r="B9" i="54"/>
  <c r="L22" i="52"/>
  <c r="B33" i="54"/>
  <c r="G36" i="56"/>
  <c r="B7" i="54"/>
  <c r="B30" i="54"/>
  <c r="B15" i="56"/>
  <c r="L15" i="56" s="1"/>
  <c r="G36" i="54"/>
  <c r="B27" i="54"/>
  <c r="B9" i="56"/>
  <c r="L7" i="53"/>
  <c r="B34" i="54"/>
  <c r="B30" i="55"/>
  <c r="L19" i="52"/>
  <c r="B19" i="54"/>
  <c r="L41" i="52"/>
  <c r="B31" i="55"/>
  <c r="B22" i="54"/>
  <c r="B34" i="55"/>
  <c r="L30" i="52"/>
  <c r="L21" i="52"/>
  <c r="B19" i="55"/>
  <c r="L31" i="52"/>
  <c r="B31" i="54"/>
  <c r="B22" i="55"/>
  <c r="B7" i="55"/>
  <c r="H42" i="60"/>
  <c r="M40" i="60"/>
  <c r="G32" i="56"/>
  <c r="L32" i="53"/>
  <c r="G30" i="56"/>
  <c r="L30" i="53"/>
  <c r="L11" i="53"/>
  <c r="L24" i="52"/>
  <c r="G42" i="56"/>
  <c r="G34" i="56"/>
  <c r="L34" i="53"/>
  <c r="G16" i="56"/>
  <c r="G16" i="57" s="1"/>
  <c r="L16" i="53"/>
  <c r="M14" i="58"/>
  <c r="G19" i="56"/>
  <c r="L19" i="53"/>
  <c r="L27" i="52"/>
  <c r="M10" i="58"/>
  <c r="C9" i="58"/>
  <c r="G29" i="56"/>
  <c r="L29" i="53"/>
  <c r="M79" i="59"/>
  <c r="L22" i="53"/>
  <c r="H13" i="60"/>
  <c r="M11" i="60"/>
  <c r="H63" i="60"/>
  <c r="M92" i="11"/>
  <c r="G33" i="56"/>
  <c r="L33" i="53"/>
  <c r="G31" i="56"/>
  <c r="L31" i="53"/>
  <c r="G27" i="56"/>
  <c r="L27" i="53"/>
  <c r="G13" i="56"/>
  <c r="L13" i="53"/>
  <c r="G35" i="56"/>
  <c r="L35" i="53"/>
  <c r="G25" i="56"/>
  <c r="L25" i="53"/>
  <c r="L44" i="40"/>
  <c r="B40" i="53"/>
  <c r="L24" i="53"/>
  <c r="G10" i="56"/>
  <c r="L10" i="53"/>
  <c r="G28" i="53"/>
  <c r="M62" i="59"/>
  <c r="M42" i="59"/>
  <c r="B26" i="53"/>
  <c r="G21" i="56"/>
  <c r="L21" i="53"/>
  <c r="L20" i="52"/>
  <c r="C22" i="58"/>
  <c r="M22" i="58" s="1"/>
  <c r="L37" i="28"/>
  <c r="B42" i="30"/>
  <c r="M16" i="58"/>
  <c r="M15" i="58"/>
  <c r="C13" i="60"/>
  <c r="G18" i="53"/>
  <c r="G24" i="54"/>
  <c r="G25" i="54"/>
  <c r="L16" i="55"/>
  <c r="G16" i="54"/>
  <c r="B28" i="56"/>
  <c r="G24" i="56"/>
  <c r="B10" i="52"/>
  <c r="G18" i="52"/>
  <c r="B8" i="54"/>
  <c r="G41" i="54"/>
  <c r="G14" i="56"/>
  <c r="G14" i="54"/>
  <c r="G19" i="54"/>
  <c r="M17" i="58"/>
  <c r="B18" i="53"/>
  <c r="G8" i="52"/>
  <c r="G8" i="55" s="1"/>
  <c r="C29" i="58"/>
  <c r="G11" i="56"/>
  <c r="G11" i="54"/>
  <c r="G34" i="54"/>
  <c r="G30" i="54"/>
  <c r="B21" i="54"/>
  <c r="B24" i="56"/>
  <c r="B44" i="34"/>
  <c r="B44" i="29"/>
  <c r="C21" i="58"/>
  <c r="G20" i="54"/>
  <c r="G13" i="54"/>
  <c r="G35" i="54"/>
  <c r="G33" i="54"/>
  <c r="B42" i="55"/>
  <c r="G31" i="54"/>
  <c r="G29" i="54"/>
  <c r="L29" i="55"/>
  <c r="G27" i="54"/>
  <c r="G10" i="52"/>
  <c r="B18" i="52"/>
  <c r="G21" i="54"/>
  <c r="G32" i="52"/>
  <c r="B32" i="52"/>
  <c r="B24" i="54"/>
  <c r="B24" i="55"/>
  <c r="G26" i="52"/>
  <c r="B26" i="52"/>
  <c r="C63" i="60"/>
  <c r="C28" i="60"/>
  <c r="B35" i="57" l="1"/>
  <c r="B27" i="57"/>
  <c r="B17" i="57"/>
  <c r="L17" i="54"/>
  <c r="L7" i="54"/>
  <c r="H31" i="58"/>
  <c r="H38" i="58"/>
  <c r="H42" i="58"/>
  <c r="H26" i="58"/>
  <c r="M9" i="58"/>
  <c r="L17" i="56"/>
  <c r="G20" i="57"/>
  <c r="G10" i="55"/>
  <c r="L7" i="55"/>
  <c r="B19" i="57"/>
  <c r="B13" i="57"/>
  <c r="G26" i="55"/>
  <c r="G32" i="55"/>
  <c r="L22" i="55"/>
  <c r="B34" i="57"/>
  <c r="B31" i="57"/>
  <c r="B28" i="57"/>
  <c r="G21" i="57"/>
  <c r="L10" i="56"/>
  <c r="L25" i="56"/>
  <c r="G25" i="57"/>
  <c r="L35" i="56"/>
  <c r="G35" i="57"/>
  <c r="L13" i="56"/>
  <c r="G13" i="57"/>
  <c r="L29" i="56"/>
  <c r="G29" i="57"/>
  <c r="G42" i="57"/>
  <c r="G30" i="57"/>
  <c r="L36" i="56"/>
  <c r="G36" i="57"/>
  <c r="B33" i="57"/>
  <c r="B21" i="57"/>
  <c r="L22" i="56"/>
  <c r="G11" i="57"/>
  <c r="G14" i="57"/>
  <c r="G24" i="57"/>
  <c r="L27" i="56"/>
  <c r="G27" i="57"/>
  <c r="L31" i="56"/>
  <c r="G31" i="57"/>
  <c r="L33" i="56"/>
  <c r="G33" i="57"/>
  <c r="L19" i="56"/>
  <c r="G19" i="57"/>
  <c r="L34" i="56"/>
  <c r="G34" i="57"/>
  <c r="B9" i="57"/>
  <c r="B15" i="57"/>
  <c r="L7" i="56"/>
  <c r="L16" i="56"/>
  <c r="B16" i="57"/>
  <c r="G18" i="55"/>
  <c r="B8" i="57"/>
  <c r="L21" i="56"/>
  <c r="L32" i="56"/>
  <c r="B7" i="57"/>
  <c r="L7" i="57" s="1"/>
  <c r="L30" i="56"/>
  <c r="B30" i="57"/>
  <c r="B42" i="56"/>
  <c r="L42" i="56" s="1"/>
  <c r="M42" i="60"/>
  <c r="L36" i="54"/>
  <c r="B42" i="52"/>
  <c r="M28" i="60"/>
  <c r="B18" i="56"/>
  <c r="L25" i="54"/>
  <c r="L28" i="53"/>
  <c r="L22" i="54"/>
  <c r="G42" i="52"/>
  <c r="C23" i="58"/>
  <c r="M21" i="58"/>
  <c r="L42" i="30"/>
  <c r="L9" i="56"/>
  <c r="L34" i="55"/>
  <c r="L33" i="54"/>
  <c r="L35" i="54"/>
  <c r="L9" i="54"/>
  <c r="L19" i="54"/>
  <c r="L30" i="54"/>
  <c r="L27" i="54"/>
  <c r="B41" i="54"/>
  <c r="L30" i="55"/>
  <c r="L19" i="55"/>
  <c r="L10" i="52"/>
  <c r="B22" i="57"/>
  <c r="L26" i="52"/>
  <c r="L32" i="52"/>
  <c r="L13" i="54"/>
  <c r="L34" i="54"/>
  <c r="L11" i="56"/>
  <c r="L14" i="54"/>
  <c r="L18" i="52"/>
  <c r="M76" i="60"/>
  <c r="B26" i="56"/>
  <c r="L26" i="53"/>
  <c r="M63" i="60"/>
  <c r="M13" i="60"/>
  <c r="P42" i="52"/>
  <c r="P42" i="54"/>
  <c r="G8" i="56"/>
  <c r="L8" i="53"/>
  <c r="L29" i="54"/>
  <c r="L31" i="54"/>
  <c r="L11" i="54"/>
  <c r="L8" i="52"/>
  <c r="L14" i="56"/>
  <c r="L24" i="56"/>
  <c r="L24" i="54"/>
  <c r="G18" i="56"/>
  <c r="L18" i="53"/>
  <c r="M75" i="60"/>
  <c r="G41" i="53"/>
  <c r="L40" i="53"/>
  <c r="M37" i="58"/>
  <c r="L27" i="55"/>
  <c r="L31" i="55"/>
  <c r="L25" i="55"/>
  <c r="L33" i="55"/>
  <c r="L13" i="55"/>
  <c r="L42" i="55"/>
  <c r="L24" i="55"/>
  <c r="L35" i="55"/>
  <c r="L21" i="55"/>
  <c r="L21" i="54"/>
  <c r="L20" i="55"/>
  <c r="L20" i="54"/>
  <c r="L16" i="54"/>
  <c r="M82" i="59"/>
  <c r="M29" i="58"/>
  <c r="L44" i="34"/>
  <c r="L44" i="29"/>
  <c r="G44" i="35"/>
  <c r="C25" i="58"/>
  <c r="M25" i="58" s="1"/>
  <c r="B44" i="35"/>
  <c r="C33" i="58"/>
  <c r="M33" i="58" s="1"/>
  <c r="C32" i="58"/>
  <c r="B24" i="57"/>
  <c r="B18" i="54"/>
  <c r="B18" i="55"/>
  <c r="M36" i="58"/>
  <c r="G26" i="54"/>
  <c r="G28" i="56"/>
  <c r="G28" i="54"/>
  <c r="C24" i="58"/>
  <c r="L8" i="55"/>
  <c r="G8" i="54"/>
  <c r="G10" i="54"/>
  <c r="B10" i="54"/>
  <c r="B10" i="55"/>
  <c r="B26" i="54"/>
  <c r="B26" i="55"/>
  <c r="G32" i="54"/>
  <c r="C31" i="58"/>
  <c r="B32" i="54"/>
  <c r="B32" i="55"/>
  <c r="G18" i="54"/>
  <c r="B41" i="53"/>
  <c r="L15" i="57" l="1"/>
  <c r="L17" i="57"/>
  <c r="L16" i="57"/>
  <c r="L9" i="57"/>
  <c r="H40" i="58"/>
  <c r="H41" i="58"/>
  <c r="H43" i="58" s="1"/>
  <c r="G10" i="57"/>
  <c r="L13" i="57"/>
  <c r="L29" i="57"/>
  <c r="L27" i="57"/>
  <c r="L33" i="57"/>
  <c r="L35" i="57"/>
  <c r="L14" i="57"/>
  <c r="L19" i="57"/>
  <c r="L21" i="57"/>
  <c r="L11" i="57"/>
  <c r="G32" i="57"/>
  <c r="L31" i="57"/>
  <c r="L25" i="57"/>
  <c r="L36" i="57"/>
  <c r="G26" i="57"/>
  <c r="L30" i="57"/>
  <c r="L34" i="57"/>
  <c r="L26" i="56"/>
  <c r="L28" i="56"/>
  <c r="G28" i="57"/>
  <c r="L8" i="56"/>
  <c r="G8" i="57"/>
  <c r="L8" i="57" s="1"/>
  <c r="B42" i="57"/>
  <c r="G18" i="57"/>
  <c r="G43" i="55"/>
  <c r="L22" i="57"/>
  <c r="L18" i="56"/>
  <c r="L8" i="54"/>
  <c r="G43" i="56"/>
  <c r="G42" i="54"/>
  <c r="L41" i="54"/>
  <c r="L42" i="52"/>
  <c r="B26" i="57"/>
  <c r="L18" i="54"/>
  <c r="L28" i="54"/>
  <c r="L32" i="54"/>
  <c r="L10" i="54"/>
  <c r="L26" i="54"/>
  <c r="P43" i="55"/>
  <c r="K43" i="57"/>
  <c r="M77" i="60"/>
  <c r="M32" i="58"/>
  <c r="L32" i="55"/>
  <c r="L26" i="55"/>
  <c r="L18" i="55"/>
  <c r="L24" i="57"/>
  <c r="L10" i="55"/>
  <c r="L20" i="57"/>
  <c r="M31" i="58"/>
  <c r="B43" i="56"/>
  <c r="L41" i="53"/>
  <c r="M24" i="58"/>
  <c r="M23" i="58"/>
  <c r="L44" i="35"/>
  <c r="B10" i="57"/>
  <c r="C38" i="58"/>
  <c r="C39" i="58"/>
  <c r="C34" i="58"/>
  <c r="B32" i="57"/>
  <c r="C26" i="58"/>
  <c r="B18" i="57"/>
  <c r="B43" i="55"/>
  <c r="B42" i="54"/>
  <c r="L42" i="57" l="1"/>
  <c r="L26" i="57"/>
  <c r="P43" i="57"/>
  <c r="L43" i="56"/>
  <c r="G43" i="57"/>
  <c r="B43" i="57"/>
  <c r="L42" i="54"/>
  <c r="L10" i="57"/>
  <c r="L18" i="57"/>
  <c r="M34" i="58"/>
  <c r="L32" i="57"/>
  <c r="L28" i="57"/>
  <c r="C42" i="58"/>
  <c r="M42" i="58" s="1"/>
  <c r="M39" i="58"/>
  <c r="C41" i="58"/>
  <c r="M38" i="58"/>
  <c r="L43" i="55"/>
  <c r="M26" i="58"/>
  <c r="C40" i="58"/>
  <c r="L43" i="57" l="1"/>
  <c r="C43" i="58"/>
  <c r="M40" i="58"/>
  <c r="M41" i="58"/>
  <c r="M43" i="58" l="1"/>
</calcChain>
</file>

<file path=xl/sharedStrings.xml><?xml version="1.0" encoding="utf-8"?>
<sst xmlns="http://schemas.openxmlformats.org/spreadsheetml/2006/main" count="2193" uniqueCount="206">
  <si>
    <t>Season</t>
  </si>
  <si>
    <t>State/ UT</t>
  </si>
  <si>
    <t>Andhra Pradesh</t>
  </si>
  <si>
    <t xml:space="preserve">Bihar                                 </t>
  </si>
  <si>
    <t>Gujarat</t>
  </si>
  <si>
    <t>Karnataka</t>
  </si>
  <si>
    <t>Madhya Pradesh</t>
  </si>
  <si>
    <t>Maharashtra</t>
  </si>
  <si>
    <t>Kharif</t>
  </si>
  <si>
    <t>Rabi</t>
  </si>
  <si>
    <t>Total</t>
  </si>
  <si>
    <t>Tamil Nadu</t>
  </si>
  <si>
    <t>Uttar Pradesh</t>
  </si>
  <si>
    <t>West Bengal</t>
  </si>
  <si>
    <t xml:space="preserve">All India                             </t>
  </si>
  <si>
    <t>Goa</t>
  </si>
  <si>
    <t>Himachal Pradesh</t>
  </si>
  <si>
    <t>Kerala</t>
  </si>
  <si>
    <t>Haryana</t>
  </si>
  <si>
    <t>Jammu &amp; Kashmir</t>
  </si>
  <si>
    <t>Nagaland</t>
  </si>
  <si>
    <t>Punjab</t>
  </si>
  <si>
    <t>Rajasthan</t>
  </si>
  <si>
    <t>Delhi</t>
  </si>
  <si>
    <t>Arunachal Pradesh</t>
  </si>
  <si>
    <t>Assam</t>
  </si>
  <si>
    <t>Meghalaya</t>
  </si>
  <si>
    <t>Autumn</t>
  </si>
  <si>
    <t>Winter</t>
  </si>
  <si>
    <t>Manipur</t>
  </si>
  <si>
    <t>Mizoram</t>
  </si>
  <si>
    <t>(Continued)</t>
  </si>
  <si>
    <t>A &amp; N Islands</t>
  </si>
  <si>
    <t>(Concluded)</t>
  </si>
  <si>
    <t xml:space="preserve">Bihar  </t>
  </si>
  <si>
    <t xml:space="preserve">Uttar Pradesh </t>
  </si>
  <si>
    <t xml:space="preserve">Rajasthan </t>
  </si>
  <si>
    <t xml:space="preserve">Assam </t>
  </si>
  <si>
    <t xml:space="preserve">Bihar                             </t>
  </si>
  <si>
    <t>Rabi/Summer</t>
  </si>
  <si>
    <t>Bihar</t>
  </si>
  <si>
    <t xml:space="preserve">Jharkhand  </t>
  </si>
  <si>
    <t>D &amp; N Haveli</t>
  </si>
  <si>
    <t xml:space="preserve">Sikkim  </t>
  </si>
  <si>
    <t xml:space="preserve">Himachal Pradesh  </t>
  </si>
  <si>
    <t xml:space="preserve">Jammu &amp; Kashmir  </t>
  </si>
  <si>
    <t>All India</t>
  </si>
  <si>
    <t>Chhattisgarh</t>
  </si>
  <si>
    <t xml:space="preserve">Bihar </t>
  </si>
  <si>
    <t xml:space="preserve">Total </t>
  </si>
  <si>
    <t xml:space="preserve">Bihar                         </t>
  </si>
  <si>
    <t xml:space="preserve">D &amp; N Haveli </t>
  </si>
  <si>
    <t xml:space="preserve">Delhi </t>
  </si>
  <si>
    <t xml:space="preserve">Tripura </t>
  </si>
  <si>
    <t xml:space="preserve">D &amp; N Haveli  </t>
  </si>
  <si>
    <t xml:space="preserve">Delhi  </t>
  </si>
  <si>
    <t xml:space="preserve">Himachal Pradesh </t>
  </si>
  <si>
    <t xml:space="preserve">Jharkhand </t>
  </si>
  <si>
    <t xml:space="preserve">Jammu &amp; Kashmir </t>
  </si>
  <si>
    <t xml:space="preserve">Tripura  </t>
  </si>
  <si>
    <t xml:space="preserve">Tamil Nadu   </t>
  </si>
  <si>
    <t xml:space="preserve">Tamil Nadu  </t>
  </si>
  <si>
    <t xml:space="preserve">Tripura   </t>
  </si>
  <si>
    <t xml:space="preserve">Daman &amp; Diu  </t>
  </si>
  <si>
    <t xml:space="preserve">Madhya Pradesh  </t>
  </si>
  <si>
    <t xml:space="preserve">Jharkhand   </t>
  </si>
  <si>
    <t xml:space="preserve">Haryana  </t>
  </si>
  <si>
    <t xml:space="preserve">Bihar              </t>
  </si>
  <si>
    <t xml:space="preserve">     Production ('000 Tonnes)</t>
  </si>
  <si>
    <t>Rice</t>
  </si>
  <si>
    <t>Wheat</t>
  </si>
  <si>
    <t>Jowar</t>
  </si>
  <si>
    <t>Bajra</t>
  </si>
  <si>
    <t>Maize</t>
  </si>
  <si>
    <t>Ragi</t>
  </si>
  <si>
    <t>Small Millets</t>
  </si>
  <si>
    <t>Barley</t>
  </si>
  <si>
    <t>Coarse Cereals</t>
  </si>
  <si>
    <t>Cereals</t>
  </si>
  <si>
    <t>Tur (Arhar)</t>
  </si>
  <si>
    <t>Gram</t>
  </si>
  <si>
    <t>Pulses</t>
  </si>
  <si>
    <t>Foodgrains</t>
  </si>
  <si>
    <t>Jharkhand</t>
  </si>
  <si>
    <t>Sikkim</t>
  </si>
  <si>
    <t>Tripura</t>
  </si>
  <si>
    <t>Daman &amp; Diu</t>
  </si>
  <si>
    <t>A &amp; N  Islands</t>
  </si>
  <si>
    <t>State/UT</t>
  </si>
  <si>
    <t xml:space="preserve">        Yield (Kg./Hectare)</t>
  </si>
  <si>
    <t>Uttarakhand</t>
  </si>
  <si>
    <t xml:space="preserve">Uttarakhand  </t>
  </si>
  <si>
    <t xml:space="preserve">Tamil Nadu </t>
  </si>
  <si>
    <t xml:space="preserve">Kerala  </t>
  </si>
  <si>
    <t xml:space="preserve">Arunachal Pradesh  </t>
  </si>
  <si>
    <t xml:space="preserve">Nagaland  </t>
  </si>
  <si>
    <t xml:space="preserve">West Bengal  </t>
  </si>
  <si>
    <t>Others</t>
  </si>
  <si>
    <t xml:space="preserve">Assam  </t>
  </si>
  <si>
    <t xml:space="preserve">Himachal Pradesh   </t>
  </si>
  <si>
    <t xml:space="preserve">Jammu &amp; Kashmir   </t>
  </si>
  <si>
    <t xml:space="preserve">Maharashtra  </t>
  </si>
  <si>
    <t xml:space="preserve">A &amp; N Island  </t>
  </si>
  <si>
    <r>
      <t xml:space="preserve">Estimates of Area, Production and Yield  of </t>
    </r>
    <r>
      <rPr>
        <b/>
        <sz val="12"/>
        <rFont val="Arial"/>
        <family val="2"/>
      </rPr>
      <t>Total Pulses</t>
    </r>
  </si>
  <si>
    <r>
      <t xml:space="preserve">Estimates of Area, Production and Yield  of </t>
    </r>
    <r>
      <rPr>
        <b/>
        <sz val="12"/>
        <rFont val="Arial"/>
        <family val="2"/>
      </rPr>
      <t>Kharif Foodgrains</t>
    </r>
  </si>
  <si>
    <t>Crop</t>
  </si>
  <si>
    <t xml:space="preserve">Kerala </t>
  </si>
  <si>
    <t>Odisha</t>
  </si>
  <si>
    <t xml:space="preserve">Uttarakhand </t>
  </si>
  <si>
    <t>Telangana</t>
  </si>
  <si>
    <t xml:space="preserve">Kharif </t>
  </si>
  <si>
    <t>Chandigarh</t>
  </si>
  <si>
    <t>2016-17</t>
  </si>
  <si>
    <t>Puducherry</t>
  </si>
  <si>
    <t>:: 2 ::</t>
  </si>
  <si>
    <t>Concluded</t>
  </si>
  <si>
    <t>Lentil (Masur)</t>
  </si>
  <si>
    <t>Moong</t>
  </si>
  <si>
    <t>Urad</t>
  </si>
  <si>
    <t>Kulthi (Horse Gram)</t>
  </si>
  <si>
    <t>Other Pulses</t>
  </si>
  <si>
    <t>Ghaghra</t>
  </si>
  <si>
    <t>Popat</t>
  </si>
  <si>
    <t>Barbati</t>
  </si>
  <si>
    <t xml:space="preserve">Goa </t>
  </si>
  <si>
    <t>Moth</t>
  </si>
  <si>
    <t>Lovia</t>
  </si>
  <si>
    <t>Rajmash</t>
  </si>
  <si>
    <t>Avare</t>
  </si>
  <si>
    <t>Other Kharif Pulses - 2</t>
  </si>
  <si>
    <t>Peas &amp; Beans</t>
  </si>
  <si>
    <t>Chawali</t>
  </si>
  <si>
    <t xml:space="preserve">Peas  </t>
  </si>
  <si>
    <t>Beans</t>
  </si>
  <si>
    <t xml:space="preserve">Meghalaya   </t>
  </si>
  <si>
    <t xml:space="preserve">Mizoram </t>
  </si>
  <si>
    <t xml:space="preserve">Other Pulses  </t>
  </si>
  <si>
    <t xml:space="preserve">Moth/Others </t>
  </si>
  <si>
    <t>Other Kharif Pulses - 3</t>
  </si>
  <si>
    <t>Chaula</t>
  </si>
  <si>
    <t xml:space="preserve">Others </t>
  </si>
  <si>
    <t xml:space="preserve">Rajma </t>
  </si>
  <si>
    <t>Bhatt</t>
  </si>
  <si>
    <t xml:space="preserve">Dadra &amp; Nagar Haveli  </t>
  </si>
  <si>
    <t>Other pulses</t>
  </si>
  <si>
    <t>Peas</t>
  </si>
  <si>
    <t>Khesari</t>
  </si>
  <si>
    <t>Lakh Or Khesari</t>
  </si>
  <si>
    <t>Barbati/Others</t>
  </si>
  <si>
    <t>Peas/ Others</t>
  </si>
  <si>
    <t>Peas &amp; Beans/Others</t>
  </si>
  <si>
    <t>Other Rabi Pulses - 2</t>
  </si>
  <si>
    <t xml:space="preserve">Meghalaya  </t>
  </si>
  <si>
    <t xml:space="preserve">Sikkim   </t>
  </si>
  <si>
    <t>Others Pulses</t>
  </si>
  <si>
    <t xml:space="preserve">Kulthi  </t>
  </si>
  <si>
    <t xml:space="preserve">Daman &amp; Diu   </t>
  </si>
  <si>
    <t xml:space="preserve">Delhi   </t>
  </si>
  <si>
    <t>Lakh /Khesari</t>
  </si>
  <si>
    <t>Other Rabi Pulses</t>
  </si>
  <si>
    <t>Other Kharif Pulses</t>
  </si>
  <si>
    <t>Other Kharif Pulses - 1</t>
  </si>
  <si>
    <t>Other Rabi Pulses - 1</t>
  </si>
  <si>
    <t xml:space="preserve">Puducherry  </t>
  </si>
  <si>
    <t>2017-18</t>
  </si>
  <si>
    <t>Moth/peas/Beans</t>
  </si>
  <si>
    <t xml:space="preserve"> Estimates of Area, Production and Yield of Rice</t>
  </si>
  <si>
    <t>Estimates of Area, Production and Yield of Jowar</t>
  </si>
  <si>
    <t>Estimates of Area, Production and Yield of Maize</t>
  </si>
  <si>
    <t>Estimates of Area, Production and Yield of Kharif Coarse Cereals</t>
  </si>
  <si>
    <t>Estimates of Area, Production and Yield of Rabi Coarse Cereals</t>
  </si>
  <si>
    <t>Estimates of Area, Production and Yield of Total Coarse Cereals</t>
  </si>
  <si>
    <t>Estimates of Area, Production and Yield of Kharif Cereals</t>
  </si>
  <si>
    <t>Estimates of Area, Production and Yield of Rabi Cereals</t>
  </si>
  <si>
    <t>Area ('000 Hectares)</t>
  </si>
  <si>
    <t>Estimates of Area, Production and Yield of Total Cereals</t>
  </si>
  <si>
    <t>Estimates of Area, Production and Yield  of Urad</t>
  </si>
  <si>
    <t>Estimates of Area, Production and Yield  of Moong</t>
  </si>
  <si>
    <t>Estimates of Area, Production and Yield of Wheat (Rabi)</t>
  </si>
  <si>
    <t>Estimates of Area, Production and Yield of Bajra (Kharif)</t>
  </si>
  <si>
    <t>Estimates of Area, Production and Yield of Ragi (Kharif)</t>
  </si>
  <si>
    <t>Estimates of Area, Production and Yield of Small Millets (Kharif)</t>
  </si>
  <si>
    <t>Estimates of Area, Production and Yield of Barley (Rabi)</t>
  </si>
  <si>
    <t>Estimates of Area, Production and Yield of Tur (Kharif)</t>
  </si>
  <si>
    <t>Estimates of Area, Production and Yield of Gram (Rabi)</t>
  </si>
  <si>
    <t>Estimates of Area, Production and Yield  of Lentil (Masur) (Rabi)</t>
  </si>
  <si>
    <t xml:space="preserve">Estimates of Area, Production and Yield  of  Other Kharif Pulses </t>
  </si>
  <si>
    <t>Estimates of Area, Production and Yield  of Rabi Pulses</t>
  </si>
  <si>
    <t>Estimates of Area, Production and Yield  of Kharif Pulses</t>
  </si>
  <si>
    <t>Estimates of Area, Production and Yield  of Rabi Foodgrains</t>
  </si>
  <si>
    <t>Estimates of Area, Production and Yield of Total Foodgrains</t>
  </si>
  <si>
    <r>
      <t>All India Estimates of Area, Production and Yield of</t>
    </r>
    <r>
      <rPr>
        <sz val="14"/>
        <rFont val="Arial"/>
        <family val="2"/>
      </rPr>
      <t xml:space="preserve"> </t>
    </r>
    <r>
      <rPr>
        <b/>
        <sz val="14"/>
        <rFont val="Arial"/>
        <family val="2"/>
      </rPr>
      <t>Foodgrains</t>
    </r>
  </si>
  <si>
    <t xml:space="preserve">Chhattisgarh  </t>
  </si>
  <si>
    <t xml:space="preserve">Odisha </t>
  </si>
  <si>
    <t xml:space="preserve">Odisha   </t>
  </si>
  <si>
    <t xml:space="preserve">Odisha  </t>
  </si>
  <si>
    <t xml:space="preserve">Puducherry </t>
  </si>
  <si>
    <t>Continued</t>
  </si>
  <si>
    <t>Estimates of Area, Production and Yield of Rabi Pulses</t>
  </si>
  <si>
    <t>2018-19</t>
  </si>
  <si>
    <t>2019-20</t>
  </si>
  <si>
    <t>Beans &amp; Others</t>
  </si>
  <si>
    <t>2020-21</t>
  </si>
  <si>
    <t>UT of Ladakh</t>
  </si>
  <si>
    <t>Pea /Matar</t>
  </si>
  <si>
    <t>UT  of Ladakh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</si>
</sst>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00"/>
    <numFmt numFmtId="166" formatCode="0.00000"/>
    <numFmt numFmtId="167" formatCode="0.0000"/>
    <numFmt numFmtId="168" formatCode="0.00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.5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1">
    <xf numFmtId="0" fontId="0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10">
    <xf numFmtId="0" fontId="0" fillId="0" borderId="0" xfId="0"/>
    <xf numFmtId="0" fontId="6" fillId="0" borderId="0" xfId="0" applyFont="1"/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/>
    <xf numFmtId="164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/>
    <xf numFmtId="0" fontId="4" fillId="0" borderId="0" xfId="0" applyFont="1" applyAlignment="1">
      <alignment horizontal="right" vertical="center"/>
    </xf>
    <xf numFmtId="164" fontId="3" fillId="0" borderId="0" xfId="0" applyNumberFormat="1" applyFont="1" applyBorder="1" applyAlignment="1">
      <alignment horizontal="right" vertical="center"/>
    </xf>
    <xf numFmtId="1" fontId="3" fillId="0" borderId="0" xfId="0" applyNumberFormat="1" applyFont="1" applyBorder="1" applyAlignment="1">
      <alignment vertical="center"/>
    </xf>
    <xf numFmtId="1" fontId="3" fillId="0" borderId="0" xfId="0" applyNumberFormat="1" applyFont="1" applyBorder="1" applyAlignment="1">
      <alignment horizontal="right" vertical="center"/>
    </xf>
    <xf numFmtId="0" fontId="1" fillId="0" borderId="0" xfId="6"/>
    <xf numFmtId="0" fontId="1" fillId="0" borderId="0" xfId="6" applyFont="1" applyBorder="1" applyAlignment="1">
      <alignment vertical="center"/>
    </xf>
    <xf numFmtId="164" fontId="1" fillId="0" borderId="0" xfId="6" applyNumberFormat="1" applyFont="1" applyBorder="1" applyAlignment="1">
      <alignment vertical="center"/>
    </xf>
    <xf numFmtId="1" fontId="1" fillId="0" borderId="0" xfId="6" applyNumberFormat="1" applyFont="1" applyAlignment="1">
      <alignment vertical="center"/>
    </xf>
    <xf numFmtId="0" fontId="1" fillId="0" borderId="0" xfId="6" applyFont="1" applyFill="1" applyBorder="1"/>
    <xf numFmtId="164" fontId="1" fillId="0" borderId="0" xfId="6" applyNumberFormat="1" applyFont="1" applyBorder="1"/>
    <xf numFmtId="1" fontId="1" fillId="0" borderId="0" xfId="6" applyNumberFormat="1" applyFont="1" applyBorder="1"/>
    <xf numFmtId="0" fontId="1" fillId="0" borderId="0" xfId="6" applyBorder="1" applyAlignment="1">
      <alignment vertical="top" wrapText="1"/>
    </xf>
    <xf numFmtId="0" fontId="1" fillId="0" borderId="0" xfId="6" applyFont="1"/>
    <xf numFmtId="164" fontId="1" fillId="0" borderId="0" xfId="6" applyNumberFormat="1" applyFont="1"/>
    <xf numFmtId="1" fontId="1" fillId="0" borderId="0" xfId="6" applyNumberFormat="1" applyFont="1"/>
    <xf numFmtId="0" fontId="3" fillId="0" borderId="0" xfId="6" applyFont="1" applyBorder="1" applyAlignment="1">
      <alignment vertical="center"/>
    </xf>
    <xf numFmtId="164" fontId="3" fillId="0" borderId="0" xfId="6" applyNumberFormat="1" applyFont="1" applyBorder="1" applyAlignment="1">
      <alignment vertical="center"/>
    </xf>
    <xf numFmtId="2" fontId="3" fillId="0" borderId="0" xfId="6" applyNumberFormat="1" applyFont="1" applyBorder="1" applyAlignment="1">
      <alignment vertical="center"/>
    </xf>
    <xf numFmtId="0" fontId="3" fillId="0" borderId="0" xfId="6" applyFont="1" applyAlignment="1">
      <alignment vertical="center"/>
    </xf>
    <xf numFmtId="2" fontId="1" fillId="0" borderId="0" xfId="6" applyNumberFormat="1" applyAlignment="1">
      <alignment vertical="center"/>
    </xf>
    <xf numFmtId="0" fontId="11" fillId="0" borderId="0" xfId="6" applyFont="1" applyAlignment="1">
      <alignment vertical="center"/>
    </xf>
    <xf numFmtId="2" fontId="3" fillId="0" borderId="0" xfId="6" applyNumberFormat="1" applyFont="1" applyAlignment="1">
      <alignment vertical="center"/>
    </xf>
    <xf numFmtId="164" fontId="3" fillId="0" borderId="0" xfId="6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0" xfId="8" applyFont="1" applyAlignment="1">
      <alignment vertical="center"/>
    </xf>
    <xf numFmtId="168" fontId="3" fillId="0" borderId="0" xfId="8" applyNumberFormat="1" applyFont="1" applyAlignment="1">
      <alignment vertical="center"/>
    </xf>
    <xf numFmtId="0" fontId="3" fillId="2" borderId="0" xfId="8" applyFont="1" applyFill="1" applyAlignment="1">
      <alignment vertical="center"/>
    </xf>
    <xf numFmtId="0" fontId="3" fillId="0" borderId="0" xfId="8" applyFont="1" applyBorder="1" applyAlignment="1">
      <alignment vertical="center"/>
    </xf>
    <xf numFmtId="0" fontId="3" fillId="0" borderId="2" xfId="8" applyFont="1" applyBorder="1" applyAlignment="1">
      <alignment vertical="center"/>
    </xf>
    <xf numFmtId="0" fontId="3" fillId="0" borderId="0" xfId="8" applyFont="1" applyAlignment="1">
      <alignment horizontal="center" vertical="center"/>
    </xf>
    <xf numFmtId="164" fontId="3" fillId="0" borderId="1" xfId="8" applyNumberFormat="1" applyFont="1" applyBorder="1" applyAlignment="1">
      <alignment vertical="center"/>
    </xf>
    <xf numFmtId="0" fontId="4" fillId="0" borderId="1" xfId="8" applyFont="1" applyBorder="1" applyAlignment="1">
      <alignment vertical="center"/>
    </xf>
    <xf numFmtId="0" fontId="4" fillId="0" borderId="0" xfId="8" applyFont="1" applyAlignment="1">
      <alignment vertical="center"/>
    </xf>
    <xf numFmtId="164" fontId="3" fillId="0" borderId="0" xfId="8" applyNumberFormat="1" applyFont="1" applyAlignment="1">
      <alignment vertical="center"/>
    </xf>
    <xf numFmtId="168" fontId="3" fillId="2" borderId="0" xfId="8" applyNumberFormat="1" applyFont="1" applyFill="1" applyAlignment="1">
      <alignment vertical="center"/>
    </xf>
    <xf numFmtId="0" fontId="3" fillId="0" borderId="0" xfId="8" applyFont="1" applyAlignment="1">
      <alignment horizontal="right" vertical="center"/>
    </xf>
    <xf numFmtId="2" fontId="3" fillId="0" borderId="0" xfId="8" applyNumberFormat="1" applyFont="1" applyAlignment="1">
      <alignment vertical="center"/>
    </xf>
    <xf numFmtId="0" fontId="3" fillId="0" borderId="0" xfId="6" applyFont="1" applyAlignment="1">
      <alignment horizontal="center" vertical="center"/>
    </xf>
    <xf numFmtId="1" fontId="4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6" applyFont="1" applyAlignment="1">
      <alignment horizontal="center" vertical="center"/>
    </xf>
    <xf numFmtId="2" fontId="13" fillId="0" borderId="0" xfId="6" applyNumberFormat="1" applyFont="1" applyAlignment="1">
      <alignment vertical="center"/>
    </xf>
    <xf numFmtId="0" fontId="13" fillId="0" borderId="0" xfId="6" applyFont="1"/>
    <xf numFmtId="0" fontId="12" fillId="0" borderId="0" xfId="6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10" fillId="0" borderId="1" xfId="2" applyNumberFormat="1" applyFont="1" applyFill="1" applyBorder="1" applyAlignment="1" applyProtection="1">
      <alignment vertical="center"/>
    </xf>
    <xf numFmtId="2" fontId="10" fillId="0" borderId="1" xfId="2" applyNumberFormat="1" applyFont="1" applyFill="1" applyBorder="1" applyAlignment="1" applyProtection="1">
      <alignment vertical="center"/>
      <protection locked="0"/>
    </xf>
    <xf numFmtId="2" fontId="3" fillId="0" borderId="1" xfId="2" applyNumberFormat="1" applyFont="1" applyBorder="1" applyAlignment="1">
      <alignment vertical="center"/>
    </xf>
    <xf numFmtId="2" fontId="3" fillId="0" borderId="1" xfId="2" applyNumberFormat="1" applyFont="1" applyFill="1" applyBorder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vertical="center" wrapText="1"/>
    </xf>
    <xf numFmtId="2" fontId="8" fillId="0" borderId="1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2" fontId="5" fillId="0" borderId="1" xfId="0" applyNumberFormat="1" applyFont="1" applyFill="1" applyBorder="1" applyAlignment="1" applyProtection="1">
      <alignment vertical="center"/>
      <protection locked="0"/>
    </xf>
    <xf numFmtId="2" fontId="5" fillId="0" borderId="1" xfId="3" applyNumberFormat="1" applyFont="1" applyBorder="1" applyAlignment="1">
      <alignment vertical="center"/>
    </xf>
    <xf numFmtId="1" fontId="5" fillId="0" borderId="1" xfId="0" applyNumberFormat="1" applyFont="1" applyBorder="1" applyAlignment="1">
      <alignment horizontal="right" vertical="center"/>
    </xf>
    <xf numFmtId="2" fontId="5" fillId="0" borderId="1" xfId="0" applyNumberFormat="1" applyFont="1" applyFill="1" applyBorder="1" applyAlignment="1" applyProtection="1">
      <alignment vertical="center"/>
    </xf>
    <xf numFmtId="2" fontId="8" fillId="0" borderId="1" xfId="3" applyNumberFormat="1" applyFont="1" applyBorder="1" applyAlignment="1">
      <alignment vertical="center"/>
    </xf>
    <xf numFmtId="2" fontId="8" fillId="0" borderId="1" xfId="0" applyNumberFormat="1" applyFont="1" applyFill="1" applyBorder="1" applyAlignment="1" applyProtection="1">
      <alignment vertical="center"/>
      <protection locked="0"/>
    </xf>
    <xf numFmtId="2" fontId="8" fillId="0" borderId="1" xfId="0" applyNumberFormat="1" applyFont="1" applyBorder="1" applyAlignment="1">
      <alignment horizontal="right" vertical="center"/>
    </xf>
    <xf numFmtId="2" fontId="8" fillId="0" borderId="1" xfId="0" applyNumberFormat="1" applyFont="1" applyFill="1" applyBorder="1" applyAlignment="1" applyProtection="1">
      <alignment vertical="center"/>
    </xf>
    <xf numFmtId="2" fontId="5" fillId="0" borderId="1" xfId="3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2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Font="1" applyAlignment="1">
      <alignment horizontal="center" vertical="center"/>
    </xf>
    <xf numFmtId="2" fontId="15" fillId="0" borderId="1" xfId="2" applyNumberFormat="1" applyFont="1" applyFill="1" applyBorder="1" applyAlignment="1" applyProtection="1">
      <alignment vertical="center"/>
      <protection locked="0"/>
    </xf>
    <xf numFmtId="1" fontId="5" fillId="0" borderId="1" xfId="6" applyNumberFormat="1" applyFont="1" applyBorder="1" applyAlignment="1">
      <alignment horizontal="center" vertical="center"/>
    </xf>
    <xf numFmtId="164" fontId="5" fillId="0" borderId="1" xfId="6" applyNumberFormat="1" applyFont="1" applyBorder="1"/>
    <xf numFmtId="1" fontId="5" fillId="0" borderId="1" xfId="6" applyNumberFormat="1" applyFont="1" applyBorder="1"/>
    <xf numFmtId="164" fontId="5" fillId="0" borderId="0" xfId="6" applyNumberFormat="1" applyFont="1"/>
    <xf numFmtId="0" fontId="5" fillId="0" borderId="0" xfId="6" applyFont="1" applyBorder="1" applyAlignment="1">
      <alignment vertical="center"/>
    </xf>
    <xf numFmtId="0" fontId="5" fillId="0" borderId="0" xfId="6" applyFont="1" applyFill="1" applyBorder="1"/>
    <xf numFmtId="164" fontId="5" fillId="0" borderId="0" xfId="6" applyNumberFormat="1" applyFont="1" applyBorder="1"/>
    <xf numFmtId="1" fontId="5" fillId="0" borderId="0" xfId="6" applyNumberFormat="1" applyFont="1" applyBorder="1"/>
    <xf numFmtId="1" fontId="5" fillId="0" borderId="0" xfId="6" applyNumberFormat="1" applyFont="1" applyBorder="1" applyAlignment="1">
      <alignment horizontal="right"/>
    </xf>
    <xf numFmtId="164" fontId="5" fillId="0" borderId="0" xfId="6" applyNumberFormat="1" applyFont="1" applyBorder="1" applyAlignment="1">
      <alignment horizontal="right"/>
    </xf>
    <xf numFmtId="0" fontId="5" fillId="0" borderId="0" xfId="6" applyFont="1" applyBorder="1"/>
    <xf numFmtId="2" fontId="5" fillId="0" borderId="1" xfId="6" applyNumberFormat="1" applyFont="1" applyBorder="1" applyAlignment="1">
      <alignment vertical="center"/>
    </xf>
    <xf numFmtId="1" fontId="5" fillId="0" borderId="1" xfId="6" applyNumberFormat="1" applyFont="1" applyBorder="1" applyAlignment="1">
      <alignment vertical="center"/>
    </xf>
    <xf numFmtId="164" fontId="5" fillId="0" borderId="1" xfId="6" applyNumberFormat="1" applyFont="1" applyBorder="1" applyAlignment="1">
      <alignment vertical="center"/>
    </xf>
    <xf numFmtId="2" fontId="5" fillId="0" borderId="0" xfId="6" applyNumberFormat="1" applyFont="1" applyBorder="1" applyAlignment="1">
      <alignment vertical="center"/>
    </xf>
    <xf numFmtId="2" fontId="5" fillId="0" borderId="0" xfId="6" applyNumberFormat="1" applyFont="1" applyBorder="1" applyAlignment="1">
      <alignment horizontal="right" vertical="center"/>
    </xf>
    <xf numFmtId="2" fontId="8" fillId="0" borderId="0" xfId="6" applyNumberFormat="1" applyFont="1" applyBorder="1" applyAlignment="1">
      <alignment vertical="center"/>
    </xf>
    <xf numFmtId="164" fontId="5" fillId="0" borderId="0" xfId="6" applyNumberFormat="1" applyFont="1" applyBorder="1" applyAlignment="1">
      <alignment vertical="center"/>
    </xf>
    <xf numFmtId="0" fontId="5" fillId="0" borderId="0" xfId="6" applyFont="1" applyAlignment="1">
      <alignment vertical="center"/>
    </xf>
    <xf numFmtId="0" fontId="5" fillId="0" borderId="1" xfId="6" applyFont="1" applyBorder="1" applyAlignment="1">
      <alignment horizontal="center" vertical="center"/>
    </xf>
    <xf numFmtId="2" fontId="5" fillId="0" borderId="1" xfId="7" applyNumberFormat="1" applyFont="1" applyBorder="1" applyAlignment="1">
      <alignment vertical="center"/>
    </xf>
    <xf numFmtId="0" fontId="5" fillId="0" borderId="0" xfId="8" applyFont="1" applyBorder="1" applyAlignment="1">
      <alignment vertical="center"/>
    </xf>
    <xf numFmtId="168" fontId="5" fillId="0" borderId="0" xfId="8" applyNumberFormat="1" applyFont="1" applyBorder="1" applyAlignment="1">
      <alignment vertical="center"/>
    </xf>
    <xf numFmtId="0" fontId="5" fillId="2" borderId="0" xfId="8" applyFont="1" applyFill="1" applyBorder="1" applyAlignment="1">
      <alignment vertical="center"/>
    </xf>
    <xf numFmtId="0" fontId="5" fillId="0" borderId="0" xfId="8" applyFont="1" applyAlignment="1">
      <alignment vertical="center"/>
    </xf>
    <xf numFmtId="0" fontId="5" fillId="0" borderId="1" xfId="8" applyFont="1" applyBorder="1" applyAlignment="1">
      <alignment vertical="center"/>
    </xf>
    <xf numFmtId="2" fontId="5" fillId="0" borderId="1" xfId="8" applyNumberFormat="1" applyFont="1" applyBorder="1" applyAlignment="1">
      <alignment vertical="center"/>
    </xf>
    <xf numFmtId="2" fontId="5" fillId="2" borderId="1" xfId="8" applyNumberFormat="1" applyFont="1" applyFill="1" applyBorder="1" applyAlignment="1">
      <alignment vertical="center"/>
    </xf>
    <xf numFmtId="1" fontId="5" fillId="0" borderId="1" xfId="8" applyNumberFormat="1" applyFont="1" applyBorder="1" applyAlignment="1">
      <alignment horizontal="right" vertical="center"/>
    </xf>
    <xf numFmtId="0" fontId="8" fillId="0" borderId="1" xfId="8" applyFont="1" applyBorder="1" applyAlignment="1">
      <alignment vertical="center"/>
    </xf>
    <xf numFmtId="2" fontId="8" fillId="0" borderId="1" xfId="8" applyNumberFormat="1" applyFont="1" applyBorder="1" applyAlignment="1">
      <alignment horizontal="right" vertical="center"/>
    </xf>
    <xf numFmtId="2" fontId="8" fillId="0" borderId="1" xfId="8" applyNumberFormat="1" applyFont="1" applyBorder="1" applyAlignment="1">
      <alignment vertical="center"/>
    </xf>
    <xf numFmtId="164" fontId="5" fillId="0" borderId="0" xfId="8" applyNumberFormat="1" applyFont="1" applyBorder="1" applyAlignment="1">
      <alignment horizontal="right" vertical="center"/>
    </xf>
    <xf numFmtId="164" fontId="5" fillId="2" borderId="0" xfId="8" applyNumberFormat="1" applyFont="1" applyFill="1" applyBorder="1" applyAlignment="1">
      <alignment horizontal="right" vertical="center"/>
    </xf>
    <xf numFmtId="0" fontId="5" fillId="0" borderId="4" xfId="8" applyFont="1" applyBorder="1" applyAlignment="1">
      <alignment vertical="center"/>
    </xf>
    <xf numFmtId="1" fontId="5" fillId="0" borderId="4" xfId="8" applyNumberFormat="1" applyFont="1" applyBorder="1" applyAlignment="1">
      <alignment horizontal="right" vertical="center"/>
    </xf>
    <xf numFmtId="1" fontId="5" fillId="0" borderId="0" xfId="8" applyNumberFormat="1" applyFont="1" applyBorder="1" applyAlignment="1">
      <alignment horizontal="right" vertical="center"/>
    </xf>
    <xf numFmtId="0" fontId="8" fillId="0" borderId="0" xfId="8" applyFont="1" applyBorder="1" applyAlignment="1">
      <alignment vertical="center"/>
    </xf>
    <xf numFmtId="2" fontId="8" fillId="2" borderId="1" xfId="8" applyNumberFormat="1" applyFont="1" applyFill="1" applyBorder="1" applyAlignment="1">
      <alignment vertical="center"/>
    </xf>
    <xf numFmtId="2" fontId="8" fillId="0" borderId="1" xfId="7" applyNumberFormat="1" applyFont="1" applyBorder="1" applyAlignment="1">
      <alignment horizontal="right" vertical="center"/>
    </xf>
    <xf numFmtId="2" fontId="8" fillId="2" borderId="1" xfId="8" applyNumberFormat="1" applyFont="1" applyFill="1" applyBorder="1" applyAlignment="1">
      <alignment horizontal="right" vertical="center"/>
    </xf>
    <xf numFmtId="2" fontId="5" fillId="0" borderId="0" xfId="8" applyNumberFormat="1" applyFont="1" applyBorder="1" applyAlignment="1">
      <alignment vertical="center"/>
    </xf>
    <xf numFmtId="164" fontId="5" fillId="0" borderId="0" xfId="8" applyNumberFormat="1" applyFont="1" applyBorder="1" applyAlignment="1">
      <alignment vertical="center"/>
    </xf>
    <xf numFmtId="2" fontId="5" fillId="0" borderId="1" xfId="7" applyNumberFormat="1" applyFont="1" applyBorder="1" applyAlignment="1">
      <alignment horizontal="right" vertical="center"/>
    </xf>
    <xf numFmtId="2" fontId="5" fillId="0" borderId="1" xfId="8" applyNumberFormat="1" applyFont="1" applyBorder="1" applyAlignment="1">
      <alignment horizontal="right" vertical="center"/>
    </xf>
    <xf numFmtId="2" fontId="5" fillId="2" borderId="1" xfId="8" applyNumberFormat="1" applyFont="1" applyFill="1" applyBorder="1" applyAlignment="1">
      <alignment horizontal="right" vertical="center"/>
    </xf>
    <xf numFmtId="2" fontId="5" fillId="0" borderId="1" xfId="8" applyNumberFormat="1" applyFont="1" applyFill="1" applyBorder="1" applyAlignment="1" applyProtection="1">
      <alignment vertical="center"/>
    </xf>
    <xf numFmtId="2" fontId="5" fillId="2" borderId="1" xfId="8" applyNumberFormat="1" applyFont="1" applyFill="1" applyBorder="1" applyAlignment="1" applyProtection="1">
      <alignment vertical="center"/>
    </xf>
    <xf numFmtId="2" fontId="5" fillId="0" borderId="4" xfId="7" applyNumberFormat="1" applyFont="1" applyBorder="1" applyAlignment="1">
      <alignment horizontal="right" vertical="center"/>
    </xf>
    <xf numFmtId="2" fontId="5" fillId="0" borderId="4" xfId="8" applyNumberFormat="1" applyFont="1" applyBorder="1" applyAlignment="1">
      <alignment vertical="center"/>
    </xf>
    <xf numFmtId="2" fontId="5" fillId="2" borderId="4" xfId="8" applyNumberFormat="1" applyFont="1" applyFill="1" applyBorder="1" applyAlignment="1">
      <alignment vertical="center"/>
    </xf>
    <xf numFmtId="2" fontId="8" fillId="0" borderId="1" xfId="8" applyNumberFormat="1" applyFont="1" applyFill="1" applyBorder="1" applyAlignment="1" applyProtection="1">
      <alignment vertical="center"/>
      <protection locked="0"/>
    </xf>
    <xf numFmtId="2" fontId="5" fillId="0" borderId="1" xfId="8" applyNumberFormat="1" applyFont="1" applyFill="1" applyBorder="1" applyAlignment="1" applyProtection="1">
      <alignment vertical="center"/>
      <protection locked="0"/>
    </xf>
    <xf numFmtId="2" fontId="5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right" vertical="center"/>
    </xf>
    <xf numFmtId="1" fontId="5" fillId="0" borderId="0" xfId="0" applyNumberFormat="1" applyFont="1" applyBorder="1" applyAlignment="1">
      <alignment horizontal="right" vertical="center"/>
    </xf>
    <xf numFmtId="0" fontId="5" fillId="0" borderId="1" xfId="8" applyFont="1" applyBorder="1" applyAlignment="1">
      <alignment horizontal="center" vertical="center"/>
    </xf>
    <xf numFmtId="0" fontId="8" fillId="0" borderId="0" xfId="8" applyFont="1" applyAlignment="1">
      <alignment vertical="center"/>
    </xf>
    <xf numFmtId="2" fontId="5" fillId="0" borderId="1" xfId="6" applyNumberFormat="1" applyFont="1" applyBorder="1"/>
    <xf numFmtId="2" fontId="8" fillId="0" borderId="1" xfId="6" applyNumberFormat="1" applyFont="1" applyBorder="1"/>
    <xf numFmtId="2" fontId="5" fillId="0" borderId="1" xfId="0" applyNumberFormat="1" applyFont="1" applyFill="1" applyBorder="1" applyAlignment="1">
      <alignment horizontal="right" vertical="center"/>
    </xf>
    <xf numFmtId="1" fontId="17" fillId="0" borderId="0" xfId="6" applyNumberFormat="1" applyFont="1" applyBorder="1"/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2" fontId="8" fillId="0" borderId="1" xfId="9" applyNumberFormat="1" applyFont="1" applyBorder="1" applyAlignment="1" applyProtection="1">
      <alignment vertical="center"/>
      <protection locked="0"/>
    </xf>
    <xf numFmtId="2" fontId="5" fillId="0" borderId="1" xfId="9" applyNumberFormat="1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1" xfId="6" applyFont="1" applyBorder="1"/>
    <xf numFmtId="0" fontId="5" fillId="0" borderId="1" xfId="0" applyFont="1" applyBorder="1" applyAlignment="1">
      <alignment vertical="center"/>
    </xf>
    <xf numFmtId="0" fontId="8" fillId="0" borderId="1" xfId="6" applyFont="1" applyBorder="1" applyAlignment="1">
      <alignment vertical="center"/>
    </xf>
    <xf numFmtId="0" fontId="8" fillId="0" borderId="1" xfId="6" applyFont="1" applyBorder="1"/>
    <xf numFmtId="0" fontId="5" fillId="0" borderId="1" xfId="6" applyFont="1" applyFill="1" applyBorder="1"/>
    <xf numFmtId="0" fontId="8" fillId="0" borderId="1" xfId="6" applyFont="1" applyFill="1" applyBorder="1"/>
    <xf numFmtId="2" fontId="4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8" applyFont="1" applyBorder="1" applyAlignment="1">
      <alignment horizontal="left" vertical="center"/>
    </xf>
    <xf numFmtId="164" fontId="5" fillId="0" borderId="1" xfId="8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1" fontId="8" fillId="0" borderId="0" xfId="8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3" fillId="0" borderId="0" xfId="8" applyNumberFormat="1" applyFont="1" applyBorder="1" applyAlignment="1">
      <alignment horizontal="right" vertical="center"/>
    </xf>
    <xf numFmtId="2" fontId="3" fillId="0" borderId="1" xfId="8" applyNumberFormat="1" applyFont="1" applyBorder="1" applyAlignment="1">
      <alignment vertical="center"/>
    </xf>
    <xf numFmtId="2" fontId="8" fillId="0" borderId="0" xfId="8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8" fillId="0" borderId="1" xfId="6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1" xfId="6" applyNumberFormat="1" applyFont="1" applyBorder="1" applyAlignment="1">
      <alignment horizontal="left" vertical="center"/>
    </xf>
    <xf numFmtId="0" fontId="5" fillId="0" borderId="1" xfId="6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2" fontId="8" fillId="0" borderId="1" xfId="6" applyNumberFormat="1" applyFont="1" applyBorder="1" applyAlignment="1">
      <alignment vertical="center"/>
    </xf>
    <xf numFmtId="0" fontId="8" fillId="0" borderId="1" xfId="6" applyFont="1" applyBorder="1" applyAlignment="1">
      <alignment horizontal="left" vertical="center"/>
    </xf>
    <xf numFmtId="2" fontId="8" fillId="0" borderId="3" xfId="6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2" fontId="8" fillId="0" borderId="1" xfId="6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2" fontId="3" fillId="0" borderId="1" xfId="3" applyNumberFormat="1" applyFont="1" applyBorder="1" applyAlignment="1">
      <alignment horizontal="right" vertical="center"/>
    </xf>
    <xf numFmtId="2" fontId="3" fillId="0" borderId="1" xfId="0" applyNumberFormat="1" applyFont="1" applyFill="1" applyBorder="1" applyAlignment="1">
      <alignment horizontal="right" vertical="center"/>
    </xf>
    <xf numFmtId="2" fontId="8" fillId="0" borderId="1" xfId="6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8" fillId="0" borderId="1" xfId="6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6" applyNumberFormat="1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6" applyNumberFormat="1" applyFont="1" applyBorder="1" applyAlignment="1">
      <alignment vertical="center"/>
    </xf>
    <xf numFmtId="168" fontId="3" fillId="0" borderId="1" xfId="8" applyNumberFormat="1" applyFont="1" applyBorder="1" applyAlignment="1">
      <alignment vertical="center"/>
    </xf>
    <xf numFmtId="0" fontId="3" fillId="2" borderId="1" xfId="8" applyFont="1" applyFill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6" applyNumberFormat="1" applyFont="1" applyBorder="1" applyAlignment="1">
      <alignment vertical="center"/>
    </xf>
    <xf numFmtId="2" fontId="8" fillId="0" borderId="1" xfId="6" applyNumberFormat="1" applyFont="1" applyBorder="1" applyAlignment="1">
      <alignment vertical="center"/>
    </xf>
    <xf numFmtId="1" fontId="8" fillId="0" borderId="1" xfId="0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/>
    </xf>
    <xf numFmtId="1" fontId="8" fillId="0" borderId="1" xfId="6" applyNumberFormat="1" applyFont="1" applyBorder="1"/>
    <xf numFmtId="1" fontId="8" fillId="0" borderId="1" xfId="6" applyNumberFormat="1" applyFont="1" applyBorder="1" applyAlignment="1">
      <alignment vertical="center"/>
    </xf>
    <xf numFmtId="1" fontId="8" fillId="0" borderId="1" xfId="8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2" fontId="8" fillId="0" borderId="1" xfId="6" applyNumberFormat="1" applyFont="1" applyBorder="1" applyAlignment="1">
      <alignment vertical="center"/>
    </xf>
    <xf numFmtId="0" fontId="8" fillId="0" borderId="1" xfId="8" applyFont="1" applyBorder="1" applyAlignment="1">
      <alignment horizontal="left" vertical="center"/>
    </xf>
    <xf numFmtId="0" fontId="8" fillId="0" borderId="1" xfId="8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5" xfId="8" applyFont="1" applyBorder="1" applyAlignment="1">
      <alignment vertical="top"/>
    </xf>
    <xf numFmtId="0" fontId="8" fillId="0" borderId="3" xfId="8" applyFont="1" applyBorder="1" applyAlignment="1">
      <alignment vertical="top"/>
    </xf>
    <xf numFmtId="0" fontId="8" fillId="0" borderId="4" xfId="8" applyFont="1" applyBorder="1" applyAlignment="1">
      <alignment vertical="top"/>
    </xf>
    <xf numFmtId="0" fontId="8" fillId="0" borderId="1" xfId="8" applyFont="1" applyBorder="1" applyAlignment="1">
      <alignment vertical="top"/>
    </xf>
    <xf numFmtId="1" fontId="8" fillId="0" borderId="1" xfId="8" applyNumberFormat="1" applyFont="1" applyBorder="1" applyAlignment="1">
      <alignment vertical="center"/>
    </xf>
    <xf numFmtId="2" fontId="5" fillId="2" borderId="1" xfId="0" applyNumberFormat="1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2" fontId="3" fillId="0" borderId="1" xfId="9" applyNumberFormat="1" applyFont="1" applyFill="1" applyBorder="1" applyAlignment="1" applyProtection="1">
      <alignment vertical="center"/>
      <protection locked="0"/>
    </xf>
    <xf numFmtId="2" fontId="5" fillId="2" borderId="6" xfId="0" applyNumberFormat="1" applyFont="1" applyFill="1" applyBorder="1" applyAlignment="1">
      <alignment vertical="center"/>
    </xf>
    <xf numFmtId="2" fontId="5" fillId="0" borderId="1" xfId="9" applyNumberFormat="1" applyFont="1" applyFill="1" applyBorder="1" applyAlignment="1" applyProtection="1">
      <alignment vertical="center"/>
      <protection locked="0"/>
    </xf>
    <xf numFmtId="2" fontId="8" fillId="2" borderId="6" xfId="0" applyNumberFormat="1" applyFont="1" applyFill="1" applyBorder="1" applyAlignment="1">
      <alignment vertical="center"/>
    </xf>
    <xf numFmtId="2" fontId="8" fillId="0" borderId="1" xfId="9" applyNumberFormat="1" applyFont="1" applyFill="1" applyBorder="1" applyAlignment="1" applyProtection="1">
      <alignment vertical="center"/>
      <protection locked="0"/>
    </xf>
    <xf numFmtId="2" fontId="5" fillId="0" borderId="6" xfId="0" applyNumberFormat="1" applyFont="1" applyBorder="1" applyAlignment="1">
      <alignment vertical="center"/>
    </xf>
    <xf numFmtId="2" fontId="5" fillId="0" borderId="6" xfId="0" applyNumberFormat="1" applyFont="1" applyFill="1" applyBorder="1" applyAlignment="1">
      <alignment vertical="center"/>
    </xf>
    <xf numFmtId="2" fontId="8" fillId="0" borderId="4" xfId="9" applyNumberFormat="1" applyFont="1" applyFill="1" applyBorder="1" applyAlignment="1" applyProtection="1">
      <alignment vertical="center"/>
      <protection locked="0"/>
    </xf>
    <xf numFmtId="2" fontId="3" fillId="0" borderId="1" xfId="9" applyNumberFormat="1" applyFont="1" applyFill="1" applyBorder="1" applyAlignment="1" applyProtection="1">
      <alignment vertical="center"/>
    </xf>
    <xf numFmtId="2" fontId="3" fillId="0" borderId="0" xfId="9" applyNumberFormat="1" applyFont="1" applyBorder="1" applyAlignment="1">
      <alignment vertical="center"/>
    </xf>
    <xf numFmtId="2" fontId="3" fillId="0" borderId="4" xfId="9" applyNumberFormat="1" applyFont="1" applyFill="1" applyBorder="1" applyAlignment="1" applyProtection="1">
      <alignment vertical="center"/>
    </xf>
    <xf numFmtId="2" fontId="4" fillId="0" borderId="3" xfId="0" applyNumberFormat="1" applyFont="1" applyBorder="1" applyAlignment="1">
      <alignment vertical="center"/>
    </xf>
    <xf numFmtId="1" fontId="4" fillId="0" borderId="3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2" borderId="21" xfId="0" applyNumberFormat="1" applyFont="1" applyFill="1" applyBorder="1" applyAlignment="1">
      <alignment vertical="center"/>
    </xf>
    <xf numFmtId="2" fontId="3" fillId="2" borderId="1" xfId="9" applyNumberFormat="1" applyFont="1" applyFill="1" applyBorder="1" applyAlignment="1" applyProtection="1">
      <alignment vertical="center"/>
      <protection locked="0"/>
    </xf>
    <xf numFmtId="2" fontId="3" fillId="2" borderId="1" xfId="9" applyNumberFormat="1" applyFont="1" applyFill="1" applyBorder="1" applyAlignment="1" applyProtection="1">
      <alignment vertical="center"/>
    </xf>
    <xf numFmtId="2" fontId="3" fillId="0" borderId="0" xfId="0" applyNumberFormat="1" applyFont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 vertical="center"/>
    </xf>
    <xf numFmtId="2" fontId="3" fillId="0" borderId="4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2" fontId="8" fillId="0" borderId="1" xfId="0" applyNumberFormat="1" applyFont="1" applyFill="1" applyBorder="1" applyAlignment="1" applyProtection="1">
      <alignment horizontal="right" vertical="center"/>
    </xf>
    <xf numFmtId="2" fontId="5" fillId="0" borderId="1" xfId="0" applyNumberFormat="1" applyFont="1" applyFill="1" applyBorder="1" applyAlignment="1" applyProtection="1">
      <alignment horizontal="right" vertical="center"/>
    </xf>
    <xf numFmtId="2" fontId="5" fillId="2" borderId="1" xfId="9" applyNumberFormat="1" applyFont="1" applyFill="1" applyBorder="1" applyAlignment="1" applyProtection="1">
      <alignment horizontal="right" vertical="center"/>
      <protection locked="0"/>
    </xf>
    <xf numFmtId="2" fontId="5" fillId="0" borderId="1" xfId="9" applyNumberFormat="1" applyFont="1" applyFill="1" applyBorder="1" applyAlignment="1" applyProtection="1">
      <alignment horizontal="right" vertical="center"/>
      <protection locked="0"/>
    </xf>
    <xf numFmtId="2" fontId="8" fillId="2" borderId="1" xfId="0" applyNumberFormat="1" applyFont="1" applyFill="1" applyBorder="1" applyAlignment="1">
      <alignment horizontal="right" vertical="center"/>
    </xf>
    <xf numFmtId="2" fontId="8" fillId="0" borderId="1" xfId="3" applyNumberFormat="1" applyFont="1" applyBorder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4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 wrapText="1"/>
    </xf>
    <xf numFmtId="2" fontId="8" fillId="0" borderId="1" xfId="6" applyNumberFormat="1" applyFont="1" applyBorder="1" applyAlignment="1">
      <alignment vertical="center"/>
    </xf>
    <xf numFmtId="2" fontId="8" fillId="0" borderId="1" xfId="6" applyNumberFormat="1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2" fontId="8" fillId="0" borderId="12" xfId="0" applyNumberFormat="1" applyFont="1" applyBorder="1" applyAlignment="1">
      <alignment horizontal="left" vertical="center"/>
    </xf>
    <xf numFmtId="2" fontId="8" fillId="0" borderId="1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/>
    </xf>
    <xf numFmtId="0" fontId="8" fillId="0" borderId="5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2" fontId="8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3" xfId="6" applyFont="1" applyBorder="1" applyAlignment="1">
      <alignment vertical="top" wrapText="1"/>
    </xf>
    <xf numFmtId="0" fontId="8" fillId="0" borderId="5" xfId="6" applyFont="1" applyBorder="1" applyAlignment="1">
      <alignment vertical="top" wrapText="1"/>
    </xf>
    <xf numFmtId="0" fontId="8" fillId="0" borderId="4" xfId="6" applyFont="1" applyBorder="1" applyAlignment="1">
      <alignment vertical="top" wrapText="1"/>
    </xf>
    <xf numFmtId="0" fontId="8" fillId="0" borderId="1" xfId="6" applyFont="1" applyBorder="1" applyAlignment="1">
      <alignment vertical="top" wrapText="1"/>
    </xf>
    <xf numFmtId="0" fontId="8" fillId="0" borderId="1" xfId="6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8" fillId="0" borderId="1" xfId="6" applyFont="1" applyBorder="1" applyAlignment="1">
      <alignment horizontal="left" vertical="center"/>
    </xf>
    <xf numFmtId="0" fontId="8" fillId="0" borderId="0" xfId="6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2" fontId="8" fillId="0" borderId="1" xfId="6" applyNumberFormat="1" applyFont="1" applyBorder="1" applyAlignment="1">
      <alignment vertical="center"/>
    </xf>
    <xf numFmtId="2" fontId="8" fillId="0" borderId="3" xfId="6" applyNumberFormat="1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2" fontId="8" fillId="0" borderId="1" xfId="6" applyNumberFormat="1" applyFont="1" applyBorder="1" applyAlignment="1">
      <alignment horizontal="left" vertical="top"/>
    </xf>
    <xf numFmtId="0" fontId="8" fillId="0" borderId="1" xfId="8" applyFont="1" applyBorder="1" applyAlignment="1">
      <alignment horizontal="left" vertical="top"/>
    </xf>
    <xf numFmtId="0" fontId="8" fillId="0" borderId="3" xfId="8" applyFont="1" applyBorder="1" applyAlignment="1">
      <alignment vertical="center"/>
    </xf>
    <xf numFmtId="0" fontId="8" fillId="0" borderId="4" xfId="8" applyFont="1" applyBorder="1" applyAlignment="1">
      <alignment vertical="center"/>
    </xf>
    <xf numFmtId="0" fontId="8" fillId="0" borderId="3" xfId="8" applyFont="1" applyBorder="1" applyAlignment="1">
      <alignment horizontal="left" vertical="center"/>
    </xf>
    <xf numFmtId="0" fontId="8" fillId="0" borderId="4" xfId="8" applyFont="1" applyBorder="1" applyAlignment="1">
      <alignment horizontal="left" vertical="center"/>
    </xf>
    <xf numFmtId="0" fontId="8" fillId="0" borderId="1" xfId="8" applyFont="1" applyBorder="1" applyAlignment="1">
      <alignment horizontal="left" vertical="center"/>
    </xf>
    <xf numFmtId="0" fontId="8" fillId="0" borderId="8" xfId="8" applyFont="1" applyBorder="1" applyAlignment="1">
      <alignment horizontal="left" vertical="center"/>
    </xf>
    <xf numFmtId="0" fontId="8" fillId="0" borderId="9" xfId="8" applyFont="1" applyBorder="1" applyAlignment="1">
      <alignment horizontal="left" vertical="center"/>
    </xf>
    <xf numFmtId="0" fontId="8" fillId="0" borderId="11" xfId="8" applyFont="1" applyBorder="1" applyAlignment="1">
      <alignment horizontal="left" vertical="center"/>
    </xf>
    <xf numFmtId="0" fontId="8" fillId="0" borderId="1" xfId="6" applyFont="1" applyBorder="1" applyAlignment="1">
      <alignment horizontal="left" vertical="top" wrapText="1"/>
    </xf>
    <xf numFmtId="0" fontId="8" fillId="0" borderId="0" xfId="8" applyFont="1" applyBorder="1" applyAlignment="1">
      <alignment horizontal="center" vertical="center"/>
    </xf>
    <xf numFmtId="0" fontId="8" fillId="0" borderId="1" xfId="8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1">
    <cellStyle name="Normal" xfId="0" builtinId="0"/>
    <cellStyle name="Normal 2" xfId="1"/>
    <cellStyle name="Normal 2 2" xfId="8"/>
    <cellStyle name="Normal 2_Book1" xfId="10"/>
    <cellStyle name="Normal 3" xfId="6"/>
    <cellStyle name="Normal_Advance 27.06.02" xfId="2"/>
    <cellStyle name="Normal_Advance 27.06.02 2" xfId="9"/>
    <cellStyle name="Percent" xfId="3" builtinId="5"/>
    <cellStyle name="Percent 2" xfId="4"/>
    <cellStyle name="Percent 3" xfId="5"/>
    <cellStyle name="Percent 3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rthik\Data\1.%20Estimates\2.%20Final%20Estimates\Final%20Estimates%202020-21\OKP%20&amp;%20OR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ice U"/>
      <sheetName val="Wheat U"/>
      <sheetName val="Jowar U"/>
      <sheetName val="Bajra U"/>
      <sheetName val="Maize  U"/>
      <sheetName val="Ragi U"/>
      <sheetName val="Small millets U"/>
      <sheetName val="Barley U"/>
      <sheetName val="Kharif CC U"/>
      <sheetName val="Rabi CC U"/>
      <sheetName val="Total CC U"/>
      <sheetName val="Kharif-Cereals U"/>
      <sheetName val="Rabi Cereals U"/>
      <sheetName val="Total Cereals"/>
      <sheetName val="Tur U"/>
      <sheetName val="Gram U"/>
      <sheetName val="Urad"/>
      <sheetName val="Moong"/>
      <sheetName val="Lentil"/>
      <sheetName val="OKP U"/>
      <sheetName val="ORP U"/>
      <sheetName val="Kharif-pulses U"/>
      <sheetName val="Rabi pulses U"/>
      <sheetName val="Total-pulses U"/>
      <sheetName val="Kharif-foodgrains U"/>
      <sheetName val="Rabi-foodgrains U"/>
      <sheetName val="Total-foodgrains 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8">
          <cell r="G48">
            <v>47</v>
          </cell>
          <cell r="L48">
            <v>31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view="pageBreakPreview" zoomScale="70" zoomScaleNormal="75" zoomScaleSheetLayoutView="70" workbookViewId="0">
      <pane ySplit="5" topLeftCell="A33" activePane="bottomLeft" state="frozen"/>
      <selection activeCell="L4" sqref="L4:P6"/>
      <selection pane="bottomLeft" activeCell="L4" sqref="L4:P6"/>
    </sheetView>
  </sheetViews>
  <sheetFormatPr defaultRowHeight="15" x14ac:dyDescent="0.2"/>
  <cols>
    <col min="1" max="1" width="27.85546875" style="4" customWidth="1"/>
    <col min="2" max="2" width="11.7109375" style="4" customWidth="1"/>
    <col min="3" max="3" width="13.7109375" style="10" customWidth="1"/>
    <col min="4" max="4" width="14.140625" style="10" customWidth="1"/>
    <col min="5" max="6" width="14.5703125" style="10" customWidth="1"/>
    <col min="7" max="9" width="14.85546875" style="10" bestFit="1" customWidth="1"/>
    <col min="10" max="10" width="14.85546875" style="10" customWidth="1"/>
    <col min="11" max="11" width="14.85546875" style="10" bestFit="1" customWidth="1"/>
    <col min="12" max="12" width="14.140625" style="10" customWidth="1"/>
    <col min="13" max="13" width="12.5703125" style="4" bestFit="1" customWidth="1"/>
    <col min="14" max="14" width="13.28515625" style="4" customWidth="1"/>
    <col min="15" max="15" width="13.5703125" style="4" customWidth="1"/>
    <col min="16" max="16" width="13" style="4" customWidth="1"/>
    <col min="17" max="17" width="13.28515625" style="4" customWidth="1"/>
    <col min="18" max="19" width="11.85546875" style="4" customWidth="1"/>
    <col min="20" max="16384" width="9.140625" style="4"/>
  </cols>
  <sheetData>
    <row r="1" spans="1:20" ht="15.75" customHeight="1" x14ac:dyDescent="0.2">
      <c r="A1" s="344" t="s">
        <v>191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83"/>
      <c r="P1" s="219"/>
      <c r="Q1" s="232"/>
    </row>
    <row r="2" spans="1:20" ht="15" customHeight="1" x14ac:dyDescent="0.2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0" ht="15.75" customHeight="1" x14ac:dyDescent="0.2">
      <c r="A3" s="340" t="s">
        <v>105</v>
      </c>
      <c r="B3" s="342" t="s">
        <v>0</v>
      </c>
      <c r="C3" s="342" t="s">
        <v>174</v>
      </c>
      <c r="D3" s="342"/>
      <c r="E3" s="342"/>
      <c r="F3" s="342"/>
      <c r="G3" s="342"/>
      <c r="H3" s="342" t="s">
        <v>68</v>
      </c>
      <c r="I3" s="342"/>
      <c r="J3" s="342"/>
      <c r="K3" s="342"/>
      <c r="L3" s="342"/>
      <c r="M3" s="231" t="s">
        <v>89</v>
      </c>
      <c r="N3" s="231"/>
      <c r="O3" s="231"/>
      <c r="P3" s="231"/>
      <c r="Q3" s="231"/>
      <c r="R3" s="73"/>
      <c r="S3" s="73"/>
    </row>
    <row r="4" spans="1:20" ht="15" customHeight="1" x14ac:dyDescent="0.2">
      <c r="A4" s="340"/>
      <c r="B4" s="342"/>
      <c r="C4" s="341" t="s">
        <v>112</v>
      </c>
      <c r="D4" s="341" t="s">
        <v>164</v>
      </c>
      <c r="E4" s="341" t="s">
        <v>199</v>
      </c>
      <c r="F4" s="341" t="s">
        <v>200</v>
      </c>
      <c r="G4" s="341" t="s">
        <v>202</v>
      </c>
      <c r="H4" s="341" t="s">
        <v>112</v>
      </c>
      <c r="I4" s="341" t="s">
        <v>164</v>
      </c>
      <c r="J4" s="341" t="s">
        <v>199</v>
      </c>
      <c r="K4" s="341" t="s">
        <v>200</v>
      </c>
      <c r="L4" s="341" t="s">
        <v>202</v>
      </c>
      <c r="M4" s="341" t="s">
        <v>112</v>
      </c>
      <c r="N4" s="341" t="s">
        <v>164</v>
      </c>
      <c r="O4" s="341" t="s">
        <v>199</v>
      </c>
      <c r="P4" s="341" t="s">
        <v>200</v>
      </c>
      <c r="Q4" s="341" t="s">
        <v>202</v>
      </c>
      <c r="R4" s="227"/>
      <c r="S4" s="227"/>
    </row>
    <row r="5" spans="1:20" ht="15" customHeight="1" x14ac:dyDescent="0.2">
      <c r="A5" s="340"/>
      <c r="B5" s="342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227"/>
      <c r="S5" s="227"/>
    </row>
    <row r="6" spans="1:20" s="14" customFormat="1" ht="18" x14ac:dyDescent="0.2">
      <c r="A6" s="268">
        <v>1</v>
      </c>
      <c r="B6" s="108">
        <v>2</v>
      </c>
      <c r="C6" s="233">
        <v>3</v>
      </c>
      <c r="D6" s="233">
        <v>4</v>
      </c>
      <c r="E6" s="233">
        <v>5</v>
      </c>
      <c r="F6" s="233">
        <v>6</v>
      </c>
      <c r="G6" s="233">
        <v>7</v>
      </c>
      <c r="H6" s="233">
        <v>8</v>
      </c>
      <c r="I6" s="233">
        <v>9</v>
      </c>
      <c r="J6" s="233">
        <v>10</v>
      </c>
      <c r="K6" s="233">
        <v>11</v>
      </c>
      <c r="L6" s="233">
        <v>12</v>
      </c>
      <c r="M6" s="233">
        <v>13</v>
      </c>
      <c r="N6" s="233">
        <v>14</v>
      </c>
      <c r="O6" s="233">
        <v>15</v>
      </c>
      <c r="P6" s="233">
        <v>16</v>
      </c>
      <c r="Q6" s="233">
        <v>17</v>
      </c>
      <c r="S6" s="227"/>
      <c r="T6" s="4"/>
    </row>
    <row r="7" spans="1:20" ht="23.25" customHeight="1" x14ac:dyDescent="0.2">
      <c r="A7" s="343" t="s">
        <v>69</v>
      </c>
      <c r="B7" s="204" t="s">
        <v>8</v>
      </c>
      <c r="C7" s="76">
        <f>'rice U'!C99</f>
        <v>39845.772299999997</v>
      </c>
      <c r="D7" s="76">
        <f>'rice U'!D99</f>
        <v>39349.26614</v>
      </c>
      <c r="E7" s="76">
        <f>'rice U'!E99</f>
        <v>39964.354187139012</v>
      </c>
      <c r="F7" s="76">
        <f>'rice U'!F99</f>
        <v>39012.960219553599</v>
      </c>
      <c r="G7" s="76">
        <f>'rice U'!G99</f>
        <v>40357.97271868417</v>
      </c>
      <c r="H7" s="76">
        <f>'rice U'!H99</f>
        <v>96302.792136916672</v>
      </c>
      <c r="I7" s="76">
        <f>'rice U'!I99</f>
        <v>97135.162802426697</v>
      </c>
      <c r="J7" s="76">
        <f>'rice U'!J99</f>
        <v>102039.99265946484</v>
      </c>
      <c r="K7" s="76">
        <f>'rice U'!K99</f>
        <v>102276.50593681225</v>
      </c>
      <c r="L7" s="76">
        <f>'rice U'!L99</f>
        <v>105208.13602349439</v>
      </c>
      <c r="M7" s="106">
        <f>H7/C7*1000</f>
        <v>2416.8885826041997</v>
      </c>
      <c r="N7" s="106">
        <f t="shared" ref="N7:Q7" si="0">I7/D7*1000</f>
        <v>2468.538103273168</v>
      </c>
      <c r="O7" s="106">
        <f t="shared" si="0"/>
        <v>2553.2751556961848</v>
      </c>
      <c r="P7" s="106">
        <f t="shared" si="0"/>
        <v>2621.6033174932077</v>
      </c>
      <c r="Q7" s="106">
        <f t="shared" si="0"/>
        <v>2606.8736593101248</v>
      </c>
      <c r="R7" s="227"/>
      <c r="S7" s="227"/>
    </row>
    <row r="8" spans="1:20" ht="23.25" customHeight="1" x14ac:dyDescent="0.2">
      <c r="A8" s="343"/>
      <c r="B8" s="187" t="s">
        <v>9</v>
      </c>
      <c r="C8" s="76">
        <f>'rice U'!C100</f>
        <v>4147.5820000000003</v>
      </c>
      <c r="D8" s="76">
        <f>'rice U'!D100</f>
        <v>4424.7989999999991</v>
      </c>
      <c r="E8" s="76">
        <f>'rice U'!E100</f>
        <v>4192.0914228609872</v>
      </c>
      <c r="F8" s="76">
        <f>'rice U'!F100</f>
        <v>4649.3368804463944</v>
      </c>
      <c r="G8" s="76">
        <f>'rice U'!G100</f>
        <v>5410.7142813158407</v>
      </c>
      <c r="H8" s="76">
        <f>'rice U'!H100</f>
        <v>13395.641063333334</v>
      </c>
      <c r="I8" s="76">
        <f>'rice U'!I100</f>
        <v>15622.44328379802</v>
      </c>
      <c r="J8" s="76">
        <f>'rice U'!J100</f>
        <v>14437.830240674502</v>
      </c>
      <c r="K8" s="76">
        <f>'rice U'!K100</f>
        <v>16593.813394110526</v>
      </c>
      <c r="L8" s="76">
        <f>'rice U'!L100</f>
        <v>19160.179880200507</v>
      </c>
      <c r="M8" s="106">
        <f t="shared" ref="M8:M43" si="1">H8/C8*1000</f>
        <v>3229.7471305771246</v>
      </c>
      <c r="N8" s="106">
        <f t="shared" ref="N8:N43" si="2">I8/D8*1000</f>
        <v>3530.6560329176586</v>
      </c>
      <c r="O8" s="106">
        <f t="shared" ref="O8:O43" si="3">J8/E8*1000</f>
        <v>3444.0637820873385</v>
      </c>
      <c r="P8" s="106">
        <f t="shared" ref="P8:P43" si="4">K8/F8*1000</f>
        <v>3569.0709924459834</v>
      </c>
      <c r="Q8" s="106">
        <f t="shared" ref="Q8:Q43" si="5">L8/G8*1000</f>
        <v>3541.1553602754479</v>
      </c>
      <c r="R8" s="36"/>
      <c r="S8" s="36"/>
    </row>
    <row r="9" spans="1:20" s="8" customFormat="1" ht="23.25" customHeight="1" x14ac:dyDescent="0.2">
      <c r="A9" s="343"/>
      <c r="B9" s="218" t="s">
        <v>10</v>
      </c>
      <c r="C9" s="93">
        <f>C7+C8</f>
        <v>43993.354299999999</v>
      </c>
      <c r="D9" s="93">
        <f t="shared" ref="D9:G9" si="6">D7+D8</f>
        <v>43774.065139999999</v>
      </c>
      <c r="E9" s="93">
        <f t="shared" si="6"/>
        <v>44156.445609999995</v>
      </c>
      <c r="F9" s="93">
        <f t="shared" si="6"/>
        <v>43662.297099999996</v>
      </c>
      <c r="G9" s="93">
        <f t="shared" si="6"/>
        <v>45768.687000000013</v>
      </c>
      <c r="H9" s="93">
        <f>H7+H8</f>
        <v>109698.43320025</v>
      </c>
      <c r="I9" s="93">
        <f t="shared" ref="I9" si="7">I7+I8</f>
        <v>112757.60608622473</v>
      </c>
      <c r="J9" s="93">
        <f t="shared" ref="J9" si="8">J7+J8</f>
        <v>116477.82290013935</v>
      </c>
      <c r="K9" s="93">
        <f t="shared" ref="K9" si="9">K7+K8</f>
        <v>118870.31933092276</v>
      </c>
      <c r="L9" s="93">
        <f t="shared" ref="L9" si="10">L7+L8</f>
        <v>124368.31590369489</v>
      </c>
      <c r="M9" s="107">
        <f t="shared" si="1"/>
        <v>2493.5228273841808</v>
      </c>
      <c r="N9" s="107">
        <f t="shared" si="2"/>
        <v>2575.8998102095097</v>
      </c>
      <c r="O9" s="107">
        <f t="shared" si="3"/>
        <v>2637.8441763383448</v>
      </c>
      <c r="P9" s="107">
        <f t="shared" si="4"/>
        <v>2722.4934835350837</v>
      </c>
      <c r="Q9" s="107">
        <f t="shared" si="5"/>
        <v>2717.3232193375979</v>
      </c>
      <c r="R9" s="72"/>
      <c r="S9" s="72"/>
    </row>
    <row r="10" spans="1:20" s="8" customFormat="1" ht="23.25" customHeight="1" x14ac:dyDescent="0.2">
      <c r="A10" s="218" t="s">
        <v>70</v>
      </c>
      <c r="B10" s="218" t="s">
        <v>9</v>
      </c>
      <c r="C10" s="93">
        <f>'Wheat U'!B39</f>
        <v>30785.182000000001</v>
      </c>
      <c r="D10" s="93">
        <f>'Wheat U'!C39</f>
        <v>29650.585599999995</v>
      </c>
      <c r="E10" s="93">
        <f>'Wheat U'!D39</f>
        <v>29318.786</v>
      </c>
      <c r="F10" s="93">
        <f>'Wheat U'!E39</f>
        <v>31357.017100000001</v>
      </c>
      <c r="G10" s="93">
        <f>'Wheat U'!F39</f>
        <v>31125.157999999999</v>
      </c>
      <c r="H10" s="93">
        <f>'Wheat U'!G39</f>
        <v>98510.231235000014</v>
      </c>
      <c r="I10" s="93">
        <f>'Wheat U'!H39</f>
        <v>99869.522642399999</v>
      </c>
      <c r="J10" s="93">
        <f>'Wheat U'!I39</f>
        <v>103596.22973300001</v>
      </c>
      <c r="K10" s="93">
        <f>'Wheat U'!J39</f>
        <v>107860.51446200001</v>
      </c>
      <c r="L10" s="93">
        <f>'Wheat U'!K39</f>
        <v>109586.49823999999</v>
      </c>
      <c r="M10" s="107">
        <f t="shared" si="1"/>
        <v>3199.9236267305487</v>
      </c>
      <c r="N10" s="107">
        <f t="shared" si="2"/>
        <v>3368.2141725524643</v>
      </c>
      <c r="O10" s="107">
        <f t="shared" si="3"/>
        <v>3533.4419963023033</v>
      </c>
      <c r="P10" s="107">
        <f t="shared" si="4"/>
        <v>3439.7568530840899</v>
      </c>
      <c r="Q10" s="107">
        <f t="shared" si="5"/>
        <v>3520.8334762509476</v>
      </c>
      <c r="R10" s="72"/>
      <c r="S10" s="72"/>
    </row>
    <row r="11" spans="1:20" ht="23.25" customHeight="1" x14ac:dyDescent="0.2">
      <c r="A11" s="340" t="s">
        <v>71</v>
      </c>
      <c r="B11" s="204" t="s">
        <v>8</v>
      </c>
      <c r="C11" s="76">
        <f>'Jowar U'!C51</f>
        <v>2059.3810000000003</v>
      </c>
      <c r="D11" s="76">
        <f>'Jowar U'!D51</f>
        <v>2059.87</v>
      </c>
      <c r="E11" s="76">
        <f>'Jowar U'!E51</f>
        <v>1754.694</v>
      </c>
      <c r="F11" s="76">
        <f>'Jowar U'!F51</f>
        <v>1755.1720000000005</v>
      </c>
      <c r="G11" s="76">
        <f>'Jowar U'!G51</f>
        <v>1642.2549999999999</v>
      </c>
      <c r="H11" s="76">
        <f>'Jowar U'!H51</f>
        <v>1964.3579999999999</v>
      </c>
      <c r="I11" s="76">
        <f>'Jowar U'!I51</f>
        <v>2273.8079819999998</v>
      </c>
      <c r="J11" s="76">
        <f>'Jowar U'!J51</f>
        <v>1735.0446039999995</v>
      </c>
      <c r="K11" s="76">
        <f>'Jowar U'!K51</f>
        <v>1696.9703529999999</v>
      </c>
      <c r="L11" s="76">
        <f>'Jowar U'!L51</f>
        <v>1986.3360819999998</v>
      </c>
      <c r="M11" s="106">
        <f t="shared" si="1"/>
        <v>953.85846523785528</v>
      </c>
      <c r="N11" s="106">
        <f t="shared" si="2"/>
        <v>1103.8599435886731</v>
      </c>
      <c r="O11" s="106">
        <f t="shared" si="3"/>
        <v>988.80181045811958</v>
      </c>
      <c r="P11" s="106">
        <f t="shared" si="4"/>
        <v>966.83991825302564</v>
      </c>
      <c r="Q11" s="106">
        <f t="shared" si="5"/>
        <v>1209.5174513093277</v>
      </c>
      <c r="R11" s="36"/>
      <c r="S11" s="36"/>
    </row>
    <row r="12" spans="1:20" ht="23.25" customHeight="1" x14ac:dyDescent="0.2">
      <c r="A12" s="340"/>
      <c r="B12" s="204" t="s">
        <v>9</v>
      </c>
      <c r="C12" s="76">
        <f>'Jowar U'!C52</f>
        <v>3565.04</v>
      </c>
      <c r="D12" s="76">
        <f>'Jowar U'!D52</f>
        <v>2964.58</v>
      </c>
      <c r="E12" s="76">
        <f>'Jowar U'!E52</f>
        <v>2338.5909999999999</v>
      </c>
      <c r="F12" s="76">
        <f>'Jowar U'!F52</f>
        <v>3068.585</v>
      </c>
      <c r="G12" s="76">
        <f>'Jowar U'!G52</f>
        <v>2735.6190000000001</v>
      </c>
      <c r="H12" s="76">
        <f>'Jowar U'!H52</f>
        <v>2603.5432000000001</v>
      </c>
      <c r="I12" s="76">
        <f>'Jowar U'!I52</f>
        <v>2529.5769200000004</v>
      </c>
      <c r="J12" s="76">
        <f>'Jowar U'!J52</f>
        <v>1740.364527</v>
      </c>
      <c r="K12" s="76">
        <f>'Jowar U'!K52</f>
        <v>3075.1346750000002</v>
      </c>
      <c r="L12" s="76">
        <f>'Jowar U'!L52</f>
        <v>2825.7344460000004</v>
      </c>
      <c r="M12" s="106">
        <f t="shared" si="1"/>
        <v>730.29845387429043</v>
      </c>
      <c r="N12" s="106">
        <f t="shared" si="2"/>
        <v>853.26654028563928</v>
      </c>
      <c r="O12" s="106">
        <f t="shared" si="3"/>
        <v>744.19363069472172</v>
      </c>
      <c r="P12" s="106">
        <f t="shared" si="4"/>
        <v>1002.1344284091854</v>
      </c>
      <c r="Q12" s="106">
        <f t="shared" si="5"/>
        <v>1032.9415192685824</v>
      </c>
      <c r="R12" s="36"/>
      <c r="S12" s="36"/>
    </row>
    <row r="13" spans="1:20" s="8" customFormat="1" ht="23.25" customHeight="1" x14ac:dyDescent="0.2">
      <c r="A13" s="340"/>
      <c r="B13" s="218" t="s">
        <v>10</v>
      </c>
      <c r="C13" s="93">
        <f>C11+C12</f>
        <v>5624.4210000000003</v>
      </c>
      <c r="D13" s="93">
        <f t="shared" ref="D13:G13" si="11">D11+D12</f>
        <v>5024.45</v>
      </c>
      <c r="E13" s="93">
        <f t="shared" si="11"/>
        <v>4093.2849999999999</v>
      </c>
      <c r="F13" s="93">
        <f t="shared" si="11"/>
        <v>4823.7570000000005</v>
      </c>
      <c r="G13" s="93">
        <f t="shared" si="11"/>
        <v>4377.8739999999998</v>
      </c>
      <c r="H13" s="93">
        <f>H11+H12</f>
        <v>4567.9012000000002</v>
      </c>
      <c r="I13" s="93">
        <f t="shared" ref="I13" si="12">I11+I12</f>
        <v>4803.3849019999998</v>
      </c>
      <c r="J13" s="93">
        <f t="shared" ref="J13" si="13">J11+J12</f>
        <v>3475.4091309999994</v>
      </c>
      <c r="K13" s="93">
        <f t="shared" ref="K13" si="14">K11+K12</f>
        <v>4772.1050279999999</v>
      </c>
      <c r="L13" s="93">
        <f t="shared" ref="L13" si="15">L11+L12</f>
        <v>4812.0705280000002</v>
      </c>
      <c r="M13" s="107">
        <f t="shared" si="1"/>
        <v>812.15492225777552</v>
      </c>
      <c r="N13" s="107">
        <f t="shared" si="2"/>
        <v>956.00212998437644</v>
      </c>
      <c r="O13" s="107">
        <f t="shared" si="3"/>
        <v>849.0513440916036</v>
      </c>
      <c r="P13" s="107">
        <f t="shared" si="4"/>
        <v>989.29216956824303</v>
      </c>
      <c r="Q13" s="107">
        <f t="shared" si="5"/>
        <v>1099.1797680792092</v>
      </c>
      <c r="R13" s="36"/>
      <c r="S13" s="36"/>
    </row>
    <row r="14" spans="1:20" s="8" customFormat="1" ht="23.25" customHeight="1" x14ac:dyDescent="0.2">
      <c r="A14" s="218" t="s">
        <v>72</v>
      </c>
      <c r="B14" s="218" t="s">
        <v>8</v>
      </c>
      <c r="C14" s="93">
        <f>'Bajra U'!B29</f>
        <v>7458.5010000000002</v>
      </c>
      <c r="D14" s="93">
        <f>'Bajra U'!C29</f>
        <v>7480.5949999999993</v>
      </c>
      <c r="E14" s="93">
        <f>'Bajra U'!D29</f>
        <v>7105.0329999999994</v>
      </c>
      <c r="F14" s="93">
        <f>'Bajra U'!E29</f>
        <v>7542.683</v>
      </c>
      <c r="G14" s="93">
        <f>'Bajra U'!F29</f>
        <v>7652.098</v>
      </c>
      <c r="H14" s="93">
        <f>'Bajra U'!G29</f>
        <v>9729.8636000000006</v>
      </c>
      <c r="I14" s="93">
        <f>'Bajra U'!H29</f>
        <v>9208.8465980000001</v>
      </c>
      <c r="J14" s="93">
        <f>'Bajra U'!I29</f>
        <v>8664.1268629999995</v>
      </c>
      <c r="K14" s="93">
        <f>'Bajra U'!J29</f>
        <v>10362.598849</v>
      </c>
      <c r="L14" s="93">
        <f>'Bajra U'!K29</f>
        <v>10863.173219999999</v>
      </c>
      <c r="M14" s="107">
        <f t="shared" si="1"/>
        <v>1304.5333908247785</v>
      </c>
      <c r="N14" s="107">
        <f t="shared" si="2"/>
        <v>1231.0313013871223</v>
      </c>
      <c r="O14" s="107">
        <f t="shared" si="3"/>
        <v>1219.4351332358344</v>
      </c>
      <c r="P14" s="107">
        <f t="shared" si="4"/>
        <v>1373.861111357855</v>
      </c>
      <c r="Q14" s="107">
        <f t="shared" si="5"/>
        <v>1419.6333110213695</v>
      </c>
      <c r="R14" s="72"/>
      <c r="S14" s="72"/>
    </row>
    <row r="15" spans="1:20" ht="23.25" customHeight="1" x14ac:dyDescent="0.2">
      <c r="A15" s="340" t="s">
        <v>73</v>
      </c>
      <c r="B15" s="204" t="s">
        <v>8</v>
      </c>
      <c r="C15" s="76">
        <f>'Maize  U'!C90</f>
        <v>7841.6924999999992</v>
      </c>
      <c r="D15" s="76">
        <f>'Maize  U'!D90</f>
        <v>7433.6882999999989</v>
      </c>
      <c r="E15" s="76">
        <f>'Maize  U'!E90</f>
        <v>7330.5684300000003</v>
      </c>
      <c r="F15" s="76">
        <f>'Maize  U'!F90</f>
        <v>7552.9167999999991</v>
      </c>
      <c r="G15" s="76">
        <f>'Maize  U'!G90</f>
        <v>7755.4360000000015</v>
      </c>
      <c r="H15" s="76">
        <f>'Maize  U'!H90</f>
        <v>18919.204399999995</v>
      </c>
      <c r="I15" s="76">
        <f>'Maize  U'!I90</f>
        <v>20118.423173500003</v>
      </c>
      <c r="J15" s="76">
        <f>'Maize  U'!J90</f>
        <v>19413.598606300002</v>
      </c>
      <c r="K15" s="76">
        <f>'Maize  U'!K90</f>
        <v>19429.326590400004</v>
      </c>
      <c r="L15" s="76">
        <f>'Maize  U'!L90</f>
        <v>21555.084993999997</v>
      </c>
      <c r="M15" s="106">
        <f t="shared" si="1"/>
        <v>2412.6429849168399</v>
      </c>
      <c r="N15" s="106">
        <f t="shared" si="2"/>
        <v>2706.3850892833379</v>
      </c>
      <c r="O15" s="106">
        <f t="shared" si="3"/>
        <v>2648.3073982163214</v>
      </c>
      <c r="P15" s="106">
        <f t="shared" si="4"/>
        <v>2572.4269318576376</v>
      </c>
      <c r="Q15" s="106">
        <f t="shared" si="5"/>
        <v>2779.3517984030805</v>
      </c>
      <c r="R15" s="36"/>
      <c r="S15" s="36"/>
    </row>
    <row r="16" spans="1:20" ht="23.25" customHeight="1" x14ac:dyDescent="0.2">
      <c r="A16" s="340"/>
      <c r="B16" s="187" t="s">
        <v>9</v>
      </c>
      <c r="C16" s="76">
        <f>'Maize  U'!C91</f>
        <v>1791.5079999999998</v>
      </c>
      <c r="D16" s="76">
        <f>'Maize  U'!D91</f>
        <v>1946.3822000000002</v>
      </c>
      <c r="E16" s="76">
        <f>'Maize  U'!E91</f>
        <v>1696.5613000000001</v>
      </c>
      <c r="F16" s="76">
        <f>'Maize  U'!F91</f>
        <v>2016.1620000000003</v>
      </c>
      <c r="G16" s="76">
        <f>'Maize  U'!G91</f>
        <v>2136.5250000000001</v>
      </c>
      <c r="H16" s="76">
        <f>'Maize  U'!H91</f>
        <v>6980.66194</v>
      </c>
      <c r="I16" s="76">
        <f>'Maize  U'!I91</f>
        <v>8634.4990849999995</v>
      </c>
      <c r="J16" s="76">
        <f>'Maize  U'!J91</f>
        <v>8301.5041904500013</v>
      </c>
      <c r="K16" s="76">
        <f>'Maize  U'!K91</f>
        <v>9336.6402859999962</v>
      </c>
      <c r="L16" s="76">
        <f>'Maize  U'!L91</f>
        <v>10091.828193999998</v>
      </c>
      <c r="M16" s="106">
        <f t="shared" si="1"/>
        <v>3896.528477684722</v>
      </c>
      <c r="N16" s="106">
        <f t="shared" si="2"/>
        <v>4436.1786112717218</v>
      </c>
      <c r="O16" s="106">
        <f t="shared" si="3"/>
        <v>4893.1354207183676</v>
      </c>
      <c r="P16" s="106">
        <f t="shared" si="4"/>
        <v>4630.8978574142329</v>
      </c>
      <c r="Q16" s="106">
        <f t="shared" si="5"/>
        <v>4723.4777004715588</v>
      </c>
      <c r="R16" s="36"/>
      <c r="S16" s="36"/>
    </row>
    <row r="17" spans="1:19" s="8" customFormat="1" ht="23.25" customHeight="1" x14ac:dyDescent="0.2">
      <c r="A17" s="340"/>
      <c r="B17" s="218" t="s">
        <v>10</v>
      </c>
      <c r="C17" s="93">
        <f>C15+C16</f>
        <v>9633.200499999999</v>
      </c>
      <c r="D17" s="93">
        <f t="shared" ref="D17:G17" si="16">D15+D16</f>
        <v>9380.0704999999998</v>
      </c>
      <c r="E17" s="93">
        <f t="shared" si="16"/>
        <v>9027.1297300000006</v>
      </c>
      <c r="F17" s="93">
        <f t="shared" si="16"/>
        <v>9569.0787999999993</v>
      </c>
      <c r="G17" s="93">
        <f t="shared" si="16"/>
        <v>9891.9610000000011</v>
      </c>
      <c r="H17" s="93">
        <f>H15+H16</f>
        <v>25899.866339999993</v>
      </c>
      <c r="I17" s="93">
        <f t="shared" ref="I17" si="17">I15+I16</f>
        <v>28752.922258500002</v>
      </c>
      <c r="J17" s="93">
        <f t="shared" ref="J17" si="18">J15+J16</f>
        <v>27715.102796750005</v>
      </c>
      <c r="K17" s="93">
        <f t="shared" ref="K17" si="19">K15+K16</f>
        <v>28765.966876400002</v>
      </c>
      <c r="L17" s="93">
        <f t="shared" ref="L17" si="20">L15+L16</f>
        <v>31646.913187999995</v>
      </c>
      <c r="M17" s="107">
        <f t="shared" si="1"/>
        <v>2688.6045131106735</v>
      </c>
      <c r="N17" s="107">
        <f t="shared" si="2"/>
        <v>3065.3204854377163</v>
      </c>
      <c r="O17" s="107">
        <f t="shared" si="3"/>
        <v>3070.2010080395735</v>
      </c>
      <c r="P17" s="107">
        <f t="shared" si="4"/>
        <v>3006.1375266760269</v>
      </c>
      <c r="Q17" s="107">
        <f t="shared" si="5"/>
        <v>3199.2557580847715</v>
      </c>
      <c r="R17" s="36"/>
      <c r="S17" s="36"/>
    </row>
    <row r="18" spans="1:19" ht="23.25" customHeight="1" x14ac:dyDescent="0.2">
      <c r="A18" s="218" t="s">
        <v>74</v>
      </c>
      <c r="B18" s="204" t="s">
        <v>8</v>
      </c>
      <c r="C18" s="76">
        <f>'Ragi U'!B28</f>
        <v>1016.1130000000002</v>
      </c>
      <c r="D18" s="76">
        <f>'Ragi U'!C28</f>
        <v>1194.2925</v>
      </c>
      <c r="E18" s="76">
        <f>'Ragi U'!D28</f>
        <v>890.93970000000002</v>
      </c>
      <c r="F18" s="76">
        <f>'Ragi U'!E28</f>
        <v>1004.4559999999999</v>
      </c>
      <c r="G18" s="76">
        <f>'Ragi U'!F28</f>
        <v>1159.3950000000002</v>
      </c>
      <c r="H18" s="76">
        <f>'Ragi U'!G28</f>
        <v>1385.1102000000001</v>
      </c>
      <c r="I18" s="76">
        <f>'Ragi U'!H28</f>
        <v>1985.2357129999996</v>
      </c>
      <c r="J18" s="76">
        <f>'Ragi U'!I28</f>
        <v>1238.7047755999999</v>
      </c>
      <c r="K18" s="76">
        <f>'Ragi U'!J28</f>
        <v>1755.056597</v>
      </c>
      <c r="L18" s="76">
        <f>'Ragi U'!K28</f>
        <v>1998.3607650000004</v>
      </c>
      <c r="M18" s="106">
        <f t="shared" si="1"/>
        <v>1363.1458312215275</v>
      </c>
      <c r="N18" s="106">
        <f t="shared" si="2"/>
        <v>1662.2692623456981</v>
      </c>
      <c r="O18" s="106">
        <f t="shared" si="3"/>
        <v>1390.3351434446122</v>
      </c>
      <c r="P18" s="106">
        <f t="shared" si="4"/>
        <v>1747.2707585001237</v>
      </c>
      <c r="Q18" s="106">
        <f t="shared" si="5"/>
        <v>1723.6237563556856</v>
      </c>
      <c r="R18" s="36"/>
      <c r="S18" s="36"/>
    </row>
    <row r="19" spans="1:19" ht="23.25" customHeight="1" x14ac:dyDescent="0.2">
      <c r="A19" s="218" t="s">
        <v>75</v>
      </c>
      <c r="B19" s="204" t="s">
        <v>8</v>
      </c>
      <c r="C19" s="76">
        <f>'Small millets U'!B35</f>
        <v>619.1099999999999</v>
      </c>
      <c r="D19" s="76">
        <f>'Small millets U'!C35</f>
        <v>546.27250000000004</v>
      </c>
      <c r="E19" s="76">
        <f>'Small millets U'!D35</f>
        <v>453.75049999999987</v>
      </c>
      <c r="F19" s="76">
        <f>'Small millets U'!E35</f>
        <v>458.35400000000004</v>
      </c>
      <c r="G19" s="76">
        <f>'Small millets U'!F35</f>
        <v>444.04900000000004</v>
      </c>
      <c r="H19" s="76">
        <f>'Small millets U'!G35</f>
        <v>441.94246499999991</v>
      </c>
      <c r="I19" s="76">
        <f>'Small millets U'!H35</f>
        <v>438.98612050000003</v>
      </c>
      <c r="J19" s="76">
        <f>'Small millets U'!I35</f>
        <v>332.9971139999999</v>
      </c>
      <c r="K19" s="76">
        <f>'Small millets U'!J35</f>
        <v>370.81258300000007</v>
      </c>
      <c r="L19" s="76">
        <f>'Small millets U'!K35</f>
        <v>346.94559399999997</v>
      </c>
      <c r="M19" s="106">
        <f t="shared" si="1"/>
        <v>713.83512622958756</v>
      </c>
      <c r="N19" s="106">
        <f t="shared" si="2"/>
        <v>803.60281819055513</v>
      </c>
      <c r="O19" s="106">
        <f t="shared" si="3"/>
        <v>733.87712851005119</v>
      </c>
      <c r="P19" s="106">
        <f t="shared" si="4"/>
        <v>809.00915667802622</v>
      </c>
      <c r="Q19" s="106">
        <f t="shared" si="5"/>
        <v>781.32276843321335</v>
      </c>
      <c r="R19" s="36"/>
      <c r="S19" s="36"/>
    </row>
    <row r="20" spans="1:19" ht="23.25" customHeight="1" x14ac:dyDescent="0.2">
      <c r="A20" s="218" t="s">
        <v>76</v>
      </c>
      <c r="B20" s="204" t="s">
        <v>9</v>
      </c>
      <c r="C20" s="76">
        <f>'Barley U'!B26</f>
        <v>656.25099999999998</v>
      </c>
      <c r="D20" s="76">
        <f>'Barley U'!C26</f>
        <v>660.79699999999991</v>
      </c>
      <c r="E20" s="76">
        <f>'Barley U'!D26</f>
        <v>575.596</v>
      </c>
      <c r="F20" s="76">
        <f>'Barley U'!E26</f>
        <v>589.56999999999994</v>
      </c>
      <c r="G20" s="76">
        <f>'Barley U'!F26</f>
        <v>592.46799999999996</v>
      </c>
      <c r="H20" s="76">
        <f>'Barley U'!G26</f>
        <v>1747.4547320000001</v>
      </c>
      <c r="I20" s="76">
        <f>'Barley U'!H26</f>
        <v>1780.8130900000001</v>
      </c>
      <c r="J20" s="76">
        <f>'Barley U'!I26</f>
        <v>1633.0650109999999</v>
      </c>
      <c r="K20" s="76">
        <f>'Barley U'!J26</f>
        <v>1721.833044</v>
      </c>
      <c r="L20" s="76">
        <f>'Barley U'!K26</f>
        <v>1656.3390858310001</v>
      </c>
      <c r="M20" s="106">
        <f t="shared" si="1"/>
        <v>2662.7841054718397</v>
      </c>
      <c r="N20" s="106">
        <f t="shared" si="2"/>
        <v>2694.9472984895519</v>
      </c>
      <c r="O20" s="106">
        <f t="shared" si="3"/>
        <v>2837.1722718712426</v>
      </c>
      <c r="P20" s="106">
        <f t="shared" si="4"/>
        <v>2920.4895839340538</v>
      </c>
      <c r="Q20" s="106">
        <f t="shared" si="5"/>
        <v>2795.659994853731</v>
      </c>
      <c r="R20" s="36"/>
      <c r="S20" s="36"/>
    </row>
    <row r="21" spans="1:19" ht="23.25" customHeight="1" x14ac:dyDescent="0.2">
      <c r="A21" s="340" t="s">
        <v>77</v>
      </c>
      <c r="B21" s="204" t="s">
        <v>8</v>
      </c>
      <c r="C21" s="76">
        <f>'Kharif CC U'!B44</f>
        <v>18994.797500000004</v>
      </c>
      <c r="D21" s="76">
        <f>'Kharif CC U'!C44</f>
        <v>18714.718299999997</v>
      </c>
      <c r="E21" s="76">
        <f>'Kharif CC U'!D44</f>
        <v>17534.985629999996</v>
      </c>
      <c r="F21" s="76">
        <f>'Kharif CC U'!E44</f>
        <v>18313.581799999996</v>
      </c>
      <c r="G21" s="76">
        <f>'Kharif CC U'!F44</f>
        <v>18653.233</v>
      </c>
      <c r="H21" s="76">
        <f>'Kharif CC U'!G44</f>
        <v>32440.478664999995</v>
      </c>
      <c r="I21" s="76">
        <f>'Kharif CC U'!H44</f>
        <v>34025.299587000001</v>
      </c>
      <c r="J21" s="76">
        <f>'Kharif CC U'!I44</f>
        <v>31384.471962900003</v>
      </c>
      <c r="K21" s="76">
        <f>'Kharif CC U'!J44</f>
        <v>33614.764972400008</v>
      </c>
      <c r="L21" s="76">
        <f>'Kharif CC U'!K44</f>
        <v>36749.90065499999</v>
      </c>
      <c r="M21" s="106">
        <f t="shared" si="1"/>
        <v>1707.8612533247583</v>
      </c>
      <c r="N21" s="106">
        <f t="shared" si="2"/>
        <v>1818.1037535040005</v>
      </c>
      <c r="O21" s="106">
        <f t="shared" si="3"/>
        <v>1789.8202271238479</v>
      </c>
      <c r="P21" s="106">
        <f t="shared" si="4"/>
        <v>1835.5101333808996</v>
      </c>
      <c r="Q21" s="106">
        <f t="shared" si="5"/>
        <v>1970.1625265175207</v>
      </c>
      <c r="R21" s="36"/>
      <c r="S21" s="36"/>
    </row>
    <row r="22" spans="1:19" ht="23.25" customHeight="1" x14ac:dyDescent="0.2">
      <c r="A22" s="340"/>
      <c r="B22" s="204" t="s">
        <v>9</v>
      </c>
      <c r="C22" s="76">
        <f>'Rabi CC U'!B37</f>
        <v>6012.799</v>
      </c>
      <c r="D22" s="76">
        <f>'Rabi CC U'!C37</f>
        <v>5571.7591999999995</v>
      </c>
      <c r="E22" s="76">
        <f>'Rabi CC U'!D37</f>
        <v>4610.7482999999993</v>
      </c>
      <c r="F22" s="76">
        <f>'Rabi CC U'!E37</f>
        <v>5674.317</v>
      </c>
      <c r="G22" s="76">
        <f>'Rabi CC U'!F37</f>
        <v>5464.6120000000001</v>
      </c>
      <c r="H22" s="76">
        <f>'Rabi CC U'!G37</f>
        <v>11331.659872</v>
      </c>
      <c r="I22" s="76">
        <f>'Rabi CC U'!H37</f>
        <v>12944.889094999999</v>
      </c>
      <c r="J22" s="76">
        <f>'Rabi CC U'!I37</f>
        <v>11674.933728450002</v>
      </c>
      <c r="K22" s="76">
        <f>'Rabi CC U'!J37</f>
        <v>14133.608004999995</v>
      </c>
      <c r="L22" s="76">
        <f>'Rabi CC U'!K37</f>
        <v>14573.901725830998</v>
      </c>
      <c r="M22" s="106">
        <f t="shared" si="1"/>
        <v>1884.589834451476</v>
      </c>
      <c r="N22" s="106">
        <f t="shared" si="2"/>
        <v>2323.303759250759</v>
      </c>
      <c r="O22" s="106">
        <f t="shared" si="3"/>
        <v>2532.1125701982046</v>
      </c>
      <c r="P22" s="106">
        <f t="shared" si="4"/>
        <v>2490.8033874385228</v>
      </c>
      <c r="Q22" s="106">
        <f t="shared" si="5"/>
        <v>2666.9600194544455</v>
      </c>
      <c r="R22" s="36"/>
      <c r="S22" s="36"/>
    </row>
    <row r="23" spans="1:19" s="8" customFormat="1" ht="23.25" customHeight="1" x14ac:dyDescent="0.2">
      <c r="A23" s="340"/>
      <c r="B23" s="218" t="s">
        <v>10</v>
      </c>
      <c r="C23" s="93">
        <f>C21+C22</f>
        <v>25007.596500000003</v>
      </c>
      <c r="D23" s="93">
        <f t="shared" ref="D23:G23" si="21">D21+D22</f>
        <v>24286.477499999997</v>
      </c>
      <c r="E23" s="93">
        <f t="shared" si="21"/>
        <v>22145.733929999995</v>
      </c>
      <c r="F23" s="93">
        <f t="shared" si="21"/>
        <v>23987.898799999995</v>
      </c>
      <c r="G23" s="93">
        <f t="shared" si="21"/>
        <v>24117.845000000001</v>
      </c>
      <c r="H23" s="93">
        <f>H21+H22</f>
        <v>43772.138536999992</v>
      </c>
      <c r="I23" s="93">
        <f t="shared" ref="I23" si="22">I21+I22</f>
        <v>46970.188682</v>
      </c>
      <c r="J23" s="93">
        <f t="shared" ref="J23" si="23">J21+J22</f>
        <v>43059.405691350003</v>
      </c>
      <c r="K23" s="93">
        <f t="shared" ref="K23" si="24">K21+K22</f>
        <v>47748.372977400002</v>
      </c>
      <c r="L23" s="93">
        <f t="shared" ref="L23" si="25">L21+L22</f>
        <v>51323.802380830988</v>
      </c>
      <c r="M23" s="107">
        <f t="shared" si="1"/>
        <v>1750.3536790110952</v>
      </c>
      <c r="N23" s="107">
        <f t="shared" si="2"/>
        <v>1934.0058138114102</v>
      </c>
      <c r="O23" s="107">
        <f t="shared" si="3"/>
        <v>1944.3657106806943</v>
      </c>
      <c r="P23" s="107">
        <f t="shared" si="4"/>
        <v>1990.5191936777726</v>
      </c>
      <c r="Q23" s="107">
        <f t="shared" si="5"/>
        <v>2128.0426331967465</v>
      </c>
      <c r="R23" s="72"/>
      <c r="S23" s="72"/>
    </row>
    <row r="24" spans="1:19" ht="23.25" customHeight="1" x14ac:dyDescent="0.2">
      <c r="A24" s="340" t="s">
        <v>78</v>
      </c>
      <c r="B24" s="204" t="s">
        <v>8</v>
      </c>
      <c r="C24" s="76">
        <f>'Kharif-Cereals U'!B44</f>
        <v>58840.569799999997</v>
      </c>
      <c r="D24" s="76">
        <f>'Kharif-Cereals U'!C44</f>
        <v>58063.98444</v>
      </c>
      <c r="E24" s="76">
        <f>'Kharif-Cereals U'!D44</f>
        <v>57499.339817139007</v>
      </c>
      <c r="F24" s="76">
        <f>'Kharif-Cereals U'!E44</f>
        <v>57326.542019553599</v>
      </c>
      <c r="G24" s="76">
        <f>'Kharif-Cereals U'!F44</f>
        <v>59011.20571868417</v>
      </c>
      <c r="H24" s="76">
        <f>'Kharif-Cereals U'!G44</f>
        <v>128743.27080191666</v>
      </c>
      <c r="I24" s="76">
        <f>'Kharif-Cereals U'!H44</f>
        <v>131160.46238942671</v>
      </c>
      <c r="J24" s="76">
        <f>'Kharif-Cereals U'!I44</f>
        <v>133424.46462236485</v>
      </c>
      <c r="K24" s="76">
        <f>'Kharif-Cereals U'!J44</f>
        <v>135891.27090921224</v>
      </c>
      <c r="L24" s="76">
        <f>'Kharif-Cereals U'!K44</f>
        <v>141958.03667849436</v>
      </c>
      <c r="M24" s="106">
        <f t="shared" si="1"/>
        <v>2188.0017688393741</v>
      </c>
      <c r="N24" s="106">
        <f t="shared" si="2"/>
        <v>2258.8953144433353</v>
      </c>
      <c r="O24" s="106">
        <f t="shared" si="3"/>
        <v>2320.4521138274808</v>
      </c>
      <c r="P24" s="106">
        <f t="shared" si="4"/>
        <v>2370.477376131651</v>
      </c>
      <c r="Q24" s="106">
        <f t="shared" si="5"/>
        <v>2405.61152665192</v>
      </c>
      <c r="R24" s="36"/>
      <c r="S24" s="36"/>
    </row>
    <row r="25" spans="1:19" ht="23.25" customHeight="1" x14ac:dyDescent="0.2">
      <c r="A25" s="340"/>
      <c r="B25" s="204" t="s">
        <v>9</v>
      </c>
      <c r="C25" s="76">
        <f>'Rabi Cereals U'!B42</f>
        <v>40945.563000000002</v>
      </c>
      <c r="D25" s="76">
        <f>'Rabi Cereals U'!C42</f>
        <v>39647.143799999991</v>
      </c>
      <c r="E25" s="76">
        <f>'Rabi Cereals U'!D42</f>
        <v>38121.625722860983</v>
      </c>
      <c r="F25" s="76">
        <f>'Rabi Cereals U'!E42</f>
        <v>41680.670980446397</v>
      </c>
      <c r="G25" s="76">
        <f>'Rabi Cereals U'!F42</f>
        <v>42000.484281315839</v>
      </c>
      <c r="H25" s="76">
        <f>'Rabi Cereals U'!G42</f>
        <v>123237.53217033335</v>
      </c>
      <c r="I25" s="76">
        <f>'Rabi Cereals U'!H42</f>
        <v>128436.85502119802</v>
      </c>
      <c r="J25" s="76">
        <f>'Rabi Cereals U'!I42</f>
        <v>129708.99370212453</v>
      </c>
      <c r="K25" s="76">
        <f>'Rabi Cereals U'!J42</f>
        <v>138587.93586111051</v>
      </c>
      <c r="L25" s="76">
        <f>'Rabi Cereals U'!K42</f>
        <v>143320.5798460315</v>
      </c>
      <c r="M25" s="106">
        <f t="shared" si="1"/>
        <v>3009.7896607340172</v>
      </c>
      <c r="N25" s="106">
        <f t="shared" si="2"/>
        <v>3239.4983020491386</v>
      </c>
      <c r="O25" s="106">
        <f t="shared" si="3"/>
        <v>3402.5042542805286</v>
      </c>
      <c r="P25" s="106">
        <f t="shared" si="4"/>
        <v>3324.9929188070437</v>
      </c>
      <c r="Q25" s="106">
        <f t="shared" si="5"/>
        <v>3412.3554120491058</v>
      </c>
      <c r="R25" s="36"/>
      <c r="S25" s="36"/>
    </row>
    <row r="26" spans="1:19" s="8" customFormat="1" ht="23.25" customHeight="1" x14ac:dyDescent="0.2">
      <c r="A26" s="340"/>
      <c r="B26" s="218" t="s">
        <v>10</v>
      </c>
      <c r="C26" s="93">
        <f>C24+C25</f>
        <v>99786.132799999992</v>
      </c>
      <c r="D26" s="93">
        <f t="shared" ref="D26:G26" si="26">D24+D25</f>
        <v>97711.128239999991</v>
      </c>
      <c r="E26" s="93">
        <f t="shared" si="26"/>
        <v>95620.96553999999</v>
      </c>
      <c r="F26" s="93">
        <f t="shared" si="26"/>
        <v>99007.212999999989</v>
      </c>
      <c r="G26" s="93">
        <f t="shared" si="26"/>
        <v>101011.69</v>
      </c>
      <c r="H26" s="93">
        <f>H24+H25</f>
        <v>251980.80297225001</v>
      </c>
      <c r="I26" s="93">
        <f t="shared" ref="I26" si="27">I24+I25</f>
        <v>259597.31741062473</v>
      </c>
      <c r="J26" s="93">
        <f t="shared" ref="J26" si="28">J24+J25</f>
        <v>263133.45832448936</v>
      </c>
      <c r="K26" s="93">
        <f t="shared" ref="K26" si="29">K24+K25</f>
        <v>274479.20677032275</v>
      </c>
      <c r="L26" s="93">
        <f t="shared" ref="L26" si="30">L24+L25</f>
        <v>285278.61652452586</v>
      </c>
      <c r="M26" s="107">
        <f t="shared" si="1"/>
        <v>2525.2086226980232</v>
      </c>
      <c r="N26" s="107">
        <f t="shared" si="2"/>
        <v>2656.7835423309893</v>
      </c>
      <c r="O26" s="107">
        <f t="shared" si="3"/>
        <v>2751.8385412497828</v>
      </c>
      <c r="P26" s="107">
        <f t="shared" si="4"/>
        <v>2772.315253135373</v>
      </c>
      <c r="Q26" s="107">
        <f t="shared" si="5"/>
        <v>2824.2138758843244</v>
      </c>
      <c r="R26" s="72"/>
      <c r="S26" s="72"/>
    </row>
    <row r="27" spans="1:19" ht="23.25" customHeight="1" x14ac:dyDescent="0.2">
      <c r="A27" s="218" t="s">
        <v>79</v>
      </c>
      <c r="B27" s="218" t="s">
        <v>8</v>
      </c>
      <c r="C27" s="93">
        <f>'Tur U'!B37</f>
        <v>5337.8860000000013</v>
      </c>
      <c r="D27" s="93">
        <f>'Tur U'!C37</f>
        <v>4438.3059999999996</v>
      </c>
      <c r="E27" s="93">
        <f>'Tur U'!D37</f>
        <v>4549.5418</v>
      </c>
      <c r="F27" s="93">
        <f>'Tur U'!E37</f>
        <v>4532.47</v>
      </c>
      <c r="G27" s="93">
        <f>'Tur U'!F37</f>
        <v>4724.4450999999999</v>
      </c>
      <c r="H27" s="93">
        <f>'Tur U'!G37</f>
        <v>4873.2405399999998</v>
      </c>
      <c r="I27" s="93">
        <f>'Tur U'!H37</f>
        <v>4289.8223730000018</v>
      </c>
      <c r="J27" s="93">
        <f>'Tur U'!I37</f>
        <v>3315.4423622000004</v>
      </c>
      <c r="K27" s="93">
        <f>'Tur U'!J37</f>
        <v>3891.7251670000001</v>
      </c>
      <c r="L27" s="93">
        <f>'Tur U'!K37</f>
        <v>4315.8972464000008</v>
      </c>
      <c r="M27" s="107">
        <f t="shared" si="1"/>
        <v>912.95328150507498</v>
      </c>
      <c r="N27" s="107">
        <f t="shared" si="2"/>
        <v>966.54497752070324</v>
      </c>
      <c r="O27" s="107">
        <f t="shared" si="3"/>
        <v>728.74203775861565</v>
      </c>
      <c r="P27" s="107">
        <f t="shared" si="4"/>
        <v>858.6323057847045</v>
      </c>
      <c r="Q27" s="107">
        <f t="shared" si="5"/>
        <v>913.52469021176705</v>
      </c>
      <c r="R27" s="36"/>
      <c r="S27" s="12"/>
    </row>
    <row r="28" spans="1:19" ht="23.25" customHeight="1" x14ac:dyDescent="0.2">
      <c r="A28" s="218" t="s">
        <v>80</v>
      </c>
      <c r="B28" s="218" t="s">
        <v>9</v>
      </c>
      <c r="C28" s="93">
        <f>'Gram U'!B35</f>
        <v>9626.16</v>
      </c>
      <c r="D28" s="93">
        <f>'Gram U'!C35</f>
        <v>10560.429000000002</v>
      </c>
      <c r="E28" s="93">
        <f>'Gram U'!D35</f>
        <v>9547.0308999999997</v>
      </c>
      <c r="F28" s="93">
        <f>'Gram U'!E35</f>
        <v>9698.748999999998</v>
      </c>
      <c r="G28" s="93">
        <f>'Gram U'!F35</f>
        <v>9995.9209999999985</v>
      </c>
      <c r="H28" s="93">
        <f>'Gram U'!G35</f>
        <v>9377.5574079999988</v>
      </c>
      <c r="I28" s="93">
        <f>'Gram U'!H35</f>
        <v>11379.189123999997</v>
      </c>
      <c r="J28" s="93">
        <f>'Gram U'!I35</f>
        <v>9937.9935440000027</v>
      </c>
      <c r="K28" s="93">
        <f>'Gram U'!J35</f>
        <v>11078.49518</v>
      </c>
      <c r="L28" s="93">
        <f>'Gram U'!K35</f>
        <v>11911.177229999999</v>
      </c>
      <c r="M28" s="106">
        <f t="shared" si="1"/>
        <v>974.17427177607669</v>
      </c>
      <c r="N28" s="106">
        <f t="shared" si="2"/>
        <v>1077.5309529565509</v>
      </c>
      <c r="O28" s="106">
        <f t="shared" si="3"/>
        <v>1040.9512285123119</v>
      </c>
      <c r="P28" s="106">
        <f t="shared" si="4"/>
        <v>1142.2602213955638</v>
      </c>
      <c r="Q28" s="106">
        <f t="shared" si="5"/>
        <v>1191.6037781811201</v>
      </c>
      <c r="R28" s="36"/>
      <c r="S28" s="12"/>
    </row>
    <row r="29" spans="1:19" ht="23.25" customHeight="1" x14ac:dyDescent="0.2">
      <c r="A29" s="345" t="s">
        <v>118</v>
      </c>
      <c r="B29" s="204" t="s">
        <v>8</v>
      </c>
      <c r="C29" s="76">
        <f>Urad!C80</f>
        <v>3478.2570000000001</v>
      </c>
      <c r="D29" s="76">
        <f>Urad!D80</f>
        <v>4350.4869999999992</v>
      </c>
      <c r="E29" s="76">
        <f>Urad!E80</f>
        <v>4725.9211999999998</v>
      </c>
      <c r="F29" s="76">
        <f>Urad!F80</f>
        <v>3701.683</v>
      </c>
      <c r="G29" s="76">
        <f>Urad!G80</f>
        <v>3212.9549999999995</v>
      </c>
      <c r="H29" s="76">
        <f>Urad!H80</f>
        <v>2176.4180000000001</v>
      </c>
      <c r="I29" s="76">
        <f>Urad!I80</f>
        <v>2751.2416120000012</v>
      </c>
      <c r="J29" s="76">
        <f>Urad!J80</f>
        <v>2362.5676139999996</v>
      </c>
      <c r="K29" s="76">
        <f>Urad!K80</f>
        <v>1329.638823</v>
      </c>
      <c r="L29" s="76">
        <f>Urad!L80</f>
        <v>1506.5869109999996</v>
      </c>
      <c r="M29" s="106">
        <f t="shared" si="1"/>
        <v>625.72087111446922</v>
      </c>
      <c r="N29" s="106">
        <f t="shared" si="2"/>
        <v>632.39853653165767</v>
      </c>
      <c r="O29" s="106">
        <f t="shared" si="3"/>
        <v>499.91684457201688</v>
      </c>
      <c r="P29" s="106">
        <f t="shared" si="4"/>
        <v>359.19845729631629</v>
      </c>
      <c r="Q29" s="106">
        <f t="shared" si="5"/>
        <v>468.91005663011146</v>
      </c>
      <c r="R29" s="36"/>
      <c r="S29" s="12"/>
    </row>
    <row r="30" spans="1:19" ht="23.25" customHeight="1" x14ac:dyDescent="0.2">
      <c r="A30" s="345"/>
      <c r="B30" s="204" t="s">
        <v>9</v>
      </c>
      <c r="C30" s="76">
        <f>Urad!C81</f>
        <v>999.9</v>
      </c>
      <c r="D30" s="76">
        <f>Urad!D81</f>
        <v>928.60180000000014</v>
      </c>
      <c r="E30" s="76">
        <f>Urad!E81</f>
        <v>876.56099999999992</v>
      </c>
      <c r="F30" s="76">
        <f>Urad!F81</f>
        <v>831.65989999999999</v>
      </c>
      <c r="G30" s="76">
        <f>Urad!G81</f>
        <v>929.54959999999994</v>
      </c>
      <c r="H30" s="76">
        <f>Urad!H81</f>
        <v>655.47369800000013</v>
      </c>
      <c r="I30" s="76">
        <f>Urad!I81</f>
        <v>741.18198260000008</v>
      </c>
      <c r="J30" s="76">
        <f>Urad!J81</f>
        <v>697.436691</v>
      </c>
      <c r="K30" s="76">
        <f>Urad!K81</f>
        <v>751.63635070000009</v>
      </c>
      <c r="L30" s="76">
        <f>Urad!L81</f>
        <v>722.99188249999997</v>
      </c>
      <c r="M30" s="106">
        <f t="shared" si="1"/>
        <v>655.53925192519273</v>
      </c>
      <c r="N30" s="106">
        <f t="shared" si="2"/>
        <v>798.16987496685874</v>
      </c>
      <c r="O30" s="106">
        <f t="shared" si="3"/>
        <v>795.65106250449207</v>
      </c>
      <c r="P30" s="106">
        <f t="shared" si="4"/>
        <v>903.77851655466395</v>
      </c>
      <c r="Q30" s="106">
        <f t="shared" si="5"/>
        <v>777.78730957444338</v>
      </c>
      <c r="R30" s="36"/>
      <c r="S30" s="12"/>
    </row>
    <row r="31" spans="1:19" ht="23.25" customHeight="1" x14ac:dyDescent="0.2">
      <c r="A31" s="345"/>
      <c r="B31" s="218" t="s">
        <v>10</v>
      </c>
      <c r="C31" s="93">
        <f>C29+C30</f>
        <v>4478.1570000000002</v>
      </c>
      <c r="D31" s="93">
        <f t="shared" ref="D31:G31" si="31">D29+D30</f>
        <v>5279.0887999999995</v>
      </c>
      <c r="E31" s="93">
        <f t="shared" si="31"/>
        <v>5602.4821999999995</v>
      </c>
      <c r="F31" s="93">
        <f t="shared" si="31"/>
        <v>4533.3428999999996</v>
      </c>
      <c r="G31" s="93">
        <f t="shared" si="31"/>
        <v>4142.5045999999993</v>
      </c>
      <c r="H31" s="93">
        <f>H29+H30</f>
        <v>2831.8916980000004</v>
      </c>
      <c r="I31" s="93">
        <f t="shared" ref="I31" si="32">I29+I30</f>
        <v>3492.4235946000013</v>
      </c>
      <c r="J31" s="93">
        <f t="shared" ref="J31" si="33">J29+J30</f>
        <v>3060.0043049999995</v>
      </c>
      <c r="K31" s="93">
        <f t="shared" ref="K31" si="34">K29+K30</f>
        <v>2081.2751736999999</v>
      </c>
      <c r="L31" s="93">
        <f t="shared" ref="L31" si="35">L29+L30</f>
        <v>2229.5787934999998</v>
      </c>
      <c r="M31" s="107">
        <f t="shared" si="1"/>
        <v>632.37883307798279</v>
      </c>
      <c r="N31" s="107">
        <f t="shared" si="2"/>
        <v>661.55803149210169</v>
      </c>
      <c r="O31" s="107">
        <f t="shared" si="3"/>
        <v>546.18724268325207</v>
      </c>
      <c r="P31" s="107">
        <f t="shared" si="4"/>
        <v>459.10384888378945</v>
      </c>
      <c r="Q31" s="107">
        <f t="shared" si="5"/>
        <v>538.219992199888</v>
      </c>
      <c r="R31" s="36"/>
      <c r="S31" s="12"/>
    </row>
    <row r="32" spans="1:19" ht="23.25" customHeight="1" x14ac:dyDescent="0.2">
      <c r="A32" s="345" t="s">
        <v>117</v>
      </c>
      <c r="B32" s="204" t="s">
        <v>8</v>
      </c>
      <c r="C32" s="76">
        <f>Moong!C75</f>
        <v>3369.5879999999993</v>
      </c>
      <c r="D32" s="76">
        <f>Moong!D75</f>
        <v>3259.0839999999998</v>
      </c>
      <c r="E32" s="76">
        <f>Moong!E75</f>
        <v>3832.0119999999997</v>
      </c>
      <c r="F32" s="76">
        <f>Moong!F75</f>
        <v>3521.3872000000006</v>
      </c>
      <c r="G32" s="76">
        <f>Moong!G75</f>
        <v>3822.3949999999995</v>
      </c>
      <c r="H32" s="76">
        <f>Moong!H75</f>
        <v>1643.1840000000002</v>
      </c>
      <c r="I32" s="76">
        <f>Moong!I75</f>
        <v>1433.2262890000006</v>
      </c>
      <c r="J32" s="76">
        <f>Moong!J75</f>
        <v>1784.1993869999997</v>
      </c>
      <c r="K32" s="76">
        <f>Moong!K75</f>
        <v>1826.2322650000001</v>
      </c>
      <c r="L32" s="76">
        <f>Moong!L75</f>
        <v>1996.3998119999997</v>
      </c>
      <c r="M32" s="106">
        <f t="shared" si="1"/>
        <v>487.65130929953472</v>
      </c>
      <c r="N32" s="106">
        <f t="shared" si="2"/>
        <v>439.76353140943917</v>
      </c>
      <c r="O32" s="106">
        <f t="shared" si="3"/>
        <v>465.60380995675371</v>
      </c>
      <c r="P32" s="106">
        <f t="shared" si="4"/>
        <v>518.61160425641344</v>
      </c>
      <c r="Q32" s="106">
        <f t="shared" si="5"/>
        <v>522.29029495905058</v>
      </c>
      <c r="R32" s="36"/>
      <c r="S32" s="36"/>
    </row>
    <row r="33" spans="1:19" ht="23.25" customHeight="1" x14ac:dyDescent="0.2">
      <c r="A33" s="345"/>
      <c r="B33" s="204" t="s">
        <v>9</v>
      </c>
      <c r="C33" s="76">
        <f>Moong!C76</f>
        <v>957.21300000000008</v>
      </c>
      <c r="D33" s="76">
        <f>Moong!D76</f>
        <v>983.20400000000006</v>
      </c>
      <c r="E33" s="76">
        <f>Moong!E76</f>
        <v>922.94679999999994</v>
      </c>
      <c r="F33" s="76">
        <f>Moong!F76</f>
        <v>1059.1574999999998</v>
      </c>
      <c r="G33" s="76">
        <f>Moong!G76</f>
        <v>1307.7757999999999</v>
      </c>
      <c r="H33" s="76">
        <f>Moong!H76</f>
        <v>522.17939999999999</v>
      </c>
      <c r="I33" s="76">
        <f>Moong!I76</f>
        <v>589.95610199999999</v>
      </c>
      <c r="J33" s="76">
        <f>Moong!J76</f>
        <v>671.17432100000008</v>
      </c>
      <c r="K33" s="76">
        <f>Moong!K76</f>
        <v>682.63952450000011</v>
      </c>
      <c r="L33" s="76">
        <f>Moong!L76</f>
        <v>1088.9533389999999</v>
      </c>
      <c r="M33" s="106">
        <f t="shared" si="1"/>
        <v>545.52058946127966</v>
      </c>
      <c r="N33" s="106">
        <f t="shared" si="2"/>
        <v>600.03427772873169</v>
      </c>
      <c r="O33" s="106">
        <f t="shared" si="3"/>
        <v>727.20802650813687</v>
      </c>
      <c r="P33" s="106">
        <f t="shared" si="4"/>
        <v>644.51181670337053</v>
      </c>
      <c r="Q33" s="106">
        <f t="shared" si="5"/>
        <v>832.67586003655981</v>
      </c>
      <c r="R33" s="36"/>
      <c r="S33" s="36"/>
    </row>
    <row r="34" spans="1:19" ht="23.25" customHeight="1" x14ac:dyDescent="0.2">
      <c r="A34" s="345"/>
      <c r="B34" s="218" t="s">
        <v>10</v>
      </c>
      <c r="C34" s="93">
        <f>C32+C33</f>
        <v>4326.8009999999995</v>
      </c>
      <c r="D34" s="93">
        <f t="shared" ref="D34:G34" si="36">D32+D33</f>
        <v>4242.2879999999996</v>
      </c>
      <c r="E34" s="93">
        <f t="shared" si="36"/>
        <v>4754.9587999999994</v>
      </c>
      <c r="F34" s="93">
        <f t="shared" si="36"/>
        <v>4580.5447000000004</v>
      </c>
      <c r="G34" s="93">
        <f t="shared" si="36"/>
        <v>5130.1707999999999</v>
      </c>
      <c r="H34" s="93">
        <f>H32+H33</f>
        <v>2165.3634000000002</v>
      </c>
      <c r="I34" s="93">
        <f t="shared" ref="I34" si="37">I32+I33</f>
        <v>2023.1823910000007</v>
      </c>
      <c r="J34" s="93">
        <f t="shared" ref="J34" si="38">J32+J33</f>
        <v>2455.3737079999996</v>
      </c>
      <c r="K34" s="93">
        <f t="shared" ref="K34" si="39">K32+K33</f>
        <v>2508.8717895</v>
      </c>
      <c r="L34" s="93">
        <f t="shared" ref="L34" si="40">L32+L33</f>
        <v>3085.3531509999993</v>
      </c>
      <c r="M34" s="107">
        <f t="shared" si="1"/>
        <v>500.45366079928345</v>
      </c>
      <c r="N34" s="107">
        <f t="shared" si="2"/>
        <v>476.90830773393998</v>
      </c>
      <c r="O34" s="107">
        <f t="shared" si="3"/>
        <v>516.38169987929223</v>
      </c>
      <c r="P34" s="107">
        <f t="shared" si="4"/>
        <v>547.72345950471777</v>
      </c>
      <c r="Q34" s="107">
        <f t="shared" si="5"/>
        <v>601.41333910364142</v>
      </c>
      <c r="R34" s="36"/>
      <c r="S34" s="36"/>
    </row>
    <row r="35" spans="1:19" ht="23.25" customHeight="1" x14ac:dyDescent="0.2">
      <c r="A35" s="218" t="s">
        <v>116</v>
      </c>
      <c r="B35" s="204" t="s">
        <v>9</v>
      </c>
      <c r="C35" s="76">
        <f>Lentil!B26</f>
        <v>1461.141218637993</v>
      </c>
      <c r="D35" s="76">
        <f>Lentil!C26</f>
        <v>1549.21</v>
      </c>
      <c r="E35" s="76">
        <f>Lentil!D26</f>
        <v>1362.7180000000001</v>
      </c>
      <c r="F35" s="76">
        <f>Lentil!E26</f>
        <v>1302.6930000000002</v>
      </c>
      <c r="G35" s="76">
        <f>Lentil!F26</f>
        <v>1468.3110000000001</v>
      </c>
      <c r="H35" s="76">
        <f>Lentil!G26</f>
        <v>1223.8489976541496</v>
      </c>
      <c r="I35" s="76">
        <f>Lentil!H26</f>
        <v>1621.8132180000005</v>
      </c>
      <c r="J35" s="76">
        <f>Lentil!I26</f>
        <v>1227.8224369999998</v>
      </c>
      <c r="K35" s="76">
        <f>Lentil!J26</f>
        <v>1103.0326719999998</v>
      </c>
      <c r="L35" s="76">
        <f>Lentil!K26</f>
        <v>1493.8545779999999</v>
      </c>
      <c r="M35" s="106">
        <f t="shared" si="1"/>
        <v>837.59802409445672</v>
      </c>
      <c r="N35" s="106">
        <f t="shared" si="2"/>
        <v>1046.8646716713683</v>
      </c>
      <c r="O35" s="106">
        <f t="shared" si="3"/>
        <v>901.00992061453633</v>
      </c>
      <c r="P35" s="106">
        <f t="shared" si="4"/>
        <v>846.73263155632196</v>
      </c>
      <c r="Q35" s="106">
        <f t="shared" si="5"/>
        <v>1017.3965719796419</v>
      </c>
      <c r="R35" s="36"/>
      <c r="S35" s="36"/>
    </row>
    <row r="36" spans="1:19" ht="23.25" customHeight="1" x14ac:dyDescent="0.2">
      <c r="A36" s="218" t="s">
        <v>160</v>
      </c>
      <c r="B36" s="220" t="s">
        <v>8</v>
      </c>
      <c r="C36" s="76">
        <f>'OKP U'!C116</f>
        <v>2177.567</v>
      </c>
      <c r="D36" s="76">
        <f>'OKP U'!D116</f>
        <v>1885.4254999999998</v>
      </c>
      <c r="E36" s="76">
        <f>'OKP U'!E116</f>
        <v>1722.1985</v>
      </c>
      <c r="F36" s="76">
        <f>'OKP U'!F116</f>
        <v>1779.92</v>
      </c>
      <c r="G36" s="76">
        <f>'OKP U'!G116</f>
        <v>1670.5459999999998</v>
      </c>
      <c r="H36" s="76">
        <f>'OKP U'!H116</f>
        <v>891.68153200000017</v>
      </c>
      <c r="I36" s="76">
        <f>'OKP U'!I116</f>
        <v>831.47339999999997</v>
      </c>
      <c r="J36" s="76">
        <f>'OKP U'!J116</f>
        <v>629.14550000000008</v>
      </c>
      <c r="K36" s="76">
        <f>'OKP U'!K116</f>
        <v>873.28481799999986</v>
      </c>
      <c r="L36" s="76">
        <f>'OKP U'!L116</f>
        <v>799.34019999999998</v>
      </c>
      <c r="M36" s="106">
        <f t="shared" si="1"/>
        <v>409.48523374940936</v>
      </c>
      <c r="N36" s="106">
        <f t="shared" si="2"/>
        <v>441.00040017492074</v>
      </c>
      <c r="O36" s="106">
        <f t="shared" si="3"/>
        <v>365.31532224653552</v>
      </c>
      <c r="P36" s="106">
        <f t="shared" si="4"/>
        <v>490.63149916850188</v>
      </c>
      <c r="Q36" s="106">
        <f t="shared" si="5"/>
        <v>478.490385778063</v>
      </c>
      <c r="R36" s="36"/>
      <c r="S36" s="36"/>
    </row>
    <row r="37" spans="1:19" ht="23.25" customHeight="1" x14ac:dyDescent="0.2">
      <c r="A37" s="218" t="s">
        <v>159</v>
      </c>
      <c r="B37" s="220" t="s">
        <v>9</v>
      </c>
      <c r="C37" s="76">
        <f>'ORP U'!C110</f>
        <v>2038.9357813620072</v>
      </c>
      <c r="D37" s="76">
        <f>'ORP U'!D110</f>
        <v>1858.4097999999999</v>
      </c>
      <c r="E37" s="76">
        <f>'ORP U'!E110</f>
        <v>1617.0359999999998</v>
      </c>
      <c r="F37" s="76">
        <f>'ORP U'!F110</f>
        <v>1559.595</v>
      </c>
      <c r="G37" s="76">
        <f>'ORP U'!G110</f>
        <v>1651.4180000000001</v>
      </c>
      <c r="H37" s="76">
        <f>'ORP U'!H110</f>
        <v>1767.5476823458503</v>
      </c>
      <c r="I37" s="76">
        <f>'ORP U'!I110</f>
        <v>1778.3154</v>
      </c>
      <c r="J37" s="76">
        <f>'ORP U'!J110</f>
        <v>1450.0767999999998</v>
      </c>
      <c r="K37" s="76">
        <f>'ORP U'!K110</f>
        <v>1488.5639999999999</v>
      </c>
      <c r="L37" s="76">
        <f>'ORP U'!L110</f>
        <v>1627.9180000000001</v>
      </c>
      <c r="M37" s="106">
        <f t="shared" si="1"/>
        <v>866.89718160967777</v>
      </c>
      <c r="N37" s="106">
        <f t="shared" si="2"/>
        <v>956.90164784968317</v>
      </c>
      <c r="O37" s="106">
        <f t="shared" si="3"/>
        <v>896.74985590920676</v>
      </c>
      <c r="P37" s="106">
        <f t="shared" si="4"/>
        <v>954.45548363517446</v>
      </c>
      <c r="Q37" s="106">
        <f t="shared" si="5"/>
        <v>985.76980510082842</v>
      </c>
      <c r="R37" s="36"/>
      <c r="S37" s="36"/>
    </row>
    <row r="38" spans="1:19" ht="23.25" customHeight="1" x14ac:dyDescent="0.2">
      <c r="A38" s="340" t="s">
        <v>81</v>
      </c>
      <c r="B38" s="204" t="s">
        <v>8</v>
      </c>
      <c r="C38" s="76">
        <f>C27+C29+C32+C36</f>
        <v>14363.298000000003</v>
      </c>
      <c r="D38" s="76">
        <f t="shared" ref="D38:G38" si="41">D27+D29+D32+D36</f>
        <v>13933.302499999996</v>
      </c>
      <c r="E38" s="76">
        <f t="shared" si="41"/>
        <v>14829.673499999999</v>
      </c>
      <c r="F38" s="76">
        <f t="shared" si="41"/>
        <v>13535.460200000001</v>
      </c>
      <c r="G38" s="76">
        <f t="shared" si="41"/>
        <v>13430.3411</v>
      </c>
      <c r="H38" s="76">
        <f>H27+H29+H32+H36</f>
        <v>9584.524072000002</v>
      </c>
      <c r="I38" s="76">
        <f t="shared" ref="I38:L38" si="42">I27+I29+I32+I36</f>
        <v>9305.7636740000034</v>
      </c>
      <c r="J38" s="76">
        <f t="shared" si="42"/>
        <v>8091.3548632000002</v>
      </c>
      <c r="K38" s="76">
        <f t="shared" si="42"/>
        <v>7920.8810730000005</v>
      </c>
      <c r="L38" s="76">
        <f t="shared" si="42"/>
        <v>8618.2241694000004</v>
      </c>
      <c r="M38" s="106">
        <f t="shared" si="1"/>
        <v>667.29271174350072</v>
      </c>
      <c r="N38" s="106">
        <f t="shared" si="2"/>
        <v>667.87925360839665</v>
      </c>
      <c r="O38" s="106">
        <f t="shared" si="3"/>
        <v>545.61921833275699</v>
      </c>
      <c r="P38" s="106">
        <f t="shared" si="4"/>
        <v>585.19481096032473</v>
      </c>
      <c r="Q38" s="106">
        <f t="shared" si="5"/>
        <v>641.69808534498065</v>
      </c>
      <c r="R38" s="36"/>
      <c r="S38" s="36"/>
    </row>
    <row r="39" spans="1:19" ht="23.25" customHeight="1" x14ac:dyDescent="0.2">
      <c r="A39" s="340"/>
      <c r="B39" s="204" t="s">
        <v>9</v>
      </c>
      <c r="C39" s="76">
        <f>C28+C30+C33+C35+C37</f>
        <v>15083.349999999999</v>
      </c>
      <c r="D39" s="76">
        <f t="shared" ref="D39:G39" si="43">D28+D30+D33+D35+D37</f>
        <v>15879.854600000001</v>
      </c>
      <c r="E39" s="76">
        <f t="shared" si="43"/>
        <v>14326.2927</v>
      </c>
      <c r="F39" s="76">
        <f t="shared" si="43"/>
        <v>14451.854399999998</v>
      </c>
      <c r="G39" s="76">
        <f t="shared" si="43"/>
        <v>15352.975399999998</v>
      </c>
      <c r="H39" s="76">
        <f>H28+H30+H33+H35+H37</f>
        <v>13546.607185999999</v>
      </c>
      <c r="I39" s="76">
        <f t="shared" ref="I39:L39" si="44">I28+I30+I33+I35+I37</f>
        <v>16110.455826599997</v>
      </c>
      <c r="J39" s="76">
        <f t="shared" si="44"/>
        <v>13984.503793000003</v>
      </c>
      <c r="K39" s="76">
        <f t="shared" si="44"/>
        <v>15104.3677272</v>
      </c>
      <c r="L39" s="76">
        <f t="shared" si="44"/>
        <v>16844.8950295</v>
      </c>
      <c r="M39" s="106">
        <f t="shared" si="1"/>
        <v>898.11661109766737</v>
      </c>
      <c r="N39" s="106">
        <f t="shared" si="2"/>
        <v>1014.5216207836056</v>
      </c>
      <c r="O39" s="106">
        <f t="shared" si="3"/>
        <v>976.14254335317355</v>
      </c>
      <c r="P39" s="106">
        <f t="shared" si="4"/>
        <v>1045.1508373347579</v>
      </c>
      <c r="Q39" s="106">
        <f t="shared" si="5"/>
        <v>1097.1746251544182</v>
      </c>
      <c r="R39" s="36"/>
      <c r="S39" s="36"/>
    </row>
    <row r="40" spans="1:19" s="8" customFormat="1" ht="23.25" customHeight="1" x14ac:dyDescent="0.2">
      <c r="A40" s="340"/>
      <c r="B40" s="218" t="s">
        <v>10</v>
      </c>
      <c r="C40" s="93">
        <f>C38+C39</f>
        <v>29446.648000000001</v>
      </c>
      <c r="D40" s="93">
        <f t="shared" ref="D40:G40" si="45">D38+D39</f>
        <v>29813.157099999997</v>
      </c>
      <c r="E40" s="93">
        <f t="shared" si="45"/>
        <v>29155.966199999999</v>
      </c>
      <c r="F40" s="93">
        <f t="shared" si="45"/>
        <v>27987.314599999998</v>
      </c>
      <c r="G40" s="93">
        <f t="shared" si="45"/>
        <v>28783.316499999997</v>
      </c>
      <c r="H40" s="93">
        <f>H38+H39</f>
        <v>23131.131258000001</v>
      </c>
      <c r="I40" s="93">
        <f t="shared" ref="I40" si="46">I38+I39</f>
        <v>25416.2195006</v>
      </c>
      <c r="J40" s="93">
        <f t="shared" ref="J40" si="47">J38+J39</f>
        <v>22075.858656200005</v>
      </c>
      <c r="K40" s="93">
        <f t="shared" ref="K40" si="48">K38+K39</f>
        <v>23025.248800200003</v>
      </c>
      <c r="L40" s="93">
        <f t="shared" ref="L40" si="49">L38+L39</f>
        <v>25463.1191989</v>
      </c>
      <c r="M40" s="107">
        <f t="shared" si="1"/>
        <v>785.52680284696589</v>
      </c>
      <c r="N40" s="107">
        <f t="shared" si="2"/>
        <v>852.5168741890808</v>
      </c>
      <c r="O40" s="107">
        <f t="shared" si="3"/>
        <v>757.16436576881495</v>
      </c>
      <c r="P40" s="107">
        <f t="shared" si="4"/>
        <v>822.70303990508626</v>
      </c>
      <c r="Q40" s="107">
        <f t="shared" si="5"/>
        <v>884.64854975624519</v>
      </c>
      <c r="R40" s="72"/>
      <c r="S40" s="72"/>
    </row>
    <row r="41" spans="1:19" ht="23.25" customHeight="1" x14ac:dyDescent="0.2">
      <c r="A41" s="340" t="s">
        <v>82</v>
      </c>
      <c r="B41" s="204" t="s">
        <v>8</v>
      </c>
      <c r="C41" s="76">
        <f>C24+C38</f>
        <v>73203.867800000007</v>
      </c>
      <c r="D41" s="76">
        <f t="shared" ref="D41:G41" si="50">D24+D38</f>
        <v>71997.286939999991</v>
      </c>
      <c r="E41" s="76">
        <f t="shared" si="50"/>
        <v>72329.013317139004</v>
      </c>
      <c r="F41" s="76">
        <f t="shared" si="50"/>
        <v>70862.0022195536</v>
      </c>
      <c r="G41" s="76">
        <f t="shared" si="50"/>
        <v>72441.546818684175</v>
      </c>
      <c r="H41" s="76">
        <f>H24+H38</f>
        <v>138327.79487391666</v>
      </c>
      <c r="I41" s="76">
        <f t="shared" ref="I41:L41" si="51">I24+I38</f>
        <v>140466.22606342673</v>
      </c>
      <c r="J41" s="76">
        <f t="shared" si="51"/>
        <v>141515.81948556483</v>
      </c>
      <c r="K41" s="76">
        <f t="shared" si="51"/>
        <v>143812.15198221224</v>
      </c>
      <c r="L41" s="76">
        <f t="shared" si="51"/>
        <v>150576.26084789436</v>
      </c>
      <c r="M41" s="106">
        <f t="shared" si="1"/>
        <v>1889.6241282201299</v>
      </c>
      <c r="N41" s="106">
        <f t="shared" si="2"/>
        <v>1950.9933225745901</v>
      </c>
      <c r="O41" s="106">
        <f t="shared" si="3"/>
        <v>1956.5567535819184</v>
      </c>
      <c r="P41" s="106">
        <f t="shared" si="4"/>
        <v>2029.4678033035996</v>
      </c>
      <c r="Q41" s="106">
        <f t="shared" si="5"/>
        <v>2078.589807376361</v>
      </c>
      <c r="R41" s="36"/>
      <c r="S41" s="36"/>
    </row>
    <row r="42" spans="1:19" ht="23.25" customHeight="1" x14ac:dyDescent="0.2">
      <c r="A42" s="340"/>
      <c r="B42" s="204" t="s">
        <v>9</v>
      </c>
      <c r="C42" s="76">
        <f>C25+C39</f>
        <v>56028.913</v>
      </c>
      <c r="D42" s="76">
        <f t="shared" ref="D42:G42" si="52">D25+D39</f>
        <v>55526.998399999989</v>
      </c>
      <c r="E42" s="76">
        <f t="shared" si="52"/>
        <v>52447.918422860981</v>
      </c>
      <c r="F42" s="76">
        <f t="shared" si="52"/>
        <v>56132.525380446394</v>
      </c>
      <c r="G42" s="76">
        <f t="shared" si="52"/>
        <v>57353.459681315835</v>
      </c>
      <c r="H42" s="76">
        <f>H25+H39</f>
        <v>136784.13935633335</v>
      </c>
      <c r="I42" s="76">
        <f t="shared" ref="I42:L42" si="53">I25+I39</f>
        <v>144547.31084779801</v>
      </c>
      <c r="J42" s="76">
        <f t="shared" si="53"/>
        <v>143693.49749512452</v>
      </c>
      <c r="K42" s="76">
        <f t="shared" si="53"/>
        <v>153692.30358831052</v>
      </c>
      <c r="L42" s="76">
        <f t="shared" si="53"/>
        <v>160165.47487553151</v>
      </c>
      <c r="M42" s="106">
        <f t="shared" si="1"/>
        <v>2441.3134582199255</v>
      </c>
      <c r="N42" s="106">
        <f t="shared" si="2"/>
        <v>2603.1897097430365</v>
      </c>
      <c r="O42" s="106">
        <f t="shared" si="3"/>
        <v>2739.7369012168738</v>
      </c>
      <c r="P42" s="106">
        <f t="shared" si="4"/>
        <v>2738.0258156325317</v>
      </c>
      <c r="Q42" s="106">
        <f t="shared" si="5"/>
        <v>2792.6035458974929</v>
      </c>
      <c r="R42" s="36"/>
      <c r="S42" s="36"/>
    </row>
    <row r="43" spans="1:19" s="8" customFormat="1" ht="23.25" customHeight="1" x14ac:dyDescent="0.2">
      <c r="A43" s="340"/>
      <c r="B43" s="218" t="s">
        <v>10</v>
      </c>
      <c r="C43" s="93">
        <f>C41+C42</f>
        <v>129232.78080000001</v>
      </c>
      <c r="D43" s="93">
        <f t="shared" ref="D43:G43" si="54">D41+D42</f>
        <v>127524.28533999997</v>
      </c>
      <c r="E43" s="93">
        <f t="shared" si="54"/>
        <v>124776.93173999999</v>
      </c>
      <c r="F43" s="93">
        <f t="shared" si="54"/>
        <v>126994.5276</v>
      </c>
      <c r="G43" s="93">
        <f t="shared" si="54"/>
        <v>129795.00650000002</v>
      </c>
      <c r="H43" s="93">
        <f>H41+H42</f>
        <v>275111.93423025002</v>
      </c>
      <c r="I43" s="93">
        <f t="shared" ref="I43" si="55">I41+I42</f>
        <v>285013.53691122471</v>
      </c>
      <c r="J43" s="93">
        <f t="shared" ref="J43" si="56">J41+J42</f>
        <v>285209.31698068936</v>
      </c>
      <c r="K43" s="93">
        <f t="shared" ref="K43" si="57">K41+K42</f>
        <v>297504.45557052275</v>
      </c>
      <c r="L43" s="93">
        <f t="shared" ref="L43" si="58">L41+L42</f>
        <v>310741.73572342587</v>
      </c>
      <c r="M43" s="107">
        <f t="shared" si="1"/>
        <v>2128.8092117743086</v>
      </c>
      <c r="N43" s="107">
        <f t="shared" si="2"/>
        <v>2234.9745866156663</v>
      </c>
      <c r="O43" s="107">
        <f t="shared" si="3"/>
        <v>2285.7535684158775</v>
      </c>
      <c r="P43" s="107">
        <f t="shared" si="4"/>
        <v>2342.6557127531119</v>
      </c>
      <c r="Q43" s="107">
        <f t="shared" si="5"/>
        <v>2394.0962299148682</v>
      </c>
      <c r="R43" s="72"/>
      <c r="S43" s="72"/>
    </row>
    <row r="44" spans="1:19" x14ac:dyDescent="0.2">
      <c r="A44" s="21"/>
      <c r="O44" s="3"/>
      <c r="P44" s="3"/>
      <c r="Q44" s="3"/>
    </row>
  </sheetData>
  <mergeCells count="29">
    <mergeCell ref="A1:N1"/>
    <mergeCell ref="A3:A5"/>
    <mergeCell ref="A21:A23"/>
    <mergeCell ref="A32:A34"/>
    <mergeCell ref="A24:A26"/>
    <mergeCell ref="A29:A31"/>
    <mergeCell ref="Q4:Q5"/>
    <mergeCell ref="N4:N5"/>
    <mergeCell ref="A38:A40"/>
    <mergeCell ref="A41:A43"/>
    <mergeCell ref="M4:M5"/>
    <mergeCell ref="P4:P5"/>
    <mergeCell ref="H4:H5"/>
    <mergeCell ref="I4:I5"/>
    <mergeCell ref="O4:O5"/>
    <mergeCell ref="G4:G5"/>
    <mergeCell ref="H3:L3"/>
    <mergeCell ref="J4:J5"/>
    <mergeCell ref="K4:K5"/>
    <mergeCell ref="L4:L5"/>
    <mergeCell ref="A15:A17"/>
    <mergeCell ref="C4:C5"/>
    <mergeCell ref="B3:B5"/>
    <mergeCell ref="C3:G3"/>
    <mergeCell ref="E4:E5"/>
    <mergeCell ref="D4:D5"/>
    <mergeCell ref="A7:A9"/>
    <mergeCell ref="A11:A13"/>
    <mergeCell ref="F4:F5"/>
  </mergeCells>
  <phoneticPr fontId="0" type="noConversion"/>
  <printOptions horizontalCentered="1" verticalCentered="1"/>
  <pageMargins left="0" right="0" top="0.118110236220472" bottom="0.23622047244094499" header="0.118110236220472" footer="0.511811023622047"/>
  <pageSetup paperSize="9"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P179"/>
  <sheetViews>
    <sheetView tabSelected="1" view="pageBreakPreview" zoomScale="70" zoomScaleNormal="75" zoomScaleSheetLayoutView="70" workbookViewId="0">
      <pane xSplit="1" ySplit="7" topLeftCell="B32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6.5703125" style="4" customWidth="1"/>
    <col min="2" max="11" width="12.42578125" style="9" customWidth="1"/>
    <col min="12" max="16" width="11.5703125" style="4" customWidth="1"/>
    <col min="17" max="16384" width="9.140625" style="4"/>
  </cols>
  <sheetData>
    <row r="2" spans="1:16" ht="18" x14ac:dyDescent="0.2">
      <c r="A2" s="344" t="s">
        <v>169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6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6" ht="18" x14ac:dyDescent="0.2">
      <c r="A4" s="340" t="s">
        <v>88</v>
      </c>
      <c r="B4" s="342" t="s">
        <v>174</v>
      </c>
      <c r="C4" s="342"/>
      <c r="D4" s="342"/>
      <c r="E4" s="342"/>
      <c r="F4" s="342"/>
      <c r="G4" s="342" t="s">
        <v>68</v>
      </c>
      <c r="H4" s="342"/>
      <c r="I4" s="342"/>
      <c r="J4" s="342"/>
      <c r="K4" s="342"/>
      <c r="L4" s="342" t="s">
        <v>89</v>
      </c>
      <c r="M4" s="342"/>
      <c r="N4" s="342"/>
      <c r="O4" s="342"/>
      <c r="P4" s="342"/>
    </row>
    <row r="5" spans="1:16" ht="15" customHeight="1" x14ac:dyDescent="0.2">
      <c r="A5" s="340"/>
      <c r="B5" s="341" t="s">
        <v>112</v>
      </c>
      <c r="C5" s="341" t="s">
        <v>164</v>
      </c>
      <c r="D5" s="341" t="s">
        <v>199</v>
      </c>
      <c r="E5" s="341" t="s">
        <v>200</v>
      </c>
      <c r="F5" s="341" t="s">
        <v>202</v>
      </c>
      <c r="G5" s="341" t="s">
        <v>112</v>
      </c>
      <c r="H5" s="341" t="s">
        <v>164</v>
      </c>
      <c r="I5" s="341" t="s">
        <v>199</v>
      </c>
      <c r="J5" s="341" t="s">
        <v>200</v>
      </c>
      <c r="K5" s="341" t="s">
        <v>202</v>
      </c>
      <c r="L5" s="341" t="s">
        <v>112</v>
      </c>
      <c r="M5" s="341" t="s">
        <v>164</v>
      </c>
      <c r="N5" s="341" t="s">
        <v>199</v>
      </c>
      <c r="O5" s="341" t="s">
        <v>200</v>
      </c>
      <c r="P5" s="341" t="s">
        <v>202</v>
      </c>
    </row>
    <row r="6" spans="1:16" ht="18" customHeight="1" x14ac:dyDescent="0.2">
      <c r="A6" s="340"/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</row>
    <row r="7" spans="1:16" s="14" customFormat="1" ht="15.75" customHeight="1" x14ac:dyDescent="0.2">
      <c r="A7" s="108">
        <v>1</v>
      </c>
      <c r="B7" s="233">
        <v>2</v>
      </c>
      <c r="C7" s="233">
        <v>3</v>
      </c>
      <c r="D7" s="233">
        <v>4</v>
      </c>
      <c r="E7" s="233">
        <v>5</v>
      </c>
      <c r="F7" s="233">
        <v>6</v>
      </c>
      <c r="G7" s="233">
        <v>7</v>
      </c>
      <c r="H7" s="233">
        <v>8</v>
      </c>
      <c r="I7" s="233">
        <v>9</v>
      </c>
      <c r="J7" s="233">
        <v>10</v>
      </c>
      <c r="K7" s="233">
        <v>11</v>
      </c>
      <c r="L7" s="233">
        <v>12</v>
      </c>
      <c r="M7" s="233">
        <v>13</v>
      </c>
      <c r="N7" s="233">
        <v>14</v>
      </c>
      <c r="O7" s="233">
        <v>15</v>
      </c>
      <c r="P7" s="233">
        <v>16</v>
      </c>
    </row>
    <row r="8" spans="1:16" ht="20.25" customHeight="1" x14ac:dyDescent="0.2">
      <c r="A8" s="199" t="s">
        <v>2</v>
      </c>
      <c r="B8" s="96">
        <f>'Jowar U'!C7+'Bajra U'!B7+'Maize  U'!C7+'Ragi U'!B7+'Small millets U'!B7</f>
        <v>204</v>
      </c>
      <c r="C8" s="96">
        <f>'Jowar U'!D7+'Bajra U'!C7+'Maize  U'!D7+'Ragi U'!C7+'Small millets U'!C7</f>
        <v>241</v>
      </c>
      <c r="D8" s="96">
        <f>'Jowar U'!E7+'Bajra U'!D7+'Maize  U'!E7+'Ragi U'!D7+'Small millets U'!D7</f>
        <v>186</v>
      </c>
      <c r="E8" s="96">
        <f>'Jowar U'!F7+'Bajra U'!E7+'Maize  U'!F7+'Ragi U'!E7+'Small millets U'!E7</f>
        <v>214</v>
      </c>
      <c r="F8" s="96">
        <f>'Jowar U'!G7+'Bajra U'!F7+'Maize  U'!G7+'Ragi U'!F7+'Small millets U'!F7</f>
        <v>203</v>
      </c>
      <c r="G8" s="96">
        <f>'Jowar U'!H7+'Bajra U'!G7+'Maize  U'!H7+'Ragi U'!G7+'Small millets U'!G7</f>
        <v>506</v>
      </c>
      <c r="H8" s="96">
        <f>'Jowar U'!I7+'Bajra U'!H7+'Maize  U'!I7+'Ragi U'!H7+'Small millets U'!H7</f>
        <v>684.27700000000004</v>
      </c>
      <c r="I8" s="96">
        <f>'Jowar U'!J7+'Bajra U'!I7+'Maize  U'!J7+'Ragi U'!I7+'Small millets U'!I7</f>
        <v>503.70400000000001</v>
      </c>
      <c r="J8" s="96">
        <f>'Jowar U'!K7+'Bajra U'!J7+'Maize  U'!K7+'Ragi U'!J7+'Small millets U'!J7</f>
        <v>616.79899999999998</v>
      </c>
      <c r="K8" s="96">
        <f>'Jowar U'!L7+'Bajra U'!K7+'Maize  U'!L7+'Ragi U'!K7+'Small millets U'!K7</f>
        <v>567.21400000000006</v>
      </c>
      <c r="L8" s="99">
        <f>G8/B8*1000</f>
        <v>2480.3921568627452</v>
      </c>
      <c r="M8" s="99">
        <f t="shared" ref="M8:P8" si="0">H8/C8*1000</f>
        <v>2839.3236514522823</v>
      </c>
      <c r="N8" s="99">
        <f t="shared" si="0"/>
        <v>2708.0860215053763</v>
      </c>
      <c r="O8" s="99">
        <f t="shared" si="0"/>
        <v>2882.2383177570091</v>
      </c>
      <c r="P8" s="99">
        <f t="shared" si="0"/>
        <v>2794.1576354679805</v>
      </c>
    </row>
    <row r="9" spans="1:16" ht="20.25" customHeight="1" x14ac:dyDescent="0.2">
      <c r="A9" s="199" t="s">
        <v>24</v>
      </c>
      <c r="B9" s="96">
        <f>'Maize  U'!C10+'Small millets U'!B8</f>
        <v>45.984000000000002</v>
      </c>
      <c r="C9" s="96">
        <f>'Maize  U'!D10+'Small millets U'!C8</f>
        <v>67.765000000000001</v>
      </c>
      <c r="D9" s="96">
        <f>'Maize  U'!E10+'Small millets U'!D8</f>
        <v>77.775000000000006</v>
      </c>
      <c r="E9" s="96">
        <f>'Maize  U'!F10+'Small millets U'!E8</f>
        <v>68.600000000000009</v>
      </c>
      <c r="F9" s="96">
        <f>'Maize  U'!G10+'Small millets U'!F8</f>
        <v>68.045000000000002</v>
      </c>
      <c r="G9" s="96">
        <f>'Maize  U'!H10+'Small millets U'!G8</f>
        <v>86.936999999999998</v>
      </c>
      <c r="H9" s="96">
        <f>'Maize  U'!I10+'Small millets U'!H8</f>
        <v>88.226300000000009</v>
      </c>
      <c r="I9" s="96">
        <f>'Maize  U'!J10+'Small millets U'!I8</f>
        <v>105.42082499999999</v>
      </c>
      <c r="J9" s="96">
        <f>'Maize  U'!K10+'Small millets U'!J8</f>
        <v>90.774760000000001</v>
      </c>
      <c r="K9" s="96">
        <f>'Maize  U'!L10+'Small millets U'!K8</f>
        <v>90.906490000000005</v>
      </c>
      <c r="L9" s="99">
        <f t="shared" ref="L9:L44" si="1">G9/B9*1000</f>
        <v>1890.5923799582463</v>
      </c>
      <c r="M9" s="99">
        <f t="shared" ref="M9:M44" si="2">H9/C9*1000</f>
        <v>1301.9449568361249</v>
      </c>
      <c r="N9" s="99">
        <f t="shared" ref="N9:N44" si="3">I9/D9*1000</f>
        <v>1355.4590163934424</v>
      </c>
      <c r="O9" s="99">
        <f t="shared" ref="O9:O44" si="4">J9/E9*1000</f>
        <v>1323.2472303206994</v>
      </c>
      <c r="P9" s="99">
        <f t="shared" ref="P9:P44" si="5">K9/F9*1000</f>
        <v>1335.9760452641633</v>
      </c>
    </row>
    <row r="10" spans="1:16" ht="20.25" customHeight="1" x14ac:dyDescent="0.2">
      <c r="A10" s="199" t="s">
        <v>25</v>
      </c>
      <c r="B10" s="96">
        <f>'Maize  U'!C13+'Small millets U'!B9</f>
        <v>36.082000000000001</v>
      </c>
      <c r="C10" s="96">
        <f>'Maize  U'!D13+'Small millets U'!C9</f>
        <v>36.769999999999996</v>
      </c>
      <c r="D10" s="96">
        <f>'Maize  U'!E13+'Small millets U'!D9</f>
        <v>37.474000000000004</v>
      </c>
      <c r="E10" s="96">
        <f>'Maize  U'!F13+'Small millets U'!E9</f>
        <v>41.847999999999999</v>
      </c>
      <c r="F10" s="96">
        <f>'Maize  U'!G13+'Small millets U'!F9</f>
        <v>46.127000000000002</v>
      </c>
      <c r="G10" s="96">
        <f>'Maize  U'!H13+'Small millets U'!G9</f>
        <v>94.146000000000001</v>
      </c>
      <c r="H10" s="96">
        <f>'Maize  U'!I13+'Small millets U'!H9</f>
        <v>101.829956</v>
      </c>
      <c r="I10" s="96">
        <f>'Maize  U'!J13+'Small millets U'!I9</f>
        <v>108.045326</v>
      </c>
      <c r="J10" s="96">
        <f>'Maize  U'!K13+'Small millets U'!J9</f>
        <v>131.269048</v>
      </c>
      <c r="K10" s="96">
        <f>'Maize  U'!L13+'Small millets U'!K9</f>
        <v>151.16976400000004</v>
      </c>
      <c r="L10" s="99">
        <f t="shared" si="1"/>
        <v>2609.2234355080091</v>
      </c>
      <c r="M10" s="99">
        <f t="shared" si="2"/>
        <v>2769.3760130541204</v>
      </c>
      <c r="N10" s="99">
        <f t="shared" si="3"/>
        <v>2883.2077173506964</v>
      </c>
      <c r="O10" s="99">
        <f t="shared" si="4"/>
        <v>3136.8057732747084</v>
      </c>
      <c r="P10" s="99">
        <f t="shared" si="5"/>
        <v>3277.251154421489</v>
      </c>
    </row>
    <row r="11" spans="1:16" ht="20.25" customHeight="1" x14ac:dyDescent="0.2">
      <c r="A11" s="199" t="s">
        <v>40</v>
      </c>
      <c r="B11" s="96">
        <f>'Jowar U'!C10+'Bajra U'!B8+'Maize  U'!C14+'Ragi U'!B8+'Small millets U'!B10</f>
        <v>254.78799999999998</v>
      </c>
      <c r="C11" s="96">
        <f>'Jowar U'!D10+'Bajra U'!C8+'Maize  U'!D14+'Ragi U'!C8+'Small millets U'!C10</f>
        <v>237.59199999999998</v>
      </c>
      <c r="D11" s="96">
        <f>'Jowar U'!E10+'Bajra U'!D8+'Maize  U'!E14+'Ragi U'!D8+'Small millets U'!D10</f>
        <v>239.34200000000001</v>
      </c>
      <c r="E11" s="96">
        <f>'Jowar U'!F10+'Bajra U'!E8+'Maize  U'!F14+'Ragi U'!E8+'Small millets U'!E10</f>
        <v>217.90099999999998</v>
      </c>
      <c r="F11" s="96">
        <f>'Jowar U'!G10+'Bajra U'!F8+'Maize  U'!G14+'Ragi U'!F8+'Small millets U'!F10</f>
        <v>203.98999999999998</v>
      </c>
      <c r="G11" s="96">
        <f>'Jowar U'!H10+'Bajra U'!G8+'Maize  U'!H14+'Ragi U'!G8+'Small millets U'!G10</f>
        <v>636.80799999999999</v>
      </c>
      <c r="H11" s="96">
        <f>'Jowar U'!I10+'Bajra U'!H8+'Maize  U'!I14+'Ragi U'!H8+'Small millets U'!H10</f>
        <v>549.69025199999987</v>
      </c>
      <c r="I11" s="96">
        <f>'Jowar U'!J10+'Bajra U'!I8+'Maize  U'!J14+'Ragi U'!I8+'Small millets U'!I10</f>
        <v>478.42634800000002</v>
      </c>
      <c r="J11" s="96">
        <f>'Jowar U'!K10+'Bajra U'!J8+'Maize  U'!K14+'Ragi U'!J8+'Small millets U'!J10</f>
        <v>442.93550399999998</v>
      </c>
      <c r="K11" s="96">
        <f>'Jowar U'!L10+'Bajra U'!K8+'Maize  U'!L14+'Ragi U'!K8+'Small millets U'!K10</f>
        <v>235.47589400000001</v>
      </c>
      <c r="L11" s="99">
        <f t="shared" si="1"/>
        <v>2499.3641772767951</v>
      </c>
      <c r="M11" s="99">
        <f t="shared" si="2"/>
        <v>2313.5890602377181</v>
      </c>
      <c r="N11" s="99">
        <f t="shared" si="3"/>
        <v>1998.9234985919732</v>
      </c>
      <c r="O11" s="99">
        <f t="shared" si="4"/>
        <v>2032.7373623801636</v>
      </c>
      <c r="P11" s="99">
        <f t="shared" si="5"/>
        <v>1154.350183832541</v>
      </c>
    </row>
    <row r="12" spans="1:16" ht="20.25" customHeight="1" x14ac:dyDescent="0.2">
      <c r="A12" s="199" t="s">
        <v>47</v>
      </c>
      <c r="B12" s="76">
        <f>'Jowar U'!C11+'Bajra U'!B9+'Maize  U'!C17+'Ragi U'!B9+'Small millets U'!B11</f>
        <v>220.10000000000002</v>
      </c>
      <c r="C12" s="76">
        <f>'Jowar U'!D11+'Bajra U'!C9+'Maize  U'!D17+'Ragi U'!C9+'Small millets U'!C11</f>
        <v>231.3</v>
      </c>
      <c r="D12" s="76">
        <f>'Jowar U'!E11+'Bajra U'!D9+'Maize  U'!E17+'Ragi U'!D9+'Small millets U'!D11</f>
        <v>215.87</v>
      </c>
      <c r="E12" s="76">
        <f>'Jowar U'!F11+'Bajra U'!E9+'Maize  U'!F17+'Ragi U'!E9+'Small millets U'!E11</f>
        <v>200.18</v>
      </c>
      <c r="F12" s="76">
        <f>'Jowar U'!G11+'Bajra U'!F9+'Maize  U'!G17+'Ragi U'!F9+'Small millets U'!F11</f>
        <v>206.09</v>
      </c>
      <c r="G12" s="76">
        <f>'Jowar U'!H11+'Bajra U'!G9+'Maize  U'!H17+'Ragi U'!G9+'Small millets U'!G11</f>
        <v>355.24259999999998</v>
      </c>
      <c r="H12" s="76">
        <f>'Jowar U'!I11+'Bajra U'!H9+'Maize  U'!I17+'Ragi U'!H9+'Small millets U'!H11</f>
        <v>345.17726999999996</v>
      </c>
      <c r="I12" s="76">
        <f>'Jowar U'!J11+'Bajra U'!I9+'Maize  U'!J17+'Ragi U'!I9+'Small millets U'!I11</f>
        <v>330.03633000000002</v>
      </c>
      <c r="J12" s="76">
        <f>'Jowar U'!K11+'Bajra U'!J9+'Maize  U'!K17+'Ragi U'!J9+'Small millets U'!J11</f>
        <v>369.49077</v>
      </c>
      <c r="K12" s="76">
        <f>'Jowar U'!L11+'Bajra U'!K9+'Maize  U'!L17+'Ragi U'!K9+'Small millets U'!K11</f>
        <v>367.45352000000003</v>
      </c>
      <c r="L12" s="99">
        <f t="shared" si="1"/>
        <v>1614.005452067242</v>
      </c>
      <c r="M12" s="99">
        <f t="shared" si="2"/>
        <v>1492.3357976653695</v>
      </c>
      <c r="N12" s="99">
        <f t="shared" si="3"/>
        <v>1528.8661231296614</v>
      </c>
      <c r="O12" s="99">
        <f t="shared" si="4"/>
        <v>1845.7926366270356</v>
      </c>
      <c r="P12" s="99">
        <f t="shared" si="5"/>
        <v>1782.9759813673638</v>
      </c>
    </row>
    <row r="13" spans="1:16" ht="20.25" customHeight="1" x14ac:dyDescent="0.2">
      <c r="A13" s="199" t="s">
        <v>15</v>
      </c>
      <c r="B13" s="96">
        <f>'Ragi U'!B10</f>
        <v>0</v>
      </c>
      <c r="C13" s="96">
        <f>'Ragi U'!C10</f>
        <v>0</v>
      </c>
      <c r="D13" s="96">
        <f>'Ragi U'!D10</f>
        <v>0</v>
      </c>
      <c r="E13" s="96">
        <f>'Ragi U'!E10</f>
        <v>0</v>
      </c>
      <c r="F13" s="96">
        <f>'Ragi U'!F10</f>
        <v>0</v>
      </c>
      <c r="G13" s="96">
        <f>'Ragi U'!G10</f>
        <v>0</v>
      </c>
      <c r="H13" s="96">
        <f>'Ragi U'!H10</f>
        <v>0</v>
      </c>
      <c r="I13" s="96">
        <f>'Ragi U'!I10</f>
        <v>0</v>
      </c>
      <c r="J13" s="96">
        <f>'Ragi U'!J10</f>
        <v>0</v>
      </c>
      <c r="K13" s="96">
        <f>'Ragi U'!K10</f>
        <v>0</v>
      </c>
      <c r="L13" s="99" t="e">
        <f t="shared" si="1"/>
        <v>#DIV/0!</v>
      </c>
      <c r="M13" s="99" t="e">
        <f t="shared" si="2"/>
        <v>#DIV/0!</v>
      </c>
      <c r="N13" s="99" t="e">
        <f t="shared" si="3"/>
        <v>#DIV/0!</v>
      </c>
      <c r="O13" s="99" t="e">
        <f t="shared" si="4"/>
        <v>#DIV/0!</v>
      </c>
      <c r="P13" s="99" t="e">
        <f t="shared" si="5"/>
        <v>#DIV/0!</v>
      </c>
    </row>
    <row r="14" spans="1:16" ht="20.25" customHeight="1" x14ac:dyDescent="0.2">
      <c r="A14" s="199" t="s">
        <v>4</v>
      </c>
      <c r="B14" s="96">
        <f>'Jowar U'!C12+'Bajra U'!B10+'Maize  U'!C19+'Ragi U'!B11+'Small millets U'!B13</f>
        <v>870</v>
      </c>
      <c r="C14" s="96">
        <f>'Jowar U'!D12+'Bajra U'!C10+'Maize  U'!D19+'Ragi U'!C11+'Small millets U'!C13</f>
        <v>792</v>
      </c>
      <c r="D14" s="96">
        <f>'Jowar U'!E12+'Bajra U'!D10+'Maize  U'!E19+'Ragi U'!D11+'Small millets U'!D13</f>
        <v>754.53</v>
      </c>
      <c r="E14" s="96">
        <f>'Jowar U'!F12+'Bajra U'!E10+'Maize  U'!F19+'Ragi U'!E11+'Small millets U'!E13</f>
        <v>776.29</v>
      </c>
      <c r="F14" s="96">
        <f>'Jowar U'!G12+'Bajra U'!F10+'Maize  U'!G19+'Ragi U'!F11+'Small millets U'!F13</f>
        <v>792.36</v>
      </c>
      <c r="G14" s="96">
        <f>'Jowar U'!H12+'Bajra U'!G10+'Maize  U'!H19+'Ragi U'!G11+'Small millets U'!G13</f>
        <v>1645</v>
      </c>
      <c r="H14" s="96">
        <f>'Jowar U'!I12+'Bajra U'!H10+'Maize  U'!I19+'Ragi U'!H11+'Small millets U'!H13</f>
        <v>1554.4759999999999</v>
      </c>
      <c r="I14" s="96">
        <f>'Jowar U'!J12+'Bajra U'!I10+'Maize  U'!J19+'Ragi U'!I11+'Small millets U'!I13</f>
        <v>1505.6039799999999</v>
      </c>
      <c r="J14" s="96">
        <f>'Jowar U'!K12+'Bajra U'!J10+'Maize  U'!K19+'Ragi U'!J11+'Small millets U'!J13</f>
        <v>1416.7060199999999</v>
      </c>
      <c r="K14" s="96">
        <f>'Jowar U'!L12+'Bajra U'!K10+'Maize  U'!L19+'Ragi U'!K11+'Small millets U'!K13</f>
        <v>1510.00152</v>
      </c>
      <c r="L14" s="99">
        <f t="shared" si="1"/>
        <v>1890.8045977011493</v>
      </c>
      <c r="M14" s="99">
        <f t="shared" si="2"/>
        <v>1962.7222222222219</v>
      </c>
      <c r="N14" s="99">
        <f t="shared" si="3"/>
        <v>1995.4196387154916</v>
      </c>
      <c r="O14" s="99">
        <f t="shared" si="4"/>
        <v>1824.9700756160712</v>
      </c>
      <c r="P14" s="99">
        <f t="shared" si="5"/>
        <v>1905.7013478721794</v>
      </c>
    </row>
    <row r="15" spans="1:16" ht="20.25" customHeight="1" x14ac:dyDescent="0.2">
      <c r="A15" s="199" t="s">
        <v>18</v>
      </c>
      <c r="B15" s="96">
        <f>'Jowar U'!C15+'Bajra U'!B11+'Maize  U'!C22</f>
        <v>545</v>
      </c>
      <c r="C15" s="96">
        <f>'Jowar U'!D15+'Bajra U'!C11+'Maize  U'!D22</f>
        <v>504</v>
      </c>
      <c r="D15" s="96">
        <f>'Jowar U'!E15+'Bajra U'!D11+'Maize  U'!E22</f>
        <v>470.9</v>
      </c>
      <c r="E15" s="96">
        <f>'Jowar U'!F15+'Bajra U'!E11+'Maize  U'!F22</f>
        <v>528.70000000000005</v>
      </c>
      <c r="F15" s="96">
        <f>'Jowar U'!G15+'Bajra U'!F11+'Maize  U'!G22</f>
        <v>607.11</v>
      </c>
      <c r="G15" s="96">
        <f>'Jowar U'!H15+'Bajra U'!G11+'Maize  U'!H22</f>
        <v>1014</v>
      </c>
      <c r="H15" s="96">
        <f>'Jowar U'!I15+'Bajra U'!H11+'Maize  U'!I22</f>
        <v>764.81399999999996</v>
      </c>
      <c r="I15" s="96">
        <f>'Jowar U'!J15+'Bajra U'!I11+'Maize  U'!J22</f>
        <v>915.1576</v>
      </c>
      <c r="J15" s="96">
        <f>'Jowar U'!K15+'Bajra U'!J11+'Maize  U'!K22</f>
        <v>1051.8956000000001</v>
      </c>
      <c r="K15" s="96">
        <f>'Jowar U'!L15+'Bajra U'!K11+'Maize  U'!L22</f>
        <v>1386.6267800000003</v>
      </c>
      <c r="L15" s="99">
        <f t="shared" si="1"/>
        <v>1860.5504587155963</v>
      </c>
      <c r="M15" s="99">
        <f t="shared" si="2"/>
        <v>1517.4880952380952</v>
      </c>
      <c r="N15" s="99">
        <f t="shared" si="3"/>
        <v>1943.4223826714804</v>
      </c>
      <c r="O15" s="99">
        <f t="shared" si="4"/>
        <v>1989.5888027236617</v>
      </c>
      <c r="P15" s="99">
        <f t="shared" si="5"/>
        <v>2283.9794765363781</v>
      </c>
    </row>
    <row r="16" spans="1:16" ht="20.25" customHeight="1" x14ac:dyDescent="0.2">
      <c r="A16" s="199" t="s">
        <v>16</v>
      </c>
      <c r="B16" s="96">
        <f>'Jowar U'!C16+'Bajra U'!B12+'Maize  U'!C23+'Ragi U'!B12+'Small millets U'!B14</f>
        <v>301.41699999999997</v>
      </c>
      <c r="C16" s="96">
        <f>'Jowar U'!D16+'Bajra U'!C12+'Maize  U'!D23+'Ragi U'!C12+'Small millets U'!C14</f>
        <v>286.80500000000001</v>
      </c>
      <c r="D16" s="96">
        <f>'Jowar U'!E16+'Bajra U'!D12+'Maize  U'!E23+'Ragi U'!D12+'Small millets U'!D14</f>
        <v>293.60000000000002</v>
      </c>
      <c r="E16" s="96">
        <f>'Jowar U'!F16+'Bajra U'!E12+'Maize  U'!F23+'Ragi U'!E12+'Small millets U'!E14</f>
        <v>294.52200000000005</v>
      </c>
      <c r="F16" s="96">
        <f>'Jowar U'!G16+'Bajra U'!F12+'Maize  U'!G23+'Ragi U'!F12+'Small millets U'!F14</f>
        <v>270.94099999999997</v>
      </c>
      <c r="G16" s="96">
        <f>'Jowar U'!H16+'Bajra U'!G12+'Maize  U'!H23+'Ragi U'!G12+'Small millets U'!G14</f>
        <v>790.59899999999993</v>
      </c>
      <c r="H16" s="96">
        <f>'Jowar U'!I16+'Bajra U'!H12+'Maize  U'!I23+'Ragi U'!H12+'Small millets U'!H14</f>
        <v>716.39600000000007</v>
      </c>
      <c r="I16" s="96">
        <f>'Jowar U'!J16+'Bajra U'!I12+'Maize  U'!J23+'Ragi U'!I12+'Small millets U'!I14</f>
        <v>731.50055999999995</v>
      </c>
      <c r="J16" s="96">
        <f>'Jowar U'!K16+'Bajra U'!J12+'Maize  U'!K23+'Ragi U'!J12+'Small millets U'!J14</f>
        <v>736.91305</v>
      </c>
      <c r="K16" s="96">
        <f>'Jowar U'!L16+'Bajra U'!K12+'Maize  U'!L23+'Ragi U'!K12+'Small millets U'!K14</f>
        <v>732.34875100000011</v>
      </c>
      <c r="L16" s="99">
        <f t="shared" si="1"/>
        <v>2622.9409754592475</v>
      </c>
      <c r="M16" s="99">
        <f t="shared" si="2"/>
        <v>2497.8504558846603</v>
      </c>
      <c r="N16" s="99">
        <f t="shared" si="3"/>
        <v>2491.4869209809262</v>
      </c>
      <c r="O16" s="99">
        <f t="shared" si="4"/>
        <v>2502.0645316818432</v>
      </c>
      <c r="P16" s="99">
        <f t="shared" si="5"/>
        <v>2702.9823873094147</v>
      </c>
    </row>
    <row r="17" spans="1:16" ht="20.25" customHeight="1" x14ac:dyDescent="0.2">
      <c r="A17" s="199" t="s">
        <v>19</v>
      </c>
      <c r="B17" s="96">
        <f>'Bajra U'!B13+'Maize  U'!C24+'Ragi U'!B13+'Small millets U'!B15+'Jowar U'!C17</f>
        <v>326.44600000000003</v>
      </c>
      <c r="C17" s="96">
        <f>'Bajra U'!C13+'Maize  U'!D24+'Ragi U'!C13+'Small millets U'!C15+'Jowar U'!D17</f>
        <v>321.38400000000001</v>
      </c>
      <c r="D17" s="96">
        <f>'Bajra U'!D13+'Maize  U'!E24+'Ragi U'!D13+'Small millets U'!D15+'Jowar U'!E17</f>
        <v>291.697</v>
      </c>
      <c r="E17" s="96">
        <f>'Bajra U'!E13+'Maize  U'!F24+'Ragi U'!E13+'Small millets U'!E15+'Jowar U'!F17</f>
        <v>286.37099999999998</v>
      </c>
      <c r="F17" s="96">
        <f>'Bajra U'!F13+'Maize  U'!G24+'Ragi U'!F13+'Small millets U'!F15+'Jowar U'!G17</f>
        <v>310.43099999999998</v>
      </c>
      <c r="G17" s="96">
        <f>'Bajra U'!G13+'Maize  U'!H24+'Ragi U'!G13+'Small millets U'!G15+'Jowar U'!H17</f>
        <v>556.69200000000001</v>
      </c>
      <c r="H17" s="96">
        <f>'Bajra U'!H13+'Maize  U'!I24+'Ragi U'!H13+'Small millets U'!H15+'Jowar U'!I17</f>
        <v>556.60065999999995</v>
      </c>
      <c r="I17" s="96">
        <f>'Bajra U'!I13+'Maize  U'!J24+'Ragi U'!I13+'Small millets U'!I15+'Jowar U'!J17</f>
        <v>589.58270700000014</v>
      </c>
      <c r="J17" s="96">
        <f>'Bajra U'!J13+'Maize  U'!K24+'Ragi U'!J13+'Small millets U'!J15+'Jowar U'!K17</f>
        <v>547.18653999999992</v>
      </c>
      <c r="K17" s="96">
        <f>'Bajra U'!K13+'Maize  U'!L24+'Ragi U'!K13+'Small millets U'!K15+'Jowar U'!L17</f>
        <v>517.27276499999994</v>
      </c>
      <c r="L17" s="99">
        <f t="shared" si="1"/>
        <v>1705.3111387488282</v>
      </c>
      <c r="M17" s="99">
        <f t="shared" si="2"/>
        <v>1731.8866527269556</v>
      </c>
      <c r="N17" s="99">
        <f t="shared" si="3"/>
        <v>2021.2162175133792</v>
      </c>
      <c r="O17" s="99">
        <f t="shared" si="4"/>
        <v>1910.7610058281039</v>
      </c>
      <c r="P17" s="99">
        <f t="shared" si="5"/>
        <v>1666.3051209447508</v>
      </c>
    </row>
    <row r="18" spans="1:16" ht="20.25" customHeight="1" x14ac:dyDescent="0.2">
      <c r="A18" s="199" t="s">
        <v>83</v>
      </c>
      <c r="B18" s="76">
        <f>'Jowar U'!C18+'Bajra U'!B14+'Maize  U'!C25+'Ragi U'!B14</f>
        <v>312.358</v>
      </c>
      <c r="C18" s="76">
        <f>'Jowar U'!D18+'Bajra U'!C14+'Maize  U'!D25+'Ragi U'!C14</f>
        <v>307.52099999999996</v>
      </c>
      <c r="D18" s="76">
        <f>'Jowar U'!E18+'Bajra U'!D14+'Maize  U'!E25+'Ragi U'!D14</f>
        <v>271.34800000000001</v>
      </c>
      <c r="E18" s="76">
        <f>'Jowar U'!F18+'Bajra U'!E14+'Maize  U'!F25+'Ragi U'!E14</f>
        <v>265.79200000000003</v>
      </c>
      <c r="F18" s="76">
        <f>'Jowar U'!G18+'Bajra U'!F14+'Maize  U'!G25+'Ragi U'!F14</f>
        <v>306.58799999999997</v>
      </c>
      <c r="G18" s="76">
        <f>'Jowar U'!H18+'Bajra U'!G14+'Maize  U'!H25+'Ragi U'!G14</f>
        <v>572.90300000000002</v>
      </c>
      <c r="H18" s="76">
        <f>'Jowar U'!I18+'Bajra U'!H14+'Maize  U'!I25+'Ragi U'!H14</f>
        <v>597.28888100000006</v>
      </c>
      <c r="I18" s="76">
        <f>'Jowar U'!J18+'Bajra U'!I14+'Maize  U'!J25+'Ragi U'!I14</f>
        <v>456.72068500000006</v>
      </c>
      <c r="J18" s="76">
        <f>'Jowar U'!K18+'Bajra U'!J14+'Maize  U'!K25+'Ragi U'!J14</f>
        <v>509.07816100000002</v>
      </c>
      <c r="K18" s="76">
        <f>'Jowar U'!L18+'Bajra U'!K14+'Maize  U'!L25+'Ragi U'!K14</f>
        <v>641.0910980000001</v>
      </c>
      <c r="L18" s="99">
        <f t="shared" si="1"/>
        <v>1834.1230255027886</v>
      </c>
      <c r="M18" s="99">
        <f t="shared" si="2"/>
        <v>1942.2702221962084</v>
      </c>
      <c r="N18" s="99">
        <f t="shared" si="3"/>
        <v>1683.1547864734587</v>
      </c>
      <c r="O18" s="99">
        <f t="shared" si="4"/>
        <v>1915.3253709667708</v>
      </c>
      <c r="P18" s="99">
        <f t="shared" si="5"/>
        <v>2091.0508500006531</v>
      </c>
    </row>
    <row r="19" spans="1:16" ht="20.25" customHeight="1" x14ac:dyDescent="0.2">
      <c r="A19" s="199" t="s">
        <v>5</v>
      </c>
      <c r="B19" s="96">
        <f>'Jowar U'!C19+'Bajra U'!B15+'Maize  U'!C28+'Ragi U'!B15+'Small millets U'!B17</f>
        <v>2235</v>
      </c>
      <c r="C19" s="96">
        <f>'Jowar U'!D19+'Bajra U'!C15+'Maize  U'!D28+'Ragi U'!C15+'Small millets U'!C17</f>
        <v>2318</v>
      </c>
      <c r="D19" s="96">
        <f>'Jowar U'!E19+'Bajra U'!D15+'Maize  U'!E28+'Ragi U'!D15+'Small millets U'!D17</f>
        <v>2069.86</v>
      </c>
      <c r="E19" s="96">
        <f>'Jowar U'!F19+'Bajra U'!E15+'Maize  U'!F28+'Ragi U'!E15+'Small millets U'!E17</f>
        <v>2426.6</v>
      </c>
      <c r="F19" s="96">
        <f>'Jowar U'!G19+'Bajra U'!F15+'Maize  U'!G28+'Ragi U'!F15+'Small millets U'!F17</f>
        <v>2653</v>
      </c>
      <c r="G19" s="96">
        <f>'Jowar U'!H19+'Bajra U'!G15+'Maize  U'!H28+'Ragi U'!G15+'Small millets U'!G17</f>
        <v>4238.9672</v>
      </c>
      <c r="H19" s="96">
        <f>'Jowar U'!I19+'Bajra U'!H15+'Maize  U'!I28+'Ragi U'!H15+'Small millets U'!H17</f>
        <v>5152.5558999999994</v>
      </c>
      <c r="I19" s="96">
        <f>'Jowar U'!J19+'Bajra U'!I15+'Maize  U'!J28+'Ragi U'!I15+'Small millets U'!I17</f>
        <v>4418.8229700000002</v>
      </c>
      <c r="J19" s="96">
        <f>'Jowar U'!K19+'Bajra U'!J15+'Maize  U'!K28+'Ragi U'!J15+'Small millets U'!J17</f>
        <v>5485.6241999999993</v>
      </c>
      <c r="K19" s="96">
        <f>'Jowar U'!L19+'Bajra U'!K15+'Maize  U'!L28+'Ragi U'!K15+'Small millets U'!K17</f>
        <v>6516.2149999999992</v>
      </c>
      <c r="L19" s="99">
        <f t="shared" si="1"/>
        <v>1896.6296196868009</v>
      </c>
      <c r="M19" s="99">
        <f t="shared" si="2"/>
        <v>2222.8455133735979</v>
      </c>
      <c r="N19" s="99">
        <f t="shared" si="3"/>
        <v>2134.8414723701121</v>
      </c>
      <c r="O19" s="99">
        <f t="shared" si="4"/>
        <v>2260.6215280639576</v>
      </c>
      <c r="P19" s="99">
        <f t="shared" si="5"/>
        <v>2456.1684885035806</v>
      </c>
    </row>
    <row r="20" spans="1:16" ht="20.25" customHeight="1" x14ac:dyDescent="0.2">
      <c r="A20" s="199" t="s">
        <v>17</v>
      </c>
      <c r="B20" s="96">
        <f>'Jowar U'!C22+'Maize  U'!C31+'Ragi U'!B16+'Small millets U'!B18</f>
        <v>0.24700000000000003</v>
      </c>
      <c r="C20" s="96">
        <f>'Jowar U'!D22+'Maize  U'!D31+'Ragi U'!C16+'Small millets U'!C18</f>
        <v>0.35469999999999996</v>
      </c>
      <c r="D20" s="96">
        <f>'Jowar U'!E22+'Maize  U'!E31+'Ragi U'!D16+'Small millets U'!D18</f>
        <v>0.35819999999999996</v>
      </c>
      <c r="E20" s="96">
        <f>'Jowar U'!F22+'Maize  U'!F31+'Ragi U'!E16+'Small millets U'!E18</f>
        <v>0.37</v>
      </c>
      <c r="F20" s="96">
        <f>'Jowar U'!G22+'Maize  U'!G31+'Ragi U'!F16+'Small millets U'!F18</f>
        <v>0.34800000000000003</v>
      </c>
      <c r="G20" s="96">
        <f>'Jowar U'!H22+'Maize  U'!H31+'Ragi U'!G16+'Small millets U'!G18</f>
        <v>0.22600000000000001</v>
      </c>
      <c r="H20" s="96">
        <f>'Jowar U'!I22+'Maize  U'!I31+'Ragi U'!H16+'Small millets U'!H18</f>
        <v>0.42495479999999997</v>
      </c>
      <c r="I20" s="96">
        <f>'Jowar U'!J22+'Maize  U'!J31+'Ragi U'!I16+'Small millets U'!I18</f>
        <v>0.38693860000000002</v>
      </c>
      <c r="J20" s="96">
        <f>'Jowar U'!K22+'Maize  U'!K31+'Ragi U'!J16+'Small millets U'!J18</f>
        <v>0.401893</v>
      </c>
      <c r="K20" s="96">
        <f>'Jowar U'!L22+'Maize  U'!L31+'Ragi U'!K16+'Small millets U'!K18</f>
        <v>0.43928400000000001</v>
      </c>
      <c r="L20" s="99">
        <f t="shared" si="1"/>
        <v>914.9797570850202</v>
      </c>
      <c r="M20" s="99">
        <f t="shared" si="2"/>
        <v>1198.0682266704257</v>
      </c>
      <c r="N20" s="99">
        <f t="shared" si="3"/>
        <v>1080.2305974316027</v>
      </c>
      <c r="O20" s="99">
        <f t="shared" si="4"/>
        <v>1086.1972972972974</v>
      </c>
      <c r="P20" s="99">
        <f t="shared" si="5"/>
        <v>1262.3103448275861</v>
      </c>
    </row>
    <row r="21" spans="1:16" ht="20.25" customHeight="1" x14ac:dyDescent="0.2">
      <c r="A21" s="199" t="s">
        <v>6</v>
      </c>
      <c r="B21" s="96">
        <f>'Jowar U'!C25+'Bajra U'!B16+'Maize  U'!C34+'Ragi U'!B17+'Small millets U'!B19</f>
        <v>1949.6</v>
      </c>
      <c r="C21" s="96">
        <f>'Jowar U'!D25+'Bajra U'!C16+'Maize  U'!D34+'Ragi U'!C17+'Small millets U'!C19</f>
        <v>2045</v>
      </c>
      <c r="D21" s="96">
        <f>'Jowar U'!E25+'Bajra U'!D16+'Maize  U'!E34+'Ragi U'!D17+'Small millets U'!D19</f>
        <v>1747</v>
      </c>
      <c r="E21" s="96">
        <f>'Jowar U'!F25+'Bajra U'!E16+'Maize  U'!F34+'Ragi U'!E17+'Small millets U'!E19</f>
        <v>1870.8899999999999</v>
      </c>
      <c r="F21" s="96">
        <f>'Jowar U'!G25+'Bajra U'!F16+'Maize  U'!G34+'Ragi U'!F17+'Small millets U'!F19</f>
        <v>1900</v>
      </c>
      <c r="G21" s="96">
        <f>'Jowar U'!H25+'Bajra U'!G16+'Maize  U'!H34+'Ragi U'!G17+'Small millets U'!G19</f>
        <v>4438.0069999999996</v>
      </c>
      <c r="H21" s="96">
        <f>'Jowar U'!I25+'Bajra U'!H16+'Maize  U'!I34+'Ragi U'!H17+'Small millets U'!H19</f>
        <v>4873.5635000000002</v>
      </c>
      <c r="I21" s="96">
        <f>'Jowar U'!J25+'Bajra U'!I16+'Maize  U'!J34+'Ragi U'!I17+'Small millets U'!I19</f>
        <v>4940.8780000000006</v>
      </c>
      <c r="J21" s="96">
        <f>'Jowar U'!K25+'Bajra U'!J16+'Maize  U'!K34+'Ragi U'!J17+'Small millets U'!J19</f>
        <v>4881.5179100000005</v>
      </c>
      <c r="K21" s="96">
        <f>'Jowar U'!L25+'Bajra U'!K16+'Maize  U'!L34+'Ragi U'!K17+'Small millets U'!K19</f>
        <v>4817.701</v>
      </c>
      <c r="L21" s="99">
        <f t="shared" si="1"/>
        <v>2276.3679729175215</v>
      </c>
      <c r="M21" s="99">
        <f t="shared" si="2"/>
        <v>2383.1606356968214</v>
      </c>
      <c r="N21" s="99">
        <f t="shared" si="3"/>
        <v>2828.2072123640528</v>
      </c>
      <c r="O21" s="99">
        <f t="shared" si="4"/>
        <v>2609.1955753678735</v>
      </c>
      <c r="P21" s="99">
        <f t="shared" si="5"/>
        <v>2535.6321052631579</v>
      </c>
    </row>
    <row r="22" spans="1:16" ht="20.25" customHeight="1" x14ac:dyDescent="0.2">
      <c r="A22" s="199" t="s">
        <v>7</v>
      </c>
      <c r="B22" s="96">
        <f>'Jowar U'!C28+'Bajra U'!B17+'Maize  U'!C37+'Ragi U'!B18+'Small millets U'!B20</f>
        <v>2369.6</v>
      </c>
      <c r="C22" s="96">
        <f>'Jowar U'!D28+'Bajra U'!C17+'Maize  U'!D37+'Ragi U'!C18+'Small millets U'!C20</f>
        <v>2183</v>
      </c>
      <c r="D22" s="96">
        <f>'Jowar U'!E28+'Bajra U'!D17+'Maize  U'!E37+'Ragi U'!D18+'Small millets U'!D20</f>
        <v>1974.8</v>
      </c>
      <c r="E22" s="96">
        <f>'Jowar U'!F28+'Bajra U'!E17+'Maize  U'!F37+'Ragi U'!E18+'Small millets U'!E20</f>
        <v>1876.68</v>
      </c>
      <c r="F22" s="96">
        <f>'Jowar U'!G28+'Bajra U'!F17+'Maize  U'!G37+'Ragi U'!F18+'Small millets U'!F20</f>
        <v>1973.8</v>
      </c>
      <c r="G22" s="96">
        <f>'Jowar U'!H28+'Bajra U'!G17+'Maize  U'!H37+'Ragi U'!G18+'Small millets U'!G20</f>
        <v>3973.1238649999996</v>
      </c>
      <c r="H22" s="96">
        <f>'Jowar U'!I28+'Bajra U'!H17+'Maize  U'!I37+'Ragi U'!H18+'Small millets U'!H20</f>
        <v>3508.8689999999997</v>
      </c>
      <c r="I22" s="96">
        <f>'Jowar U'!J28+'Bajra U'!I17+'Maize  U'!J37+'Ragi U'!I18+'Small millets U'!I20</f>
        <v>2241.5060699999999</v>
      </c>
      <c r="J22" s="96">
        <f>'Jowar U'!K28+'Bajra U'!J17+'Maize  U'!K37+'Ragi U'!J18+'Small millets U'!J20</f>
        <v>1889.3200099999997</v>
      </c>
      <c r="K22" s="96">
        <f>'Jowar U'!L28+'Bajra U'!K17+'Maize  U'!L37+'Ragi U'!K18+'Small millets U'!K20</f>
        <v>3705.7080000000001</v>
      </c>
      <c r="L22" s="99">
        <f t="shared" si="1"/>
        <v>1676.7065601789332</v>
      </c>
      <c r="M22" s="99">
        <f t="shared" si="2"/>
        <v>1607.360971140632</v>
      </c>
      <c r="N22" s="99">
        <f t="shared" si="3"/>
        <v>1135.0547245290663</v>
      </c>
      <c r="O22" s="99">
        <f t="shared" si="4"/>
        <v>1006.7353038344309</v>
      </c>
      <c r="P22" s="99">
        <f t="shared" si="5"/>
        <v>1877.4485763501875</v>
      </c>
    </row>
    <row r="23" spans="1:16" ht="20.25" customHeight="1" x14ac:dyDescent="0.2">
      <c r="A23" s="199" t="s">
        <v>29</v>
      </c>
      <c r="B23" s="96">
        <f>'Maize  U'!C40</f>
        <v>0</v>
      </c>
      <c r="C23" s="96">
        <f>'Maize  U'!D40</f>
        <v>0</v>
      </c>
      <c r="D23" s="96">
        <f>'Maize  U'!E40</f>
        <v>0</v>
      </c>
      <c r="E23" s="96">
        <f>'Maize  U'!F40</f>
        <v>2.2168000000000001</v>
      </c>
      <c r="F23" s="96">
        <f>'Maize  U'!G40</f>
        <v>18.510000000000002</v>
      </c>
      <c r="G23" s="96">
        <f>'Maize  U'!H40</f>
        <v>0</v>
      </c>
      <c r="H23" s="96">
        <f>'Maize  U'!I40</f>
        <v>0</v>
      </c>
      <c r="I23" s="96">
        <f>'Maize  U'!J40</f>
        <v>0</v>
      </c>
      <c r="J23" s="96">
        <f>'Maize  U'!K40</f>
        <v>4.9390304000000009</v>
      </c>
      <c r="K23" s="96">
        <f>'Maize  U'!L40</f>
        <v>43.720620000000004</v>
      </c>
      <c r="L23" s="99" t="e">
        <f t="shared" si="1"/>
        <v>#DIV/0!</v>
      </c>
      <c r="M23" s="99" t="e">
        <f t="shared" si="2"/>
        <v>#DIV/0!</v>
      </c>
      <c r="N23" s="99" t="e">
        <f t="shared" si="3"/>
        <v>#DIV/0!</v>
      </c>
      <c r="O23" s="99">
        <f t="shared" si="4"/>
        <v>2228</v>
      </c>
      <c r="P23" s="99">
        <f t="shared" si="5"/>
        <v>2362</v>
      </c>
    </row>
    <row r="24" spans="1:16" ht="20.25" customHeight="1" x14ac:dyDescent="0.2">
      <c r="A24" s="199" t="s">
        <v>26</v>
      </c>
      <c r="B24" s="96">
        <f>'Maize  U'!C43+'Small millets U'!B21</f>
        <v>21.07</v>
      </c>
      <c r="C24" s="96">
        <f>'Maize  U'!D43+'Small millets U'!C21</f>
        <v>21.076000000000001</v>
      </c>
      <c r="D24" s="96">
        <f>'Maize  U'!E43+'Small millets U'!D21</f>
        <v>21.065000000000001</v>
      </c>
      <c r="E24" s="96">
        <f>'Maize  U'!F43+'Small millets U'!E21</f>
        <v>21.060000000000002</v>
      </c>
      <c r="F24" s="96">
        <f>'Maize  U'!G43+'Small millets U'!F21</f>
        <v>21.077999999999999</v>
      </c>
      <c r="G24" s="96">
        <f>'Maize  U'!H43+'Small millets U'!G21</f>
        <v>44.35</v>
      </c>
      <c r="H24" s="96">
        <f>'Maize  U'!I43+'Small millets U'!H21</f>
        <v>44.403259999999996</v>
      </c>
      <c r="I24" s="96">
        <f>'Maize  U'!J43+'Small millets U'!I21</f>
        <v>44.408312000000002</v>
      </c>
      <c r="J24" s="96">
        <f>'Maize  U'!K43+'Small millets U'!J21</f>
        <v>44.474150000000002</v>
      </c>
      <c r="K24" s="96">
        <f>'Maize  U'!L43+'Small millets U'!K21</f>
        <v>44.547812999999998</v>
      </c>
      <c r="L24" s="99">
        <f t="shared" si="1"/>
        <v>2104.8884670147131</v>
      </c>
      <c r="M24" s="99">
        <f t="shared" si="2"/>
        <v>2106.816283924843</v>
      </c>
      <c r="N24" s="99">
        <f t="shared" si="3"/>
        <v>2108.1562781865655</v>
      </c>
      <c r="O24" s="99">
        <f t="shared" si="4"/>
        <v>2111.7830009496674</v>
      </c>
      <c r="P24" s="99">
        <f t="shared" si="5"/>
        <v>2113.4743808710505</v>
      </c>
    </row>
    <row r="25" spans="1:16" ht="20.25" customHeight="1" x14ac:dyDescent="0.2">
      <c r="A25" s="199" t="s">
        <v>30</v>
      </c>
      <c r="B25" s="96">
        <f>'Maize  U'!C50</f>
        <v>5.4809999999999999</v>
      </c>
      <c r="C25" s="96">
        <f>'Maize  U'!D50</f>
        <v>5.4740000000000002</v>
      </c>
      <c r="D25" s="96">
        <f>'Maize  U'!E50</f>
        <v>5.7329999999999997</v>
      </c>
      <c r="E25" s="96">
        <f>'Maize  U'!F50</f>
        <v>5.86</v>
      </c>
      <c r="F25" s="96">
        <f>'Maize  U'!G50</f>
        <v>6.4279999999999999</v>
      </c>
      <c r="G25" s="96">
        <f>'Maize  U'!H50</f>
        <v>8.4429999999999996</v>
      </c>
      <c r="H25" s="96">
        <f>'Maize  U'!I50</f>
        <v>8.7856999999999985</v>
      </c>
      <c r="I25" s="96">
        <f>'Maize  U'!J50</f>
        <v>10.3</v>
      </c>
      <c r="J25" s="96">
        <f>'Maize  U'!K50</f>
        <v>10.3</v>
      </c>
      <c r="K25" s="96">
        <f>'Maize  U'!L50</f>
        <v>11.724672</v>
      </c>
      <c r="L25" s="99">
        <f t="shared" si="1"/>
        <v>1540.4123335157817</v>
      </c>
      <c r="M25" s="99">
        <f t="shared" si="2"/>
        <v>1604.9872122762144</v>
      </c>
      <c r="N25" s="99">
        <f t="shared" si="3"/>
        <v>1796.6160823303683</v>
      </c>
      <c r="O25" s="99">
        <f t="shared" si="4"/>
        <v>1757.679180887372</v>
      </c>
      <c r="P25" s="99">
        <f t="shared" si="5"/>
        <v>1824</v>
      </c>
    </row>
    <row r="26" spans="1:16" ht="20.25" customHeight="1" x14ac:dyDescent="0.2">
      <c r="A26" s="199" t="s">
        <v>20</v>
      </c>
      <c r="B26" s="96">
        <f>'Jowar U'!C31+'Bajra U'!B18+'Maize  U'!C53+'Ragi U'!B19+'Small millets U'!B22</f>
        <v>74.97</v>
      </c>
      <c r="C26" s="96">
        <f>'Jowar U'!D31+'Bajra U'!C18+'Maize  U'!D53+'Ragi U'!C19+'Small millets U'!C22</f>
        <v>75.510000000000005</v>
      </c>
      <c r="D26" s="96">
        <f>'Jowar U'!E31+'Bajra U'!D18+'Maize  U'!E53+'Ragi U'!D19+'Small millets U'!D22</f>
        <v>73.87</v>
      </c>
      <c r="E26" s="96">
        <f>'Jowar U'!F31+'Bajra U'!E18+'Maize  U'!F53+'Ragi U'!E19+'Small millets U'!E22</f>
        <v>73.91</v>
      </c>
      <c r="F26" s="96">
        <f>'Jowar U'!G31+'Bajra U'!F18+'Maize  U'!G53+'Ragi U'!F19+'Small millets U'!F22</f>
        <v>73.94</v>
      </c>
      <c r="G26" s="96">
        <f>'Jowar U'!H31+'Bajra U'!G18+'Maize  U'!H53+'Ragi U'!G19+'Small millets U'!G22</f>
        <v>138.44</v>
      </c>
      <c r="H26" s="96">
        <f>'Jowar U'!I31+'Bajra U'!H18+'Maize  U'!I53+'Ragi U'!H19+'Small millets U'!H22</f>
        <v>139.21370999999999</v>
      </c>
      <c r="I26" s="96">
        <f>'Jowar U'!J31+'Bajra U'!I18+'Maize  U'!J53+'Ragi U'!I19+'Small millets U'!I22</f>
        <v>137.56952999999999</v>
      </c>
      <c r="J26" s="96">
        <f>'Jowar U'!K31+'Bajra U'!J18+'Maize  U'!K53+'Ragi U'!J19+'Small millets U'!J22</f>
        <v>137.76776999999998</v>
      </c>
      <c r="K26" s="96">
        <f>'Jowar U'!L31+'Bajra U'!K18+'Maize  U'!L53+'Ragi U'!K19+'Small millets U'!K22</f>
        <v>138.08237000000003</v>
      </c>
      <c r="L26" s="99">
        <f t="shared" si="1"/>
        <v>1846.6053087901828</v>
      </c>
      <c r="M26" s="99">
        <f t="shared" si="2"/>
        <v>1843.6460071513704</v>
      </c>
      <c r="N26" s="99">
        <f t="shared" si="3"/>
        <v>1862.3193447949095</v>
      </c>
      <c r="O26" s="99">
        <f t="shared" si="4"/>
        <v>1863.9936409146258</v>
      </c>
      <c r="P26" s="99">
        <f t="shared" si="5"/>
        <v>1867.4921558020021</v>
      </c>
    </row>
    <row r="27" spans="1:16" ht="20.25" customHeight="1" x14ac:dyDescent="0.2">
      <c r="A27" s="199" t="s">
        <v>107</v>
      </c>
      <c r="B27" s="96">
        <f>'Jowar U'!C32+'Bajra U'!B19+'Maize  U'!C56+'Ragi U'!B20+'Small millets U'!B23</f>
        <v>151.49</v>
      </c>
      <c r="C27" s="96">
        <f>'Jowar U'!D32+'Bajra U'!C19+'Maize  U'!D56+'Ragi U'!C20+'Small millets U'!C23</f>
        <v>123.96000000000001</v>
      </c>
      <c r="D27" s="96">
        <f>'Jowar U'!E32+'Bajra U'!D19+'Maize  U'!E56+'Ragi U'!D20+'Small millets U'!D23</f>
        <v>127.99000000000001</v>
      </c>
      <c r="E27" s="96">
        <f>'Jowar U'!F32+'Bajra U'!E19+'Maize  U'!F56+'Ragi U'!E20+'Small millets U'!E23</f>
        <v>137.57999999999998</v>
      </c>
      <c r="F27" s="96">
        <f>'Jowar U'!G32+'Bajra U'!F19+'Maize  U'!G56+'Ragi U'!F20+'Small millets U'!F23</f>
        <v>158.63999999999999</v>
      </c>
      <c r="G27" s="96">
        <f>'Jowar U'!H32+'Bajra U'!G19+'Maize  U'!H56+'Ragi U'!G20+'Small millets U'!G23</f>
        <v>248.67</v>
      </c>
      <c r="H27" s="96">
        <f>'Jowar U'!I32+'Bajra U'!H19+'Maize  U'!I56+'Ragi U'!H20+'Small millets U'!H23</f>
        <v>164.39796999999999</v>
      </c>
      <c r="I27" s="96">
        <f>'Jowar U'!J32+'Bajra U'!I19+'Maize  U'!J56+'Ragi U'!I20+'Small millets U'!I23</f>
        <v>161.67741999999998</v>
      </c>
      <c r="J27" s="96">
        <f>'Jowar U'!K32+'Bajra U'!J19+'Maize  U'!K56+'Ragi U'!J20+'Small millets U'!J23</f>
        <v>223.95650999999998</v>
      </c>
      <c r="K27" s="96">
        <f>'Jowar U'!L32+'Bajra U'!K19+'Maize  U'!L56+'Ragi U'!K20+'Small millets U'!K23</f>
        <v>274.98584</v>
      </c>
      <c r="L27" s="99">
        <f t="shared" si="1"/>
        <v>1641.4944880850219</v>
      </c>
      <c r="M27" s="99">
        <f t="shared" si="2"/>
        <v>1326.2178928686671</v>
      </c>
      <c r="N27" s="99">
        <f t="shared" si="3"/>
        <v>1263.2035315259002</v>
      </c>
      <c r="O27" s="99">
        <f t="shared" si="4"/>
        <v>1627.8275185346708</v>
      </c>
      <c r="P27" s="99">
        <f t="shared" si="5"/>
        <v>1733.395360564801</v>
      </c>
    </row>
    <row r="28" spans="1:16" ht="20.25" customHeight="1" x14ac:dyDescent="0.2">
      <c r="A28" s="199" t="s">
        <v>21</v>
      </c>
      <c r="B28" s="96">
        <f>'Bajra U'!B20+'Maize  U'!C59</f>
        <v>117.2</v>
      </c>
      <c r="C28" s="96">
        <f>'Bajra U'!C20+'Maize  U'!D59</f>
        <v>115</v>
      </c>
      <c r="D28" s="96">
        <f>'Bajra U'!D20+'Maize  U'!E59</f>
        <v>110.1</v>
      </c>
      <c r="E28" s="96">
        <f>'Bajra U'!E20+'Maize  U'!F59</f>
        <v>115.1</v>
      </c>
      <c r="F28" s="96">
        <f>'Bajra U'!F20+'Maize  U'!G59</f>
        <v>108.2</v>
      </c>
      <c r="G28" s="96">
        <f>'Bajra U'!G20+'Maize  U'!H59</f>
        <v>445.7</v>
      </c>
      <c r="H28" s="96">
        <f>'Bajra U'!H20+'Maize  U'!I59</f>
        <v>423.31</v>
      </c>
      <c r="I28" s="96">
        <f>'Bajra U'!I20+'Maize  U'!J59</f>
        <v>395.84109999999998</v>
      </c>
      <c r="J28" s="96">
        <f>'Bajra U'!J20+'Maize  U'!K59</f>
        <v>410.70009999999996</v>
      </c>
      <c r="K28" s="96">
        <f>'Bajra U'!K20+'Maize  U'!L59</f>
        <v>395.34299999999996</v>
      </c>
      <c r="L28" s="99">
        <f t="shared" si="1"/>
        <v>3802.9010238907849</v>
      </c>
      <c r="M28" s="99">
        <f t="shared" si="2"/>
        <v>3680.95652173913</v>
      </c>
      <c r="N28" s="99">
        <f t="shared" si="3"/>
        <v>3595.2870118074479</v>
      </c>
      <c r="O28" s="99">
        <f t="shared" si="4"/>
        <v>3568.2024326672458</v>
      </c>
      <c r="P28" s="99">
        <f t="shared" si="5"/>
        <v>3653.8170055452861</v>
      </c>
    </row>
    <row r="29" spans="1:16" ht="20.25" customHeight="1" x14ac:dyDescent="0.2">
      <c r="A29" s="199" t="s">
        <v>22</v>
      </c>
      <c r="B29" s="96">
        <f>'Jowar U'!C34+'Bajra U'!B21+'Maize  U'!C60+'Small millets U'!B25</f>
        <v>5662.9720000000007</v>
      </c>
      <c r="C29" s="96">
        <f>'Jowar U'!D34+'Bajra U'!C21+'Maize  U'!D60+'Small millets U'!C25</f>
        <v>5618.7019999999984</v>
      </c>
      <c r="D29" s="96">
        <f>'Jowar U'!E34+'Bajra U'!D21+'Maize  U'!E60+'Small millets U'!D25</f>
        <v>5599.8600000000006</v>
      </c>
      <c r="E29" s="96">
        <f>'Jowar U'!F34+'Bajra U'!E21+'Maize  U'!F60+'Small millets U'!E25</f>
        <v>5815.29</v>
      </c>
      <c r="F29" s="96">
        <f>'Jowar U'!G34+'Bajra U'!F21+'Maize  U'!G60+'Small millets U'!F25</f>
        <v>5890.777</v>
      </c>
      <c r="G29" s="96">
        <f>'Jowar U'!H34+'Bajra U'!G21+'Maize  U'!H60+'Small millets U'!G25</f>
        <v>5893.9910000000009</v>
      </c>
      <c r="H29" s="96">
        <f>'Jowar U'!I34+'Bajra U'!H21+'Maize  U'!I60+'Small millets U'!H25</f>
        <v>5801.5824480000001</v>
      </c>
      <c r="I29" s="96">
        <f>'Jowar U'!J34+'Bajra U'!I21+'Maize  U'!J60+'Small millets U'!I25</f>
        <v>6180.8099059999995</v>
      </c>
      <c r="J29" s="96">
        <f>'Jowar U'!K34+'Bajra U'!J21+'Maize  U'!K60+'Small millets U'!J25</f>
        <v>6281.97505</v>
      </c>
      <c r="K29" s="96">
        <f>'Jowar U'!L34+'Bajra U'!K21+'Maize  U'!L60+'Small millets U'!K25</f>
        <v>7342.341668</v>
      </c>
      <c r="L29" s="99">
        <f t="shared" si="1"/>
        <v>1040.7946569398543</v>
      </c>
      <c r="M29" s="99">
        <f t="shared" si="2"/>
        <v>1032.5485224167435</v>
      </c>
      <c r="N29" s="99">
        <f t="shared" si="3"/>
        <v>1103.7436482340629</v>
      </c>
      <c r="O29" s="99">
        <f t="shared" si="4"/>
        <v>1080.2513804126709</v>
      </c>
      <c r="P29" s="99">
        <f t="shared" si="5"/>
        <v>1246.4131078124331</v>
      </c>
    </row>
    <row r="30" spans="1:16" ht="20.25" customHeight="1" x14ac:dyDescent="0.2">
      <c r="A30" s="199" t="s">
        <v>84</v>
      </c>
      <c r="B30" s="96">
        <f>'Maize  U'!C63+'Ragi U'!B21+'Small millets U'!B26</f>
        <v>45.612000000000002</v>
      </c>
      <c r="C30" s="96">
        <f>'Maize  U'!D63+'Ragi U'!C21+'Small millets U'!C26</f>
        <v>40.927</v>
      </c>
      <c r="D30" s="96">
        <f>'Maize  U'!E63+'Ragi U'!D21+'Small millets U'!D26</f>
        <v>39.891999999999996</v>
      </c>
      <c r="E30" s="96">
        <f>'Maize  U'!F63+'Ragi U'!E21+'Small millets U'!E26</f>
        <v>40.668999999999997</v>
      </c>
      <c r="F30" s="96">
        <f>'Maize  U'!G63+'Ragi U'!F21+'Small millets U'!F26</f>
        <v>40.444000000000003</v>
      </c>
      <c r="G30" s="96">
        <f>'Maize  U'!H63+'Ragi U'!G21+'Small millets U'!G26</f>
        <v>75.39</v>
      </c>
      <c r="H30" s="96">
        <f>'Maize  U'!I63+'Ragi U'!H21+'Small millets U'!H26</f>
        <v>70.500824999999992</v>
      </c>
      <c r="I30" s="96">
        <f>'Maize  U'!J63+'Ragi U'!I21+'Small millets U'!I26</f>
        <v>68.973151999999999</v>
      </c>
      <c r="J30" s="96">
        <f>'Maize  U'!K63+'Ragi U'!J21+'Small millets U'!J26</f>
        <v>70.273037000000002</v>
      </c>
      <c r="K30" s="96">
        <f>'Maize  U'!L63+'Ragi U'!K21+'Small millets U'!K26</f>
        <v>70.082352</v>
      </c>
      <c r="L30" s="99">
        <f t="shared" si="1"/>
        <v>1652.8545119705341</v>
      </c>
      <c r="M30" s="99">
        <f t="shared" si="2"/>
        <v>1722.5993842695527</v>
      </c>
      <c r="N30" s="99">
        <f t="shared" si="3"/>
        <v>1728.9970921488018</v>
      </c>
      <c r="O30" s="99">
        <f t="shared" si="4"/>
        <v>1727.9263566844527</v>
      </c>
      <c r="P30" s="99">
        <f t="shared" si="5"/>
        <v>1732.8244486203143</v>
      </c>
    </row>
    <row r="31" spans="1:16" ht="20.25" customHeight="1" x14ac:dyDescent="0.2">
      <c r="A31" s="199" t="s">
        <v>11</v>
      </c>
      <c r="B31" s="96">
        <f>'Jowar U'!C37+'Bajra U'!B22+'Maize  U'!C64+'Ragi U'!B22+'Small millets U'!B27</f>
        <v>432.07</v>
      </c>
      <c r="C31" s="96">
        <f>'Jowar U'!D37+'Bajra U'!C22+'Maize  U'!D64+'Ragi U'!C22+'Small millets U'!C27</f>
        <v>582.36</v>
      </c>
      <c r="D31" s="96">
        <f>'Jowar U'!E37+'Bajra U'!D22+'Maize  U'!E64+'Ragi U'!D22+'Small millets U'!D27</f>
        <v>499.22</v>
      </c>
      <c r="E31" s="96">
        <f>'Jowar U'!F37+'Bajra U'!E22+'Maize  U'!F64+'Ragi U'!E22+'Small millets U'!E27</f>
        <v>578.29999999999995</v>
      </c>
      <c r="F31" s="96">
        <f>'Jowar U'!G37+'Bajra U'!F22+'Maize  U'!G64+'Ragi U'!F22+'Small millets U'!F27</f>
        <v>612.25</v>
      </c>
      <c r="G31" s="96">
        <f>'Jowar U'!H37+'Bajra U'!G22+'Maize  U'!H64+'Ragi U'!G22+'Small millets U'!G27</f>
        <v>1114.6400000000001</v>
      </c>
      <c r="H31" s="96">
        <f>'Jowar U'!I37+'Bajra U'!H22+'Maize  U'!I64+'Ragi U'!H22+'Small millets U'!H27</f>
        <v>2303.2042900000001</v>
      </c>
      <c r="I31" s="96">
        <f>'Jowar U'!J37+'Bajra U'!I22+'Maize  U'!J64+'Ragi U'!I22+'Small millets U'!I27</f>
        <v>1902.3432299999999</v>
      </c>
      <c r="J31" s="96">
        <f>'Jowar U'!K37+'Bajra U'!J22+'Maize  U'!K64+'Ragi U'!J22+'Small millets U'!J27</f>
        <v>2141.8101100000003</v>
      </c>
      <c r="K31" s="96">
        <f>'Jowar U'!L37+'Bajra U'!K22+'Maize  U'!L64+'Ragi U'!K22+'Small millets U'!K27</f>
        <v>2360.05458</v>
      </c>
      <c r="L31" s="99">
        <f t="shared" si="1"/>
        <v>2579.7671673571413</v>
      </c>
      <c r="M31" s="99">
        <f t="shared" si="2"/>
        <v>3954.949326876846</v>
      </c>
      <c r="N31" s="99">
        <f t="shared" si="3"/>
        <v>3810.6310444293094</v>
      </c>
      <c r="O31" s="99">
        <f t="shared" si="4"/>
        <v>3703.6315234307458</v>
      </c>
      <c r="P31" s="99">
        <f t="shared" si="5"/>
        <v>3854.7236913025722</v>
      </c>
    </row>
    <row r="32" spans="1:16" ht="20.25" customHeight="1" x14ac:dyDescent="0.2">
      <c r="A32" s="199" t="s">
        <v>109</v>
      </c>
      <c r="B32" s="96">
        <f>'Jowar U'!C40+'Bajra U'!B23+'Maize  U'!C67+'Ragi U'!B23+'Small millets U'!B28</f>
        <v>717</v>
      </c>
      <c r="C32" s="96">
        <f>'Jowar U'!D40+'Bajra U'!C23+'Maize  U'!D67+'Ragi U'!C23+'Small millets U'!C28</f>
        <v>516</v>
      </c>
      <c r="D32" s="96">
        <f>'Jowar U'!E40+'Bajra U'!D23+'Maize  U'!E67+'Ragi U'!D23+'Small millets U'!D28</f>
        <v>470</v>
      </c>
      <c r="E32" s="96">
        <f>'Jowar U'!F40+'Bajra U'!E23+'Maize  U'!F67+'Ragi U'!E23+'Small millets U'!E28</f>
        <v>460</v>
      </c>
      <c r="F32" s="96">
        <f>'Jowar U'!G40+'Bajra U'!F23+'Maize  U'!G67+'Ragi U'!F23+'Small millets U'!F28</f>
        <v>140</v>
      </c>
      <c r="G32" s="96">
        <f>'Jowar U'!H40+'Bajra U'!G23+'Maize  U'!H67+'Ragi U'!G23+'Small millets U'!G28</f>
        <v>1828</v>
      </c>
      <c r="H32" s="96">
        <f>'Jowar U'!I40+'Bajra U'!H23+'Maize  U'!I67+'Ragi U'!H23+'Small millets U'!H28</f>
        <v>1648.5919999999999</v>
      </c>
      <c r="I32" s="96">
        <f>'Jowar U'!J40+'Bajra U'!I23+'Maize  U'!J67+'Ragi U'!I23+'Small millets U'!I28</f>
        <v>1360.268</v>
      </c>
      <c r="J32" s="96">
        <f>'Jowar U'!K40+'Bajra U'!J23+'Maize  U'!K67+'Ragi U'!J23+'Small millets U'!J28</f>
        <v>1977.1780000000001</v>
      </c>
      <c r="K32" s="96">
        <f>'Jowar U'!L40+'Bajra U'!K23+'Maize  U'!L67+'Ragi U'!K23+'Small millets U'!K28</f>
        <v>445.072</v>
      </c>
      <c r="L32" s="99">
        <f t="shared" si="1"/>
        <v>2549.5118549511858</v>
      </c>
      <c r="M32" s="99">
        <f t="shared" si="2"/>
        <v>3194.9457364341079</v>
      </c>
      <c r="N32" s="99">
        <f t="shared" si="3"/>
        <v>2894.1872340425534</v>
      </c>
      <c r="O32" s="99">
        <f t="shared" si="4"/>
        <v>4298.2130434782612</v>
      </c>
      <c r="P32" s="99">
        <f t="shared" si="5"/>
        <v>3179.0857142857144</v>
      </c>
    </row>
    <row r="33" spans="1:16" ht="20.25" customHeight="1" x14ac:dyDescent="0.2">
      <c r="A33" s="199" t="s">
        <v>85</v>
      </c>
      <c r="B33" s="96">
        <f>'Jowar U'!C43+'Maize  U'!C70+'Small millets U'!B29</f>
        <v>13.231</v>
      </c>
      <c r="C33" s="96">
        <f>'Jowar U'!D43+'Maize  U'!D70+'Small millets U'!C29</f>
        <v>14.946</v>
      </c>
      <c r="D33" s="96">
        <f>'Jowar U'!E43+'Maize  U'!E70+'Small millets U'!D29</f>
        <v>14.665000000000001</v>
      </c>
      <c r="E33" s="96">
        <f>'Jowar U'!F43+'Maize  U'!F70+'Small millets U'!E29</f>
        <v>13.488</v>
      </c>
      <c r="F33" s="96">
        <f>'Jowar U'!G43+'Maize  U'!G70+'Small millets U'!F29</f>
        <v>16.225999999999999</v>
      </c>
      <c r="G33" s="96">
        <f>'Jowar U'!H43+'Maize  U'!H70+'Small millets U'!G29</f>
        <v>17.436</v>
      </c>
      <c r="H33" s="96">
        <f>'Jowar U'!I43+'Maize  U'!I70+'Small millets U'!H29</f>
        <v>20.231070000000003</v>
      </c>
      <c r="I33" s="96">
        <f>'Jowar U'!J43+'Maize  U'!J70+'Small millets U'!I29</f>
        <v>18.341645000000003</v>
      </c>
      <c r="J33" s="96">
        <f>'Jowar U'!K43+'Maize  U'!K70+'Small millets U'!J29</f>
        <v>18.58398</v>
      </c>
      <c r="K33" s="96">
        <f>'Jowar U'!L43+'Maize  U'!L70+'Small millets U'!K29</f>
        <v>25.854885000000003</v>
      </c>
      <c r="L33" s="99">
        <f t="shared" si="1"/>
        <v>1317.8142241705086</v>
      </c>
      <c r="M33" s="99">
        <f t="shared" si="2"/>
        <v>1353.6109995985551</v>
      </c>
      <c r="N33" s="99">
        <f t="shared" si="3"/>
        <v>1250.7088305489262</v>
      </c>
      <c r="O33" s="99">
        <f t="shared" si="4"/>
        <v>1377.8158362989325</v>
      </c>
      <c r="P33" s="99">
        <f t="shared" si="5"/>
        <v>1593.4232096635033</v>
      </c>
    </row>
    <row r="34" spans="1:16" ht="20.25" customHeight="1" x14ac:dyDescent="0.2">
      <c r="A34" s="199" t="s">
        <v>12</v>
      </c>
      <c r="B34" s="96">
        <f>'Jowar U'!C46+'Bajra U'!B24+'Maize  U'!C73+'Small millets U'!B30</f>
        <v>1826</v>
      </c>
      <c r="C34" s="96">
        <f>'Jowar U'!D46+'Bajra U'!C24+'Maize  U'!D73+'Small millets U'!C30</f>
        <v>1767</v>
      </c>
      <c r="D34" s="96">
        <f>'Jowar U'!E46+'Bajra U'!D24+'Maize  U'!E73+'Small millets U'!D30</f>
        <v>1704</v>
      </c>
      <c r="E34" s="96">
        <f>'Jowar U'!F46+'Bajra U'!E24+'Maize  U'!F73+'Small millets U'!E30</f>
        <v>1758</v>
      </c>
      <c r="F34" s="96">
        <f>'Jowar U'!G46+'Bajra U'!F24+'Maize  U'!G73+'Small millets U'!F30</f>
        <v>1802</v>
      </c>
      <c r="G34" s="96">
        <f>'Jowar U'!H46+'Bajra U'!G24+'Maize  U'!H73+'Small millets U'!G30</f>
        <v>3288</v>
      </c>
      <c r="H34" s="96">
        <f>'Jowar U'!I46+'Bajra U'!H24+'Maize  U'!I73+'Small millets U'!H30</f>
        <v>3470.4680000000003</v>
      </c>
      <c r="I34" s="96">
        <f>'Jowar U'!J46+'Bajra U'!I24+'Maize  U'!J73+'Small millets U'!I30</f>
        <v>3360.43</v>
      </c>
      <c r="J34" s="96">
        <f>'Jowar U'!K46+'Bajra U'!J24+'Maize  U'!K73+'Small millets U'!J30</f>
        <v>3702.4749999999999</v>
      </c>
      <c r="K34" s="96">
        <f>'Jowar U'!L46+'Bajra U'!K24+'Maize  U'!L73+'Small millets U'!K30</f>
        <v>3935.2799999999993</v>
      </c>
      <c r="L34" s="99">
        <f t="shared" si="1"/>
        <v>1800.6571741511502</v>
      </c>
      <c r="M34" s="99">
        <f t="shared" si="2"/>
        <v>1964.0452744765139</v>
      </c>
      <c r="N34" s="99">
        <f t="shared" si="3"/>
        <v>1972.0833333333333</v>
      </c>
      <c r="O34" s="99">
        <f t="shared" si="4"/>
        <v>2106.0722411831625</v>
      </c>
      <c r="P34" s="99">
        <f t="shared" si="5"/>
        <v>2183.8401775804659</v>
      </c>
    </row>
    <row r="35" spans="1:16" ht="20.25" customHeight="1" x14ac:dyDescent="0.2">
      <c r="A35" s="199" t="s">
        <v>90</v>
      </c>
      <c r="B35" s="76">
        <f>'Maize  U'!C76+'Ragi U'!B24+'Small millets U'!B31</f>
        <v>192</v>
      </c>
      <c r="C35" s="76">
        <f>'Maize  U'!D76+'Ragi U'!C24+'Small millets U'!C31</f>
        <v>184</v>
      </c>
      <c r="D35" s="76">
        <f>'Maize  U'!E76+'Ragi U'!D24+'Small millets U'!D31</f>
        <v>169</v>
      </c>
      <c r="E35" s="76">
        <f>'Maize  U'!F76+'Ragi U'!E24+'Small millets U'!E31</f>
        <v>158</v>
      </c>
      <c r="F35" s="76">
        <f>'Maize  U'!G76+'Ragi U'!F24+'Small millets U'!F31</f>
        <v>158</v>
      </c>
      <c r="G35" s="76">
        <f>'Maize  U'!H76+'Ragi U'!G24+'Small millets U'!G31</f>
        <v>282</v>
      </c>
      <c r="H35" s="76">
        <f>'Maize  U'!I76+'Ragi U'!H24+'Small millets U'!H31</f>
        <v>260.14099999999996</v>
      </c>
      <c r="I35" s="76">
        <f>'Maize  U'!J76+'Ragi U'!I24+'Small millets U'!I31</f>
        <v>218.922</v>
      </c>
      <c r="J35" s="76">
        <f>'Maize  U'!K76+'Ragi U'!J24+'Small millets U'!J31</f>
        <v>231.428</v>
      </c>
      <c r="K35" s="76">
        <f>'Maize  U'!L76+'Ragi U'!K24+'Small millets U'!K31</f>
        <v>242.33199999999999</v>
      </c>
      <c r="L35" s="99">
        <f t="shared" si="1"/>
        <v>1468.75</v>
      </c>
      <c r="M35" s="99">
        <f t="shared" si="2"/>
        <v>1413.8097826086955</v>
      </c>
      <c r="N35" s="99">
        <f t="shared" si="3"/>
        <v>1295.396449704142</v>
      </c>
      <c r="O35" s="99">
        <f t="shared" si="4"/>
        <v>1464.7341772151899</v>
      </c>
      <c r="P35" s="99">
        <f t="shared" si="5"/>
        <v>1533.746835443038</v>
      </c>
    </row>
    <row r="36" spans="1:16" ht="20.25" customHeight="1" x14ac:dyDescent="0.2">
      <c r="A36" s="199" t="s">
        <v>13</v>
      </c>
      <c r="B36" s="96">
        <f>'Jowar U'!C47+'Bajra U'!B25+'Maize  U'!C79+'Ragi U'!B25+'Small millets U'!B32</f>
        <v>58.885999999999996</v>
      </c>
      <c r="C36" s="96">
        <f>'Jowar U'!D47+'Bajra U'!C25+'Maize  U'!D79+'Ragi U'!C25+'Small millets U'!C32</f>
        <v>71.13000000000001</v>
      </c>
      <c r="D36" s="96">
        <f>'Jowar U'!E47+'Bajra U'!D25+'Maize  U'!E79+'Ragi U'!D25+'Small millets U'!D32</f>
        <v>62.489999999999995</v>
      </c>
      <c r="E36" s="96">
        <f>'Jowar U'!F47+'Bajra U'!E25+'Maize  U'!F79+'Ragi U'!E25+'Small millets U'!E32</f>
        <v>59.228999999999999</v>
      </c>
      <c r="F36" s="96">
        <f>'Jowar U'!G47+'Bajra U'!F25+'Maize  U'!G79+'Ragi U'!F25+'Small millets U'!F32</f>
        <v>59.104000000000006</v>
      </c>
      <c r="G36" s="96">
        <f>'Jowar U'!H47+'Bajra U'!G25+'Maize  U'!H79+'Ragi U'!G25+'Small millets U'!G32</f>
        <v>137.98599999999999</v>
      </c>
      <c r="H36" s="96">
        <f>'Jowar U'!I47+'Bajra U'!H25+'Maize  U'!I79+'Ragi U'!H25+'Small millets U'!H32</f>
        <v>167.37799999999999</v>
      </c>
      <c r="I36" s="96">
        <f>'Jowar U'!J47+'Bajra U'!I25+'Maize  U'!J79+'Ragi U'!I25+'Small millets U'!I32</f>
        <v>189.825998</v>
      </c>
      <c r="J36" s="96">
        <f>'Jowar U'!K47+'Bajra U'!J25+'Maize  U'!K79+'Ragi U'!J25+'Small millets U'!J32</f>
        <v>180.12100400000003</v>
      </c>
      <c r="K36" s="96">
        <f>'Jowar U'!L47+'Bajra U'!K25+'Maize  U'!L79+'Ragi U'!K25+'Small millets U'!K32</f>
        <v>170.026613</v>
      </c>
      <c r="L36" s="99">
        <f t="shared" si="1"/>
        <v>2343.2734436028941</v>
      </c>
      <c r="M36" s="99">
        <f t="shared" si="2"/>
        <v>2353.1280753549836</v>
      </c>
      <c r="N36" s="99">
        <f t="shared" si="3"/>
        <v>3037.7020003200514</v>
      </c>
      <c r="O36" s="99">
        <f t="shared" si="4"/>
        <v>3041.0948015330337</v>
      </c>
      <c r="P36" s="99">
        <f t="shared" si="5"/>
        <v>2876.7361430698429</v>
      </c>
    </row>
    <row r="37" spans="1:16" ht="20.25" customHeight="1" x14ac:dyDescent="0.2">
      <c r="A37" s="199" t="s">
        <v>87</v>
      </c>
      <c r="B37" s="96">
        <f>'Maize  U'!C82</f>
        <v>0.10349999999999999</v>
      </c>
      <c r="C37" s="96">
        <f>'Maize  U'!D82</f>
        <v>4.36E-2</v>
      </c>
      <c r="D37" s="96">
        <f>'Maize  U'!E82</f>
        <v>3.243E-2</v>
      </c>
      <c r="E37" s="96">
        <f>'Maize  U'!F82</f>
        <v>0</v>
      </c>
      <c r="F37" s="96">
        <f>'Maize  U'!G82</f>
        <v>4.1000000000000002E-2</v>
      </c>
      <c r="G37" s="96">
        <f>'Maize  U'!H82</f>
        <v>0.216</v>
      </c>
      <c r="H37" s="96">
        <f>'Maize  U'!I82</f>
        <v>3.7583199999999997E-2</v>
      </c>
      <c r="I37" s="96">
        <f>'Maize  U'!J82</f>
        <v>4.8969300000000007E-2</v>
      </c>
      <c r="J37" s="96">
        <f>'Maize  U'!K82</f>
        <v>0</v>
      </c>
      <c r="K37" s="96">
        <f>'Maize  U'!L82</f>
        <v>0.10988000000000001</v>
      </c>
      <c r="L37" s="99">
        <f t="shared" si="1"/>
        <v>2086.9565217391305</v>
      </c>
      <c r="M37" s="99">
        <f t="shared" si="2"/>
        <v>862</v>
      </c>
      <c r="N37" s="99">
        <f t="shared" si="3"/>
        <v>1510.0000000000002</v>
      </c>
      <c r="O37" s="99" t="e">
        <f t="shared" si="4"/>
        <v>#DIV/0!</v>
      </c>
      <c r="P37" s="99">
        <f t="shared" si="5"/>
        <v>2680</v>
      </c>
    </row>
    <row r="38" spans="1:16" ht="20.25" customHeight="1" x14ac:dyDescent="0.2">
      <c r="A38" s="199" t="s">
        <v>42</v>
      </c>
      <c r="B38" s="96">
        <f>'Jowar U'!C48+'Maize  U'!C83+'Ragi U'!B26+'Small millets U'!B33</f>
        <v>0.86899999999999999</v>
      </c>
      <c r="C38" s="96">
        <f>'Jowar U'!D48+'Maize  U'!D83+'Ragi U'!C26+'Small millets U'!C33</f>
        <v>0.85899999999999999</v>
      </c>
      <c r="D38" s="96">
        <f>'Jowar U'!E48+'Maize  U'!E83+'Ragi U'!D26+'Small millets U'!D33</f>
        <v>1.2400000000000002</v>
      </c>
      <c r="E38" s="96">
        <f>'Jowar U'!F48+'Maize  U'!F83+'Ragi U'!E26+'Small millets U'!E33</f>
        <v>0.90900000000000003</v>
      </c>
      <c r="F38" s="96">
        <f>'Jowar U'!G48+'Maize  U'!G83+'Ragi U'!F26+'Small millets U'!F33</f>
        <v>0.84499999999999997</v>
      </c>
      <c r="G38" s="96">
        <f>'Jowar U'!H48+'Maize  U'!H83+'Ragi U'!G26+'Small millets U'!G33</f>
        <v>1.4769999999999999</v>
      </c>
      <c r="H38" s="96">
        <f>'Jowar U'!I48+'Maize  U'!I83+'Ragi U'!H26+'Small millets U'!H33</f>
        <v>1.46</v>
      </c>
      <c r="I38" s="96">
        <f>'Jowar U'!J48+'Maize  U'!J83+'Ragi U'!I26+'Small millets U'!I33</f>
        <v>1.6046</v>
      </c>
      <c r="J38" s="96">
        <f>'Jowar U'!K48+'Maize  U'!K83+'Ragi U'!J26+'Small millets U'!J33</f>
        <v>1.5</v>
      </c>
      <c r="K38" s="96">
        <f>'Jowar U'!L48+'Maize  U'!L83+'Ragi U'!K26+'Small millets U'!K33</f>
        <v>1.39594</v>
      </c>
      <c r="L38" s="99">
        <f t="shared" si="1"/>
        <v>1699.6547756041425</v>
      </c>
      <c r="M38" s="99">
        <f t="shared" si="2"/>
        <v>1699.6507566938299</v>
      </c>
      <c r="N38" s="99">
        <f t="shared" si="3"/>
        <v>1294.0322580645159</v>
      </c>
      <c r="O38" s="99">
        <f t="shared" si="4"/>
        <v>1650.1650165016501</v>
      </c>
      <c r="P38" s="99">
        <f t="shared" si="5"/>
        <v>1652</v>
      </c>
    </row>
    <row r="39" spans="1:16" ht="20.25" customHeight="1" x14ac:dyDescent="0.2">
      <c r="A39" s="199" t="s">
        <v>23</v>
      </c>
      <c r="B39" s="96">
        <f>'Jowar U'!C49+'Bajra U'!B27+'Maize  U'!C86</f>
        <v>4.7200000000000006</v>
      </c>
      <c r="C39" s="96">
        <f>'Jowar U'!D49+'Bajra U'!C27+'Maize  U'!D86</f>
        <v>4.6769999999999996</v>
      </c>
      <c r="D39" s="96">
        <f>'Jowar U'!E49+'Bajra U'!D27+'Maize  U'!E86</f>
        <v>4.66</v>
      </c>
      <c r="E39" s="96">
        <f>'Jowar U'!F49+'Bajra U'!E27+'Maize  U'!F86</f>
        <v>4.6449999999999996</v>
      </c>
      <c r="F39" s="96">
        <f>'Jowar U'!G49+'Bajra U'!F27+'Maize  U'!G86</f>
        <v>4.2970000000000006</v>
      </c>
      <c r="G39" s="96">
        <f>'Jowar U'!H49+'Bajra U'!G27+'Maize  U'!H86</f>
        <v>6.5170000000000003</v>
      </c>
      <c r="H39" s="96">
        <f>'Jowar U'!I49+'Bajra U'!H27+'Maize  U'!I86</f>
        <v>6.4645260000000002</v>
      </c>
      <c r="I39" s="96">
        <f>'Jowar U'!J49+'Bajra U'!I27+'Maize  U'!J86</f>
        <v>6.3919999999999995</v>
      </c>
      <c r="J39" s="96">
        <f>'Jowar U'!K49+'Bajra U'!J27+'Maize  U'!K86</f>
        <v>6.3420000000000005</v>
      </c>
      <c r="K39" s="96">
        <f>'Jowar U'!L49+'Bajra U'!K27+'Maize  U'!L86</f>
        <v>8.2631020000000017</v>
      </c>
      <c r="L39" s="99">
        <f t="shared" si="1"/>
        <v>1380.7203389830506</v>
      </c>
      <c r="M39" s="99">
        <f t="shared" si="2"/>
        <v>1382.194996792816</v>
      </c>
      <c r="N39" s="99">
        <f t="shared" si="3"/>
        <v>1371.6738197424891</v>
      </c>
      <c r="O39" s="99">
        <f t="shared" si="4"/>
        <v>1365.3390742734125</v>
      </c>
      <c r="P39" s="99">
        <f t="shared" si="5"/>
        <v>1922.9932511054226</v>
      </c>
    </row>
    <row r="40" spans="1:16" ht="20.25" customHeight="1" x14ac:dyDescent="0.2">
      <c r="A40" s="199" t="s">
        <v>86</v>
      </c>
      <c r="B40" s="96">
        <f>'Bajra U'!B28</f>
        <v>0.434</v>
      </c>
      <c r="C40" s="96">
        <f>'Bajra U'!C28</f>
        <v>0.434</v>
      </c>
      <c r="D40" s="96">
        <f>'Bajra U'!D28</f>
        <v>0.496</v>
      </c>
      <c r="E40" s="96">
        <f>'Bajra U'!E28</f>
        <v>0.32500000000000001</v>
      </c>
      <c r="F40" s="96">
        <f>'Bajra U'!F28</f>
        <v>0.496</v>
      </c>
      <c r="G40" s="96">
        <f>'Bajra U'!G28</f>
        <v>0.47799999999999998</v>
      </c>
      <c r="H40" s="96">
        <f>'Bajra U'!H28</f>
        <v>0.57852200000000009</v>
      </c>
      <c r="I40" s="96">
        <f>'Bajra U'!I28</f>
        <v>0.64777599999999991</v>
      </c>
      <c r="J40" s="96">
        <f>'Bajra U'!J28</f>
        <v>0.37375000000000003</v>
      </c>
      <c r="K40" s="96">
        <f>'Bajra U'!K28</f>
        <v>0.74846399999999991</v>
      </c>
      <c r="L40" s="99">
        <f t="shared" si="1"/>
        <v>1101.3824884792627</v>
      </c>
      <c r="M40" s="99">
        <f t="shared" si="2"/>
        <v>1333.0000000000002</v>
      </c>
      <c r="N40" s="99">
        <f t="shared" si="3"/>
        <v>1305.9999999999998</v>
      </c>
      <c r="O40" s="99">
        <f t="shared" si="4"/>
        <v>1150.0000000000002</v>
      </c>
      <c r="P40" s="99">
        <f>K40/F40*1000</f>
        <v>1509</v>
      </c>
    </row>
    <row r="41" spans="1:16" ht="20.25" customHeight="1" x14ac:dyDescent="0.2">
      <c r="A41" s="199" t="s">
        <v>203</v>
      </c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9"/>
      <c r="M41" s="99"/>
      <c r="N41" s="99"/>
      <c r="O41" s="99"/>
      <c r="P41" s="99"/>
    </row>
    <row r="42" spans="1:16" ht="20.25" customHeight="1" x14ac:dyDescent="0.2">
      <c r="A42" s="199" t="s">
        <v>113</v>
      </c>
      <c r="B42" s="96">
        <f>'Bajra U'!B26+'Ragi U'!B27+'Small millets U'!B34</f>
        <v>6.7000000000000004E-2</v>
      </c>
      <c r="C42" s="96">
        <f>'Bajra U'!C26+'Ragi U'!C27+'Small millets U'!C34</f>
        <v>0.128</v>
      </c>
      <c r="D42" s="96">
        <f>'Bajra U'!D26+'Ragi U'!D27+'Small millets U'!D34</f>
        <v>0.11800000000000001</v>
      </c>
      <c r="E42" s="96">
        <f>'Bajra U'!E26+'Ragi U'!E27+'Small millets U'!E34</f>
        <v>0.17599999999999999</v>
      </c>
      <c r="F42" s="96">
        <f>'Bajra U'!F26+'Ragi U'!F27+'Small millets U'!F34</f>
        <v>0.11899999999999999</v>
      </c>
      <c r="G42" s="96">
        <f>'Bajra U'!G26+'Ragi U'!G27+'Small millets U'!G34</f>
        <v>9.3000000000000013E-2</v>
      </c>
      <c r="H42" s="96">
        <f>'Bajra U'!H26+'Ragi U'!H27+'Small millets U'!H34</f>
        <v>0.36100900000000002</v>
      </c>
      <c r="I42" s="96">
        <f>'Bajra U'!I26+'Ragi U'!I27+'Small millets U'!I34</f>
        <v>0.27598500000000004</v>
      </c>
      <c r="J42" s="96">
        <f>'Bajra U'!J26+'Ragi U'!J27+'Small millets U'!J34</f>
        <v>0.41501500000000002</v>
      </c>
      <c r="K42" s="96">
        <f>'Bajra U'!K26+'Ragi U'!K27+'Small millets U'!K34</f>
        <v>0.28698999999999997</v>
      </c>
      <c r="L42" s="99">
        <f t="shared" si="1"/>
        <v>1388.0597014925372</v>
      </c>
      <c r="M42" s="99">
        <f t="shared" si="2"/>
        <v>2820.3828125</v>
      </c>
      <c r="N42" s="99">
        <f t="shared" si="3"/>
        <v>2338.8559322033902</v>
      </c>
      <c r="O42" s="99">
        <f t="shared" si="4"/>
        <v>2358.039772727273</v>
      </c>
      <c r="P42" s="99">
        <f t="shared" si="5"/>
        <v>2411.6806722689071</v>
      </c>
    </row>
    <row r="43" spans="1:16" ht="20.25" customHeight="1" x14ac:dyDescent="0.2">
      <c r="A43" s="199" t="s">
        <v>111</v>
      </c>
      <c r="B43" s="96">
        <f>'Maize  U'!C87</f>
        <v>0</v>
      </c>
      <c r="C43" s="96">
        <f>'Maize  U'!D87</f>
        <v>0</v>
      </c>
      <c r="D43" s="96">
        <f>'Maize  U'!E87</f>
        <v>0</v>
      </c>
      <c r="E43" s="96">
        <f>'Maize  U'!F87</f>
        <v>0.08</v>
      </c>
      <c r="F43" s="96">
        <f>'Maize  U'!G87</f>
        <v>8.0000000000000002E-3</v>
      </c>
      <c r="G43" s="96">
        <f>'Maize  U'!H87</f>
        <v>0</v>
      </c>
      <c r="H43" s="96">
        <f>'Maize  U'!I87</f>
        <v>0</v>
      </c>
      <c r="I43" s="96">
        <f>'Maize  U'!J87</f>
        <v>0</v>
      </c>
      <c r="J43" s="96">
        <f>'Maize  U'!K87</f>
        <v>0.24</v>
      </c>
      <c r="K43" s="96">
        <f>'Maize  U'!L87</f>
        <v>2.4E-2</v>
      </c>
      <c r="L43" s="99" t="e">
        <f t="shared" si="1"/>
        <v>#DIV/0!</v>
      </c>
      <c r="M43" s="99" t="e">
        <f t="shared" si="2"/>
        <v>#DIV/0!</v>
      </c>
      <c r="N43" s="99" t="e">
        <f t="shared" si="3"/>
        <v>#DIV/0!</v>
      </c>
      <c r="O43" s="99">
        <f t="shared" si="4"/>
        <v>3000</v>
      </c>
      <c r="P43" s="99">
        <f t="shared" si="5"/>
        <v>3000</v>
      </c>
    </row>
    <row r="44" spans="1:16" s="8" customFormat="1" ht="22.5" customHeight="1" x14ac:dyDescent="0.2">
      <c r="A44" s="199" t="s">
        <v>46</v>
      </c>
      <c r="B44" s="103">
        <f>'Jowar U'!C51+'Bajra U'!B29+'Maize  U'!C90+'Ragi U'!B28+'Small millets U'!B35</f>
        <v>18994.797500000004</v>
      </c>
      <c r="C44" s="103">
        <f>'Jowar U'!D51+'Bajra U'!C29+'Maize  U'!D90+'Ragi U'!C28+'Small millets U'!C35</f>
        <v>18714.718299999997</v>
      </c>
      <c r="D44" s="103">
        <f>'Jowar U'!E51+'Bajra U'!D29+'Maize  U'!E90+'Ragi U'!D28+'Small millets U'!D35</f>
        <v>17534.985629999996</v>
      </c>
      <c r="E44" s="103">
        <f>'Jowar U'!F51+'Bajra U'!E29+'Maize  U'!F90+'Ragi U'!E28+'Small millets U'!E35</f>
        <v>18313.581799999996</v>
      </c>
      <c r="F44" s="103">
        <f>'Jowar U'!G51+'Bajra U'!F29+'Maize  U'!G90+'Ragi U'!F28+'Small millets U'!F35</f>
        <v>18653.233</v>
      </c>
      <c r="G44" s="103">
        <f>'Jowar U'!H51+'Bajra U'!G29+'Maize  U'!H90+'Ragi U'!G28+'Small millets U'!G35</f>
        <v>32440.478664999995</v>
      </c>
      <c r="H44" s="103">
        <f>'Jowar U'!I51+'Bajra U'!H29+'Maize  U'!I90+'Ragi U'!H28+'Small millets U'!H35</f>
        <v>34025.299587000001</v>
      </c>
      <c r="I44" s="103">
        <f>'Jowar U'!J51+'Bajra U'!I29+'Maize  U'!J90+'Ragi U'!I28+'Small millets U'!I35</f>
        <v>31384.471962900003</v>
      </c>
      <c r="J44" s="103">
        <f>'Jowar U'!K51+'Bajra U'!J29+'Maize  U'!K90+'Ragi U'!J28+'Small millets U'!J35</f>
        <v>33614.764972400008</v>
      </c>
      <c r="K44" s="103">
        <f>'Jowar U'!L51+'Bajra U'!K29+'Maize  U'!L90+'Ragi U'!K28+'Small millets U'!K35</f>
        <v>36749.90065499999</v>
      </c>
      <c r="L44" s="285">
        <f t="shared" si="1"/>
        <v>1707.8612533247583</v>
      </c>
      <c r="M44" s="285">
        <f t="shared" si="2"/>
        <v>1818.1037535040005</v>
      </c>
      <c r="N44" s="285">
        <f t="shared" si="3"/>
        <v>1789.8202271238479</v>
      </c>
      <c r="O44" s="285">
        <f t="shared" si="4"/>
        <v>1835.5101333808996</v>
      </c>
      <c r="P44" s="285">
        <f t="shared" si="5"/>
        <v>1970.1625265175207</v>
      </c>
    </row>
    <row r="45" spans="1:16" x14ac:dyDescent="0.2">
      <c r="A45" s="21"/>
    </row>
    <row r="46" spans="1:16" x14ac:dyDescent="0.2">
      <c r="A46" s="21"/>
    </row>
    <row r="47" spans="1:16" x14ac:dyDescent="0.2">
      <c r="A47" s="21"/>
    </row>
    <row r="48" spans="1:16" x14ac:dyDescent="0.2">
      <c r="A48" s="21"/>
    </row>
    <row r="49" spans="1:1" x14ac:dyDescent="0.2">
      <c r="A49" s="21"/>
    </row>
    <row r="50" spans="1:1" x14ac:dyDescent="0.2">
      <c r="A50" s="21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 s="21"/>
    </row>
    <row r="58" spans="1:1" x14ac:dyDescent="0.2">
      <c r="A58" s="21"/>
    </row>
    <row r="59" spans="1:1" x14ac:dyDescent="0.2">
      <c r="A59" s="21"/>
    </row>
    <row r="60" spans="1:1" x14ac:dyDescent="0.2">
      <c r="A60" s="21"/>
    </row>
    <row r="61" spans="1:1" x14ac:dyDescent="0.2">
      <c r="A61" s="21"/>
    </row>
    <row r="62" spans="1:1" x14ac:dyDescent="0.2">
      <c r="A62" s="21"/>
    </row>
    <row r="63" spans="1:1" x14ac:dyDescent="0.2">
      <c r="A63" s="21"/>
    </row>
    <row r="64" spans="1:1" x14ac:dyDescent="0.2">
      <c r="A64" s="21"/>
    </row>
    <row r="65" spans="1:1" x14ac:dyDescent="0.2">
      <c r="A65" s="21"/>
    </row>
    <row r="66" spans="1:1" x14ac:dyDescent="0.2">
      <c r="A66" s="21"/>
    </row>
    <row r="67" spans="1:1" x14ac:dyDescent="0.2">
      <c r="A67" s="21"/>
    </row>
    <row r="68" spans="1:1" x14ac:dyDescent="0.2">
      <c r="A68" s="21"/>
    </row>
    <row r="69" spans="1:1" x14ac:dyDescent="0.2">
      <c r="A69" s="21"/>
    </row>
    <row r="70" spans="1:1" x14ac:dyDescent="0.2">
      <c r="A70" s="21"/>
    </row>
    <row r="71" spans="1:1" x14ac:dyDescent="0.2">
      <c r="A71" s="21"/>
    </row>
    <row r="72" spans="1:1" x14ac:dyDescent="0.2">
      <c r="A72" s="21"/>
    </row>
    <row r="73" spans="1:1" x14ac:dyDescent="0.2">
      <c r="A73" s="21"/>
    </row>
    <row r="74" spans="1:1" x14ac:dyDescent="0.2">
      <c r="A74" s="21"/>
    </row>
    <row r="75" spans="1:1" x14ac:dyDescent="0.2">
      <c r="A75" s="21"/>
    </row>
    <row r="76" spans="1:1" x14ac:dyDescent="0.2">
      <c r="A76" s="21"/>
    </row>
    <row r="77" spans="1:1" x14ac:dyDescent="0.2">
      <c r="A77" s="21"/>
    </row>
    <row r="78" spans="1:1" x14ac:dyDescent="0.2">
      <c r="A78" s="21"/>
    </row>
    <row r="79" spans="1:1" x14ac:dyDescent="0.2">
      <c r="A79" s="21"/>
    </row>
    <row r="80" spans="1:1" x14ac:dyDescent="0.2">
      <c r="A80" s="21"/>
    </row>
    <row r="81" spans="1:1" x14ac:dyDescent="0.2">
      <c r="A81" s="21"/>
    </row>
    <row r="82" spans="1:1" x14ac:dyDescent="0.2">
      <c r="A82" s="21"/>
    </row>
    <row r="83" spans="1:1" x14ac:dyDescent="0.2">
      <c r="A83" s="21"/>
    </row>
    <row r="84" spans="1:1" x14ac:dyDescent="0.2">
      <c r="A84" s="21"/>
    </row>
    <row r="85" spans="1:1" x14ac:dyDescent="0.2">
      <c r="A85" s="21"/>
    </row>
    <row r="86" spans="1:1" x14ac:dyDescent="0.2">
      <c r="A86" s="21"/>
    </row>
    <row r="87" spans="1:1" x14ac:dyDescent="0.2">
      <c r="A87" s="21"/>
    </row>
    <row r="88" spans="1:1" x14ac:dyDescent="0.2">
      <c r="A88" s="21"/>
    </row>
    <row r="89" spans="1:1" x14ac:dyDescent="0.2">
      <c r="A89" s="21"/>
    </row>
    <row r="90" spans="1:1" x14ac:dyDescent="0.2">
      <c r="A90" s="21"/>
    </row>
    <row r="91" spans="1:1" x14ac:dyDescent="0.2">
      <c r="A91" s="21"/>
    </row>
    <row r="92" spans="1:1" x14ac:dyDescent="0.2">
      <c r="A92" s="21"/>
    </row>
    <row r="93" spans="1:1" x14ac:dyDescent="0.2">
      <c r="A93" s="21"/>
    </row>
    <row r="94" spans="1:1" x14ac:dyDescent="0.2">
      <c r="A94" s="21"/>
    </row>
    <row r="95" spans="1:1" x14ac:dyDescent="0.2">
      <c r="A95" s="21"/>
    </row>
    <row r="96" spans="1:1" x14ac:dyDescent="0.2">
      <c r="A96" s="21"/>
    </row>
    <row r="97" spans="1:1" x14ac:dyDescent="0.2">
      <c r="A97" s="21"/>
    </row>
    <row r="98" spans="1:1" x14ac:dyDescent="0.2">
      <c r="A98" s="21"/>
    </row>
    <row r="99" spans="1:1" x14ac:dyDescent="0.2">
      <c r="A99" s="21"/>
    </row>
    <row r="100" spans="1:1" x14ac:dyDescent="0.2">
      <c r="A100" s="21"/>
    </row>
    <row r="101" spans="1:1" x14ac:dyDescent="0.2">
      <c r="A101" s="21"/>
    </row>
    <row r="102" spans="1:1" x14ac:dyDescent="0.2">
      <c r="A102" s="21"/>
    </row>
    <row r="103" spans="1:1" x14ac:dyDescent="0.2">
      <c r="A103" s="21"/>
    </row>
    <row r="104" spans="1:1" x14ac:dyDescent="0.2">
      <c r="A104" s="21"/>
    </row>
    <row r="105" spans="1:1" x14ac:dyDescent="0.2">
      <c r="A105" s="21"/>
    </row>
    <row r="106" spans="1:1" x14ac:dyDescent="0.2">
      <c r="A106" s="21"/>
    </row>
    <row r="107" spans="1:1" x14ac:dyDescent="0.2">
      <c r="A107" s="21"/>
    </row>
    <row r="108" spans="1:1" x14ac:dyDescent="0.2">
      <c r="A108" s="21"/>
    </row>
    <row r="109" spans="1:1" x14ac:dyDescent="0.2">
      <c r="A109" s="21"/>
    </row>
    <row r="110" spans="1:1" x14ac:dyDescent="0.2">
      <c r="A110" s="21"/>
    </row>
    <row r="111" spans="1:1" x14ac:dyDescent="0.2">
      <c r="A111" s="21"/>
    </row>
    <row r="112" spans="1:1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  <row r="156" spans="1:1" x14ac:dyDescent="0.2">
      <c r="A156" s="21"/>
    </row>
    <row r="157" spans="1:1" x14ac:dyDescent="0.2">
      <c r="A157" s="21"/>
    </row>
    <row r="158" spans="1:1" x14ac:dyDescent="0.2">
      <c r="A158" s="21"/>
    </row>
    <row r="159" spans="1:1" x14ac:dyDescent="0.2">
      <c r="A159" s="21"/>
    </row>
    <row r="160" spans="1:1" x14ac:dyDescent="0.2">
      <c r="A160" s="21"/>
    </row>
    <row r="161" spans="1:1" x14ac:dyDescent="0.2">
      <c r="A161" s="21"/>
    </row>
    <row r="162" spans="1:1" x14ac:dyDescent="0.2">
      <c r="A162" s="21"/>
    </row>
    <row r="163" spans="1:1" x14ac:dyDescent="0.2">
      <c r="A163" s="21"/>
    </row>
    <row r="164" spans="1:1" x14ac:dyDescent="0.2">
      <c r="A164" s="21"/>
    </row>
    <row r="165" spans="1:1" x14ac:dyDescent="0.2">
      <c r="A165" s="21"/>
    </row>
    <row r="166" spans="1:1" x14ac:dyDescent="0.2">
      <c r="A166" s="21"/>
    </row>
    <row r="167" spans="1:1" x14ac:dyDescent="0.2">
      <c r="A167" s="21"/>
    </row>
    <row r="168" spans="1:1" x14ac:dyDescent="0.2">
      <c r="A168" s="21"/>
    </row>
    <row r="169" spans="1:1" x14ac:dyDescent="0.2">
      <c r="A169" s="21"/>
    </row>
    <row r="170" spans="1:1" x14ac:dyDescent="0.2">
      <c r="A170" s="21"/>
    </row>
    <row r="171" spans="1:1" x14ac:dyDescent="0.2">
      <c r="A171" s="21"/>
    </row>
    <row r="172" spans="1:1" x14ac:dyDescent="0.2">
      <c r="A172" s="21"/>
    </row>
    <row r="173" spans="1:1" x14ac:dyDescent="0.2">
      <c r="A173" s="21"/>
    </row>
    <row r="174" spans="1:1" x14ac:dyDescent="0.2">
      <c r="A174" s="21"/>
    </row>
    <row r="175" spans="1:1" x14ac:dyDescent="0.2">
      <c r="A175" s="21"/>
    </row>
    <row r="176" spans="1:1" x14ac:dyDescent="0.2">
      <c r="A176" s="21"/>
    </row>
    <row r="177" spans="2:11" x14ac:dyDescent="0.2">
      <c r="B177" s="19"/>
      <c r="C177" s="19"/>
      <c r="D177" s="19"/>
      <c r="E177" s="19"/>
      <c r="F177" s="19"/>
      <c r="G177" s="19"/>
      <c r="H177" s="19"/>
      <c r="I177" s="19"/>
      <c r="J177" s="19"/>
      <c r="K177" s="19"/>
    </row>
    <row r="179" spans="2:11" x14ac:dyDescent="0.2">
      <c r="B179" s="23"/>
      <c r="C179" s="23"/>
      <c r="D179" s="23"/>
      <c r="E179" s="23"/>
      <c r="F179" s="23"/>
      <c r="G179" s="23"/>
      <c r="H179" s="23"/>
      <c r="I179" s="23"/>
      <c r="J179" s="23"/>
      <c r="K179" s="23"/>
    </row>
  </sheetData>
  <mergeCells count="20">
    <mergeCell ref="C5:C6"/>
    <mergeCell ref="K5:K6"/>
    <mergeCell ref="L4:P4"/>
    <mergeCell ref="N5:N6"/>
    <mergeCell ref="A2:P2"/>
    <mergeCell ref="P5:P6"/>
    <mergeCell ref="G4:K4"/>
    <mergeCell ref="H5:H6"/>
    <mergeCell ref="L5:L6"/>
    <mergeCell ref="B5:B6"/>
    <mergeCell ref="G5:G6"/>
    <mergeCell ref="D5:D6"/>
    <mergeCell ref="I5:I6"/>
    <mergeCell ref="F5:F6"/>
    <mergeCell ref="E5:E6"/>
    <mergeCell ref="B4:F4"/>
    <mergeCell ref="J5:J6"/>
    <mergeCell ref="O5:O6"/>
    <mergeCell ref="A4:A6"/>
    <mergeCell ref="M5:M6"/>
  </mergeCells>
  <phoneticPr fontId="0" type="noConversion"/>
  <printOptions horizontalCentered="1" verticalCentered="1"/>
  <pageMargins left="0.118110236220472" right="3.9370078740157501E-2" top="0.23622047244094499" bottom="0.23622047244094499" header="0.23622047244094499" footer="0.23622047244094499"/>
  <pageSetup paperSize="9" scale="66" orientation="landscape" r:id="rId1"/>
  <headerFooter alignWithMargins="0"/>
  <rowBreaks count="1" manualBreakCount="1">
    <brk id="5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P410"/>
  <sheetViews>
    <sheetView tabSelected="1" view="pageBreakPreview" zoomScale="70" zoomScaleSheetLayoutView="70" workbookViewId="0">
      <pane xSplit="1" ySplit="7" topLeftCell="B35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5.7109375" style="4" customWidth="1"/>
    <col min="2" max="10" width="12.42578125" style="4" customWidth="1"/>
    <col min="11" max="11" width="14" style="4" customWidth="1"/>
    <col min="12" max="15" width="11.140625" style="4" bestFit="1" customWidth="1"/>
    <col min="16" max="16" width="11.140625" style="4" customWidth="1"/>
    <col min="17" max="16384" width="9.140625" style="4"/>
  </cols>
  <sheetData>
    <row r="1" spans="1:16" ht="15" customHeight="1" x14ac:dyDescent="0.2"/>
    <row r="2" spans="1:16" ht="15.75" x14ac:dyDescent="0.2">
      <c r="A2" s="380" t="s">
        <v>170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</row>
    <row r="3" spans="1:16" x14ac:dyDescent="0.2">
      <c r="A3" s="3"/>
    </row>
    <row r="4" spans="1:16" ht="18" x14ac:dyDescent="0.2">
      <c r="A4" s="340" t="s">
        <v>88</v>
      </c>
      <c r="B4" s="342" t="s">
        <v>174</v>
      </c>
      <c r="C4" s="342"/>
      <c r="D4" s="342"/>
      <c r="E4" s="342"/>
      <c r="F4" s="342"/>
      <c r="G4" s="342" t="s">
        <v>68</v>
      </c>
      <c r="H4" s="342"/>
      <c r="I4" s="342"/>
      <c r="J4" s="342"/>
      <c r="K4" s="342"/>
      <c r="L4" s="342" t="s">
        <v>89</v>
      </c>
      <c r="M4" s="342"/>
      <c r="N4" s="342"/>
      <c r="O4" s="342"/>
      <c r="P4" s="342"/>
    </row>
    <row r="5" spans="1:16" ht="15" customHeight="1" x14ac:dyDescent="0.2">
      <c r="A5" s="340"/>
      <c r="B5" s="341" t="s">
        <v>112</v>
      </c>
      <c r="C5" s="341" t="s">
        <v>164</v>
      </c>
      <c r="D5" s="341" t="s">
        <v>199</v>
      </c>
      <c r="E5" s="341" t="s">
        <v>200</v>
      </c>
      <c r="F5" s="341" t="s">
        <v>202</v>
      </c>
      <c r="G5" s="341" t="s">
        <v>112</v>
      </c>
      <c r="H5" s="341" t="s">
        <v>164</v>
      </c>
      <c r="I5" s="341" t="s">
        <v>199</v>
      </c>
      <c r="J5" s="341" t="s">
        <v>200</v>
      </c>
      <c r="K5" s="341" t="s">
        <v>202</v>
      </c>
      <c r="L5" s="341" t="s">
        <v>112</v>
      </c>
      <c r="M5" s="341" t="s">
        <v>164</v>
      </c>
      <c r="N5" s="341" t="s">
        <v>199</v>
      </c>
      <c r="O5" s="341" t="s">
        <v>200</v>
      </c>
      <c r="P5" s="341" t="s">
        <v>202</v>
      </c>
    </row>
    <row r="6" spans="1:16" ht="15" customHeight="1" x14ac:dyDescent="0.2">
      <c r="A6" s="340"/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</row>
    <row r="7" spans="1:16" s="14" customFormat="1" ht="15.75" customHeight="1" x14ac:dyDescent="0.2">
      <c r="A7" s="187">
        <v>1</v>
      </c>
      <c r="B7" s="246">
        <v>2</v>
      </c>
      <c r="C7" s="246">
        <v>3</v>
      </c>
      <c r="D7" s="246">
        <v>4</v>
      </c>
      <c r="E7" s="246">
        <v>5</v>
      </c>
      <c r="F7" s="246">
        <v>6</v>
      </c>
      <c r="G7" s="246">
        <v>7</v>
      </c>
      <c r="H7" s="246">
        <v>8</v>
      </c>
      <c r="I7" s="246">
        <v>9</v>
      </c>
      <c r="J7" s="246">
        <v>10</v>
      </c>
      <c r="K7" s="246">
        <v>11</v>
      </c>
      <c r="L7" s="246">
        <v>12</v>
      </c>
      <c r="M7" s="246">
        <v>13</v>
      </c>
      <c r="N7" s="246">
        <v>14</v>
      </c>
      <c r="O7" s="246">
        <v>15</v>
      </c>
      <c r="P7" s="246">
        <v>16</v>
      </c>
    </row>
    <row r="8" spans="1:16" ht="27.75" customHeight="1" x14ac:dyDescent="0.2">
      <c r="A8" s="199" t="s">
        <v>2</v>
      </c>
      <c r="B8" s="96">
        <f>'Jowar U'!C8+'Maize  U'!C8</f>
        <v>248</v>
      </c>
      <c r="C8" s="96">
        <f>'Jowar U'!D8+'Maize  U'!D8</f>
        <v>339</v>
      </c>
      <c r="D8" s="96">
        <f>'Jowar U'!E8+'Maize  U'!E8</f>
        <v>303</v>
      </c>
      <c r="E8" s="96">
        <f>'Jowar U'!F8+'Maize  U'!F8</f>
        <v>323</v>
      </c>
      <c r="F8" s="96">
        <f>'Jowar U'!G8+'Maize  U'!G8</f>
        <v>304</v>
      </c>
      <c r="G8" s="96">
        <f>'Jowar U'!H8+'Maize  U'!H8</f>
        <v>1476</v>
      </c>
      <c r="H8" s="96">
        <f>'Jowar U'!I8+'Maize  U'!I8</f>
        <v>2091.864</v>
      </c>
      <c r="I8" s="96">
        <f>'Jowar U'!J8+'Maize  U'!J8</f>
        <v>1360.8419999999999</v>
      </c>
      <c r="J8" s="96">
        <f>'Jowar U'!K8+'Maize  U'!K8</f>
        <v>1914.374</v>
      </c>
      <c r="K8" s="96">
        <f>'Jowar U'!L8+'Maize  U'!L8</f>
        <v>1754.355</v>
      </c>
      <c r="L8" s="99">
        <f>G8/B8*1000</f>
        <v>5951.6129032258059</v>
      </c>
      <c r="M8" s="99">
        <f>H8/C8*1000</f>
        <v>6170.6902654867254</v>
      </c>
      <c r="N8" s="99">
        <f>I8/D8*1000</f>
        <v>4491.227722772277</v>
      </c>
      <c r="O8" s="99">
        <f>J8/E8*1000</f>
        <v>5926.8544891640868</v>
      </c>
      <c r="P8" s="99">
        <f>K8/F8*1000</f>
        <v>5770.9046052631575</v>
      </c>
    </row>
    <row r="9" spans="1:16" ht="27.75" customHeight="1" x14ac:dyDescent="0.2">
      <c r="A9" s="199" t="s">
        <v>24</v>
      </c>
      <c r="B9" s="76">
        <f>'Maize  U'!C11+'Barley U'!B7</f>
        <v>9.5969999999999995</v>
      </c>
      <c r="C9" s="76">
        <f>'Maize  U'!D11+'Barley U'!C7</f>
        <v>9.7970000000000006</v>
      </c>
      <c r="D9" s="76">
        <f>'Maize  U'!E11+'Barley U'!D7</f>
        <v>0</v>
      </c>
      <c r="E9" s="76">
        <f>'Maize  U'!F11+'Barley U'!E7</f>
        <v>9.9160000000000004</v>
      </c>
      <c r="F9" s="76">
        <f>'Maize  U'!G11+'Barley U'!F7</f>
        <v>9.9380000000000006</v>
      </c>
      <c r="G9" s="76">
        <f>'Maize  U'!H11+'Barley U'!G7</f>
        <v>15.542999999999999</v>
      </c>
      <c r="H9" s="76">
        <f>'Maize  U'!I11+'Barley U'!H7</f>
        <v>16.312005000000003</v>
      </c>
      <c r="I9" s="76">
        <f>'Maize  U'!J11+'Barley U'!I7</f>
        <v>0</v>
      </c>
      <c r="J9" s="76">
        <f>'Maize  U'!K11+'Barley U'!J7</f>
        <v>16.857200000000002</v>
      </c>
      <c r="K9" s="76">
        <f>'Maize  U'!L11+'Barley U'!K7</f>
        <v>17.042867999999999</v>
      </c>
      <c r="L9" s="99">
        <f t="shared" ref="L9:L37" si="0">G9/B9*1000</f>
        <v>1619.5686151922475</v>
      </c>
      <c r="M9" s="99">
        <f t="shared" ref="M9:M37" si="1">H9/C9*1000</f>
        <v>1665.0000000000002</v>
      </c>
      <c r="N9" s="99" t="e">
        <f t="shared" ref="N9:N37" si="2">I9/D9*1000</f>
        <v>#DIV/0!</v>
      </c>
      <c r="O9" s="99">
        <f t="shared" ref="O9:O37" si="3">J9/E9*1000</f>
        <v>1700.0000000000002</v>
      </c>
      <c r="P9" s="99">
        <f t="shared" ref="P9:P37" si="4">K9/F9*1000</f>
        <v>1714.9192996578786</v>
      </c>
    </row>
    <row r="10" spans="1:16" ht="27.75" customHeight="1" x14ac:dyDescent="0.2">
      <c r="A10" s="199" t="s">
        <v>40</v>
      </c>
      <c r="B10" s="96">
        <f>'Maize  U'!C15+'Barley U'!B8</f>
        <v>490.28299999999996</v>
      </c>
      <c r="C10" s="96">
        <f>'Maize  U'!D15+'Barley U'!C8</f>
        <v>464.58199999999994</v>
      </c>
      <c r="D10" s="96">
        <f>'Maize  U'!E15+'Barley U'!D8</f>
        <v>460.42599999999999</v>
      </c>
      <c r="E10" s="96">
        <f>'Maize  U'!F15+'Barley U'!E8</f>
        <v>471.28</v>
      </c>
      <c r="F10" s="96">
        <f>'Maize  U'!G15+'Barley U'!F8</f>
        <v>463.13900000000001</v>
      </c>
      <c r="G10" s="96">
        <f>'Maize  U'!H15+'Barley U'!G8</f>
        <v>2082.28314</v>
      </c>
      <c r="H10" s="96">
        <f>'Maize  U'!I15+'Barley U'!H8</f>
        <v>1835.5569059999998</v>
      </c>
      <c r="I10" s="96">
        <f>'Maize  U'!J15+'Barley U'!I8</f>
        <v>2047.0204864499999</v>
      </c>
      <c r="J10" s="96">
        <f>'Maize  U'!K15+'Barley U'!J8</f>
        <v>1577.946461</v>
      </c>
      <c r="K10" s="96">
        <f>'Maize  U'!L15+'Barley U'!K8</f>
        <v>1873.606757</v>
      </c>
      <c r="L10" s="99">
        <f t="shared" si="0"/>
        <v>4247.1045090284597</v>
      </c>
      <c r="M10" s="99">
        <f t="shared" si="1"/>
        <v>3950.9858453405427</v>
      </c>
      <c r="N10" s="99">
        <f t="shared" si="2"/>
        <v>4445.9272205522711</v>
      </c>
      <c r="O10" s="99">
        <f t="shared" si="3"/>
        <v>3348.2143545238505</v>
      </c>
      <c r="P10" s="99">
        <f t="shared" si="4"/>
        <v>4045.4523523175549</v>
      </c>
    </row>
    <row r="11" spans="1:16" ht="27.75" customHeight="1" x14ac:dyDescent="0.2">
      <c r="A11" s="199" t="s">
        <v>47</v>
      </c>
      <c r="B11" s="76">
        <f>'Barley U'!B9</f>
        <v>2.4</v>
      </c>
      <c r="C11" s="76">
        <f>'Barley U'!C9</f>
        <v>1.97</v>
      </c>
      <c r="D11" s="76">
        <f>'Barley U'!D9</f>
        <v>1.88</v>
      </c>
      <c r="E11" s="76">
        <f>'Barley U'!E9</f>
        <v>1.67</v>
      </c>
      <c r="F11" s="76">
        <f>'Barley U'!F9</f>
        <v>1.43</v>
      </c>
      <c r="G11" s="76">
        <f>'Barley U'!G9</f>
        <v>2.2999999999999998</v>
      </c>
      <c r="H11" s="76">
        <f>'Barley U'!H9</f>
        <v>2.0724399999999998</v>
      </c>
      <c r="I11" s="76">
        <f>'Barley U'!I9</f>
        <v>1.4889599999999998</v>
      </c>
      <c r="J11" s="76">
        <f>'Barley U'!J9</f>
        <v>1.0170299999999999</v>
      </c>
      <c r="K11" s="76">
        <f>'Barley U'!K9</f>
        <v>0.99241999999999997</v>
      </c>
      <c r="L11" s="99">
        <f t="shared" si="0"/>
        <v>958.33333333333326</v>
      </c>
      <c r="M11" s="99">
        <f t="shared" si="1"/>
        <v>1051.9999999999998</v>
      </c>
      <c r="N11" s="99">
        <f t="shared" si="2"/>
        <v>791.99999999999989</v>
      </c>
      <c r="O11" s="99">
        <f t="shared" si="3"/>
        <v>609</v>
      </c>
      <c r="P11" s="99">
        <f t="shared" si="4"/>
        <v>694.00000000000011</v>
      </c>
    </row>
    <row r="12" spans="1:16" ht="27.75" customHeight="1" x14ac:dyDescent="0.2">
      <c r="A12" s="199" t="s">
        <v>4</v>
      </c>
      <c r="B12" s="96">
        <f>'Jowar U'!C13+'Maize  U'!C20+'Barley U'!B10</f>
        <v>158</v>
      </c>
      <c r="C12" s="96">
        <f>'Jowar U'!D13+'Maize  U'!D20+'Barley U'!C10</f>
        <v>122</v>
      </c>
      <c r="D12" s="96">
        <f>'Jowar U'!E13+'Maize  U'!E20+'Barley U'!D10</f>
        <v>135.07</v>
      </c>
      <c r="E12" s="96">
        <f>'Jowar U'!F13+'Maize  U'!F20+'Barley U'!E10</f>
        <v>158.14000000000001</v>
      </c>
      <c r="F12" s="96">
        <f>'Jowar U'!G13+'Maize  U'!G20+'Barley U'!F10</f>
        <v>116.83</v>
      </c>
      <c r="G12" s="96">
        <f>'Jowar U'!H13+'Maize  U'!H20+'Barley U'!G10</f>
        <v>292</v>
      </c>
      <c r="H12" s="96">
        <f>'Jowar U'!I13+'Maize  U'!I20+'Barley U'!H10</f>
        <v>227.70400000000001</v>
      </c>
      <c r="I12" s="96">
        <f>'Jowar U'!J13+'Maize  U'!J20+'Barley U'!I10</f>
        <v>297.19170000000003</v>
      </c>
      <c r="J12" s="96">
        <f>'Jowar U'!K13+'Maize  U'!K20+'Barley U'!J10</f>
        <v>369.57619999999991</v>
      </c>
      <c r="K12" s="96">
        <f>'Jowar U'!L13+'Maize  U'!L20+'Barley U'!K10</f>
        <v>249.58626000000001</v>
      </c>
      <c r="L12" s="99">
        <f t="shared" si="0"/>
        <v>1848.1012658227849</v>
      </c>
      <c r="M12" s="99">
        <f t="shared" si="1"/>
        <v>1866.4262295081969</v>
      </c>
      <c r="N12" s="99">
        <f t="shared" si="2"/>
        <v>2200.2791145332053</v>
      </c>
      <c r="O12" s="99">
        <f t="shared" si="3"/>
        <v>2337.0190970026551</v>
      </c>
      <c r="P12" s="99">
        <f t="shared" si="4"/>
        <v>2136.3199520671064</v>
      </c>
    </row>
    <row r="13" spans="1:16" ht="27.75" customHeight="1" x14ac:dyDescent="0.2">
      <c r="A13" s="199" t="s">
        <v>18</v>
      </c>
      <c r="B13" s="96">
        <f>'Barley U'!B11</f>
        <v>20</v>
      </c>
      <c r="C13" s="96">
        <f>'Barley U'!C11</f>
        <v>20</v>
      </c>
      <c r="D13" s="96">
        <f>'Barley U'!D11</f>
        <v>14.9</v>
      </c>
      <c r="E13" s="96">
        <f>'Barley U'!E11</f>
        <v>12.12</v>
      </c>
      <c r="F13" s="96">
        <f>'Barley U'!F11</f>
        <v>9.26</v>
      </c>
      <c r="G13" s="96">
        <f>'Barley U'!G11</f>
        <v>73</v>
      </c>
      <c r="H13" s="96">
        <f>'Barley U'!H11</f>
        <v>69</v>
      </c>
      <c r="I13" s="96">
        <f>'Barley U'!I11</f>
        <v>57.603400000000001</v>
      </c>
      <c r="J13" s="96">
        <f>'Barley U'!J11</f>
        <v>46.504439999999995</v>
      </c>
      <c r="K13" s="96">
        <f>'Barley U'!K11</f>
        <v>30.95618</v>
      </c>
      <c r="L13" s="99">
        <f t="shared" si="0"/>
        <v>3650</v>
      </c>
      <c r="M13" s="99">
        <f t="shared" si="1"/>
        <v>3450</v>
      </c>
      <c r="N13" s="99">
        <f t="shared" si="2"/>
        <v>3866</v>
      </c>
      <c r="O13" s="99">
        <f t="shared" si="3"/>
        <v>3836.9999999999995</v>
      </c>
      <c r="P13" s="99">
        <f t="shared" si="4"/>
        <v>3343</v>
      </c>
    </row>
    <row r="14" spans="1:16" ht="27.75" customHeight="1" x14ac:dyDescent="0.2">
      <c r="A14" s="199" t="s">
        <v>16</v>
      </c>
      <c r="B14" s="96">
        <f>'Barley U'!B12</f>
        <v>20.431999999999999</v>
      </c>
      <c r="C14" s="96">
        <f>'Barley U'!C12</f>
        <v>19.16</v>
      </c>
      <c r="D14" s="96">
        <f>'Barley U'!D12</f>
        <v>20.356000000000002</v>
      </c>
      <c r="E14" s="96">
        <f>'Barley U'!E12</f>
        <v>20.404</v>
      </c>
      <c r="F14" s="96">
        <f>'Barley U'!F12</f>
        <v>20.43</v>
      </c>
      <c r="G14" s="96">
        <f>'Barley U'!G12</f>
        <v>35.820999999999998</v>
      </c>
      <c r="H14" s="96">
        <f>'Barley U'!H12</f>
        <v>33.878</v>
      </c>
      <c r="I14" s="96">
        <f>'Barley U'!I12</f>
        <v>36.030120000000004</v>
      </c>
      <c r="J14" s="96">
        <f>'Barley U'!J12</f>
        <v>30.810040000000001</v>
      </c>
      <c r="K14" s="96">
        <f>'Barley U'!K12</f>
        <v>32.136389999999999</v>
      </c>
      <c r="L14" s="99">
        <f t="shared" si="0"/>
        <v>1753.1812842599843</v>
      </c>
      <c r="M14" s="99">
        <f t="shared" si="1"/>
        <v>1768.1628392484342</v>
      </c>
      <c r="N14" s="99">
        <f t="shared" si="2"/>
        <v>1770</v>
      </c>
      <c r="O14" s="99">
        <f t="shared" si="3"/>
        <v>1510</v>
      </c>
      <c r="P14" s="99">
        <f t="shared" si="4"/>
        <v>1573</v>
      </c>
    </row>
    <row r="15" spans="1:16" ht="27.75" customHeight="1" x14ac:dyDescent="0.2">
      <c r="A15" s="199" t="s">
        <v>19</v>
      </c>
      <c r="B15" s="96">
        <f>'Barley U'!B13</f>
        <v>6.76</v>
      </c>
      <c r="C15" s="96">
        <f>'Barley U'!C13</f>
        <v>5.7569999999999997</v>
      </c>
      <c r="D15" s="96">
        <f>'Barley U'!D13</f>
        <v>7.0389999999999997</v>
      </c>
      <c r="E15" s="96">
        <f>'Barley U'!E13</f>
        <v>7.4880000000000004</v>
      </c>
      <c r="F15" s="96">
        <f>'Barley U'!F13</f>
        <v>3.9880000000000004</v>
      </c>
      <c r="G15" s="96">
        <f>'Barley U'!G13</f>
        <v>4.2690000000000001</v>
      </c>
      <c r="H15" s="96">
        <f>'Barley U'!H13</f>
        <v>3.3275459999999999</v>
      </c>
      <c r="I15" s="96">
        <f>'Barley U'!I13</f>
        <v>4.5683109999999996</v>
      </c>
      <c r="J15" s="96">
        <f>'Barley U'!J13</f>
        <v>4.4853119999999995</v>
      </c>
      <c r="K15" s="96">
        <f>'Barley U'!K13</f>
        <v>2.297088</v>
      </c>
      <c r="L15" s="99">
        <f t="shared" si="0"/>
        <v>631.50887573964496</v>
      </c>
      <c r="M15" s="99">
        <f t="shared" si="1"/>
        <v>578.00000000000011</v>
      </c>
      <c r="N15" s="99">
        <f t="shared" si="2"/>
        <v>649</v>
      </c>
      <c r="O15" s="99">
        <f t="shared" si="3"/>
        <v>598.99999999999989</v>
      </c>
      <c r="P15" s="99">
        <f t="shared" si="4"/>
        <v>576</v>
      </c>
    </row>
    <row r="16" spans="1:16" ht="27.75" customHeight="1" x14ac:dyDescent="0.2">
      <c r="A16" s="199" t="s">
        <v>83</v>
      </c>
      <c r="B16" s="76">
        <f>'Maize  U'!C26</f>
        <v>9.9730000000000008</v>
      </c>
      <c r="C16" s="76">
        <f>'Maize  U'!D26</f>
        <v>10.132999999999999</v>
      </c>
      <c r="D16" s="76">
        <f>'Maize  U'!E26</f>
        <v>5.944</v>
      </c>
      <c r="E16" s="76">
        <f>'Maize  U'!F26</f>
        <v>7.6440000000000001</v>
      </c>
      <c r="F16" s="76">
        <f>'Maize  U'!G26</f>
        <v>12.33</v>
      </c>
      <c r="G16" s="76">
        <f>'Maize  U'!H26</f>
        <v>17.914999999999999</v>
      </c>
      <c r="H16" s="76">
        <f>'Maize  U'!I26</f>
        <v>20.580123</v>
      </c>
      <c r="I16" s="76">
        <f>'Maize  U'!J26</f>
        <v>11.323319999999999</v>
      </c>
      <c r="J16" s="76">
        <f>'Maize  U'!K26</f>
        <v>16.044756</v>
      </c>
      <c r="K16" s="76">
        <f>'Maize  U'!L26</f>
        <v>28.420650000000002</v>
      </c>
      <c r="L16" s="99">
        <f t="shared" si="0"/>
        <v>1796.3501453925596</v>
      </c>
      <c r="M16" s="99">
        <f t="shared" si="1"/>
        <v>2031.0000000000002</v>
      </c>
      <c r="N16" s="99">
        <f t="shared" si="2"/>
        <v>1904.9999999999998</v>
      </c>
      <c r="O16" s="99">
        <f t="shared" si="3"/>
        <v>2098.9999999999995</v>
      </c>
      <c r="P16" s="99">
        <f t="shared" si="4"/>
        <v>2305</v>
      </c>
    </row>
    <row r="17" spans="1:16" ht="27.75" customHeight="1" x14ac:dyDescent="0.2">
      <c r="A17" s="199" t="s">
        <v>5</v>
      </c>
      <c r="B17" s="96">
        <f>'Jowar U'!C20+'Maize  U'!C29</f>
        <v>944</v>
      </c>
      <c r="C17" s="96">
        <f>'Jowar U'!D20+'Maize  U'!D29</f>
        <v>1120</v>
      </c>
      <c r="D17" s="96">
        <f>'Jowar U'!E20+'Maize  U'!E29</f>
        <v>943.34999999999991</v>
      </c>
      <c r="E17" s="96">
        <f>'Jowar U'!F20+'Maize  U'!F29</f>
        <v>836</v>
      </c>
      <c r="F17" s="96">
        <f>'Jowar U'!G20+'Maize  U'!G29</f>
        <v>856</v>
      </c>
      <c r="G17" s="96">
        <f>'Jowar U'!H20+'Maize  U'!H29</f>
        <v>1042</v>
      </c>
      <c r="H17" s="96">
        <f>'Jowar U'!I20+'Maize  U'!I29</f>
        <v>1440.0639999999999</v>
      </c>
      <c r="I17" s="96">
        <f>'Jowar U'!J20+'Maize  U'!J29</f>
        <v>1101.05</v>
      </c>
      <c r="J17" s="96">
        <f>'Jowar U'!K20+'Maize  U'!K29</f>
        <v>1328</v>
      </c>
      <c r="K17" s="96">
        <f>'Jowar U'!L20+'Maize  U'!L29</f>
        <v>1415</v>
      </c>
      <c r="L17" s="99">
        <f t="shared" si="0"/>
        <v>1103.8135593220341</v>
      </c>
      <c r="M17" s="99">
        <f t="shared" si="1"/>
        <v>1285.7714285714283</v>
      </c>
      <c r="N17" s="99">
        <f t="shared" si="2"/>
        <v>1167.1701913393756</v>
      </c>
      <c r="O17" s="99">
        <f t="shared" si="3"/>
        <v>1588.5167464114834</v>
      </c>
      <c r="P17" s="99">
        <f t="shared" si="4"/>
        <v>1653.0373831775701</v>
      </c>
    </row>
    <row r="18" spans="1:16" ht="27.75" customHeight="1" x14ac:dyDescent="0.2">
      <c r="A18" s="199" t="s">
        <v>93</v>
      </c>
      <c r="B18" s="96">
        <f>'Jowar U'!C23+'Maize  U'!C32</f>
        <v>0</v>
      </c>
      <c r="C18" s="96">
        <f>'Jowar U'!D23+'Maize  U'!D32</f>
        <v>0</v>
      </c>
      <c r="D18" s="96">
        <f>'Jowar U'!E23+'Maize  U'!E32</f>
        <v>0.22330000000000003</v>
      </c>
      <c r="E18" s="96">
        <f>'Jowar U'!F23+'Maize  U'!F32</f>
        <v>0.29799999999999999</v>
      </c>
      <c r="F18" s="96">
        <f>'Jowar U'!G23+'Maize  U'!G32</f>
        <v>0.27100000000000002</v>
      </c>
      <c r="G18" s="96">
        <f>'Jowar U'!H23+'Maize  U'!H32</f>
        <v>0</v>
      </c>
      <c r="H18" s="96">
        <f>'Jowar U'!I23+'Maize  U'!I32</f>
        <v>0</v>
      </c>
      <c r="I18" s="96">
        <f>'Jowar U'!J23+'Maize  U'!J32</f>
        <v>0.23090000000000002</v>
      </c>
      <c r="J18" s="96">
        <f>'Jowar U'!K23+'Maize  U'!K32</f>
        <v>0.27700000000000002</v>
      </c>
      <c r="K18" s="96">
        <f>'Jowar U'!L23+'Maize  U'!L32</f>
        <v>0.24793199999999999</v>
      </c>
      <c r="L18" s="99" t="e">
        <f t="shared" si="0"/>
        <v>#DIV/0!</v>
      </c>
      <c r="M18" s="99" t="e">
        <f t="shared" si="1"/>
        <v>#DIV/0!</v>
      </c>
      <c r="N18" s="99">
        <f t="shared" si="2"/>
        <v>1034.0349305866548</v>
      </c>
      <c r="O18" s="99">
        <f t="shared" si="3"/>
        <v>929.530201342282</v>
      </c>
      <c r="P18" s="99">
        <f t="shared" si="4"/>
        <v>914.87822878228781</v>
      </c>
    </row>
    <row r="19" spans="1:16" ht="27.75" customHeight="1" x14ac:dyDescent="0.2">
      <c r="A19" s="199" t="s">
        <v>6</v>
      </c>
      <c r="B19" s="96">
        <f>'Jowar U'!C26+'Maize  U'!C35+'Barley U'!B15</f>
        <v>137</v>
      </c>
      <c r="C19" s="96">
        <f>'Jowar U'!D26+'Maize  U'!D35+'Barley U'!C15</f>
        <v>166</v>
      </c>
      <c r="D19" s="96">
        <f>'Jowar U'!E26+'Maize  U'!E35+'Barley U'!D15</f>
        <v>94</v>
      </c>
      <c r="E19" s="96">
        <f>'Jowar U'!F26+'Maize  U'!F35+'Barley U'!E15</f>
        <v>51</v>
      </c>
      <c r="F19" s="96">
        <f>'Jowar U'!G26+'Maize  U'!G35+'Barley U'!F15</f>
        <v>47</v>
      </c>
      <c r="G19" s="96">
        <f>'Jowar U'!H26+'Maize  U'!H35+'Barley U'!G15</f>
        <v>328.92640000000006</v>
      </c>
      <c r="H19" s="96">
        <f>'Jowar U'!I26+'Maize  U'!I35+'Barley U'!H15</f>
        <v>430.57</v>
      </c>
      <c r="I19" s="96">
        <f>'Jowar U'!J26+'Maize  U'!J35+'Barley U'!I15</f>
        <v>206.322</v>
      </c>
      <c r="J19" s="96">
        <f>'Jowar U'!K26+'Maize  U'!K35+'Barley U'!J15</f>
        <v>147.90899999999999</v>
      </c>
      <c r="K19" s="96">
        <f>'Jowar U'!L26+'Maize  U'!L35+'Barley U'!K15</f>
        <v>135.953</v>
      </c>
      <c r="L19" s="99">
        <f t="shared" si="0"/>
        <v>2400.9226277372268</v>
      </c>
      <c r="M19" s="99">
        <f t="shared" si="1"/>
        <v>2593.7951807228915</v>
      </c>
      <c r="N19" s="99">
        <f t="shared" si="2"/>
        <v>2194.9148936170213</v>
      </c>
      <c r="O19" s="99">
        <f t="shared" si="3"/>
        <v>2900.1764705882351</v>
      </c>
      <c r="P19" s="99">
        <f t="shared" si="4"/>
        <v>2892.6170212765956</v>
      </c>
    </row>
    <row r="20" spans="1:16" ht="27.75" customHeight="1" x14ac:dyDescent="0.2">
      <c r="A20" s="199" t="s">
        <v>7</v>
      </c>
      <c r="B20" s="96">
        <f>'Jowar U'!C29+'Maize  U'!C38+'Barley U'!B16</f>
        <v>2842.1</v>
      </c>
      <c r="C20" s="96">
        <f>'Jowar U'!D29+'Maize  U'!D38+'Barley U'!C16</f>
        <v>2059.3000000000002</v>
      </c>
      <c r="D20" s="96">
        <f>'Jowar U'!E29+'Maize  U'!E38+'Barley U'!D16</f>
        <v>1345.23</v>
      </c>
      <c r="E20" s="96">
        <f>'Jowar U'!F29+'Maize  U'!F38+'Barley U'!E16</f>
        <v>2347.2299999999996</v>
      </c>
      <c r="F20" s="96">
        <f>'Jowar U'!G29+'Maize  U'!G38+'Barley U'!F16</f>
        <v>2156.39</v>
      </c>
      <c r="G20" s="96">
        <f>'Jowar U'!H29+'Maize  U'!H38+'Barley U'!G16</f>
        <v>2605.8490000000002</v>
      </c>
      <c r="H20" s="96">
        <f>'Jowar U'!I29+'Maize  U'!I38+'Barley U'!H16</f>
        <v>1962.4775000000002</v>
      </c>
      <c r="I20" s="96">
        <f>'Jowar U'!J29+'Maize  U'!J38+'Barley U'!I16</f>
        <v>855.18272999999999</v>
      </c>
      <c r="J20" s="96">
        <f>'Jowar U'!K29+'Maize  U'!K38+'Barley U'!J16</f>
        <v>2503.2724700000003</v>
      </c>
      <c r="K20" s="96">
        <f>'Jowar U'!L29+'Maize  U'!L38+'Barley U'!K16</f>
        <v>2376.3991600000004</v>
      </c>
      <c r="L20" s="99">
        <f t="shared" si="0"/>
        <v>916.87449421202643</v>
      </c>
      <c r="M20" s="99">
        <f t="shared" si="1"/>
        <v>952.98280969261396</v>
      </c>
      <c r="N20" s="99">
        <f t="shared" si="2"/>
        <v>635.71488147008313</v>
      </c>
      <c r="O20" s="99">
        <f t="shared" si="3"/>
        <v>1066.4794119025407</v>
      </c>
      <c r="P20" s="99">
        <f t="shared" si="4"/>
        <v>1102.0266092868176</v>
      </c>
    </row>
    <row r="21" spans="1:16" ht="27.75" customHeight="1" x14ac:dyDescent="0.2">
      <c r="A21" s="199" t="s">
        <v>29</v>
      </c>
      <c r="B21" s="96">
        <f>'Maize  U'!C41</f>
        <v>26.8</v>
      </c>
      <c r="C21" s="96">
        <f>'Maize  U'!D41</f>
        <v>26.93</v>
      </c>
      <c r="D21" s="96">
        <f>'Maize  U'!E41</f>
        <v>26.38</v>
      </c>
      <c r="E21" s="96">
        <f>'Maize  U'!F41</f>
        <v>0</v>
      </c>
      <c r="F21" s="96">
        <f>'Maize  U'!G41</f>
        <v>7.02</v>
      </c>
      <c r="G21" s="96">
        <f>'Maize  U'!H41</f>
        <v>58.8</v>
      </c>
      <c r="H21" s="96">
        <f>'Maize  U'!I41</f>
        <v>63.096989999999998</v>
      </c>
      <c r="I21" s="96">
        <f>'Maize  U'!J41</f>
        <v>58.167899999999996</v>
      </c>
      <c r="J21" s="96">
        <f>'Maize  U'!K41</f>
        <v>0</v>
      </c>
      <c r="K21" s="96">
        <f>'Maize  U'!L41</f>
        <v>16.012619999999998</v>
      </c>
      <c r="L21" s="99">
        <f t="shared" si="0"/>
        <v>2194.0298507462685</v>
      </c>
      <c r="M21" s="99">
        <f t="shared" si="1"/>
        <v>2343</v>
      </c>
      <c r="N21" s="99">
        <f t="shared" si="2"/>
        <v>2205</v>
      </c>
      <c r="O21" s="99" t="e">
        <f t="shared" si="3"/>
        <v>#DIV/0!</v>
      </c>
      <c r="P21" s="99">
        <f t="shared" si="4"/>
        <v>2280.9999999999995</v>
      </c>
    </row>
    <row r="22" spans="1:16" ht="27.75" customHeight="1" x14ac:dyDescent="0.2">
      <c r="A22" s="199" t="s">
        <v>30</v>
      </c>
      <c r="B22" s="96">
        <f>'Maize  U'!C51</f>
        <v>0.29799999999999999</v>
      </c>
      <c r="C22" s="96">
        <f>'Maize  U'!D51</f>
        <v>0.50519999999999998</v>
      </c>
      <c r="D22" s="96">
        <f>'Maize  U'!E51</f>
        <v>0.43</v>
      </c>
      <c r="E22" s="96">
        <f>'Maize  U'!F51</f>
        <v>0.49299999999999999</v>
      </c>
      <c r="F22" s="96">
        <f>'Maize  U'!G51</f>
        <v>0.51800000000000002</v>
      </c>
      <c r="G22" s="96">
        <f>'Maize  U'!H51</f>
        <v>0.46800000000000003</v>
      </c>
      <c r="H22" s="96">
        <f>'Maize  U'!I51</f>
        <v>0.68459999999999988</v>
      </c>
      <c r="I22" s="96">
        <f>'Maize  U'!J51</f>
        <v>0.67</v>
      </c>
      <c r="J22" s="96">
        <f>'Maize  U'!K51</f>
        <v>0.67</v>
      </c>
      <c r="K22" s="96">
        <f>'Maize  U'!L51</f>
        <v>0.82983600000000002</v>
      </c>
      <c r="L22" s="99">
        <f t="shared" si="0"/>
        <v>1570.4697986577182</v>
      </c>
      <c r="M22" s="99">
        <f t="shared" si="1"/>
        <v>1355.1068883610449</v>
      </c>
      <c r="N22" s="99">
        <f t="shared" si="2"/>
        <v>1558.1395348837211</v>
      </c>
      <c r="O22" s="99">
        <f t="shared" si="3"/>
        <v>1359.026369168357</v>
      </c>
      <c r="P22" s="99">
        <f t="shared" si="4"/>
        <v>1602</v>
      </c>
    </row>
    <row r="23" spans="1:16" ht="27.75" customHeight="1" x14ac:dyDescent="0.2">
      <c r="A23" s="199" t="s">
        <v>20</v>
      </c>
      <c r="B23" s="96">
        <f>'Maize  U'!C54+'Barley U'!B17</f>
        <v>5.84</v>
      </c>
      <c r="C23" s="96">
        <f>'Maize  U'!D54+'Barley U'!C17</f>
        <v>5.88</v>
      </c>
      <c r="D23" s="96">
        <f>'Maize  U'!E54+'Barley U'!D17</f>
        <v>5.92</v>
      </c>
      <c r="E23" s="96">
        <f>'Maize  U'!F54+'Barley U'!E17</f>
        <v>5.9499999999999993</v>
      </c>
      <c r="F23" s="96">
        <f>'Maize  U'!G54+'Barley U'!F17</f>
        <v>5.98</v>
      </c>
      <c r="G23" s="96">
        <f>'Maize  U'!H54+'Barley U'!G17</f>
        <v>11.06</v>
      </c>
      <c r="H23" s="96">
        <f>'Maize  U'!I54+'Barley U'!H17</f>
        <v>11.12853</v>
      </c>
      <c r="I23" s="96">
        <f>'Maize  U'!J54+'Barley U'!I17</f>
        <v>11.20904</v>
      </c>
      <c r="J23" s="96">
        <f>'Maize  U'!K54+'Barley U'!J17</f>
        <v>11.279309999999999</v>
      </c>
      <c r="K23" s="96">
        <f>'Maize  U'!L54+'Barley U'!K17</f>
        <v>11.33886</v>
      </c>
      <c r="L23" s="99">
        <f t="shared" si="0"/>
        <v>1893.8356164383563</v>
      </c>
      <c r="M23" s="99">
        <f t="shared" si="1"/>
        <v>1892.6071428571429</v>
      </c>
      <c r="N23" s="99">
        <f t="shared" si="2"/>
        <v>1893.418918918919</v>
      </c>
      <c r="O23" s="99">
        <f t="shared" si="3"/>
        <v>1895.6823529411765</v>
      </c>
      <c r="P23" s="99">
        <f t="shared" si="4"/>
        <v>1896.1304347826087</v>
      </c>
    </row>
    <row r="24" spans="1:16" ht="27.75" customHeight="1" x14ac:dyDescent="0.2">
      <c r="A24" s="199" t="s">
        <v>107</v>
      </c>
      <c r="B24" s="96">
        <f>'Maize  U'!C57</f>
        <v>2.59</v>
      </c>
      <c r="C24" s="96">
        <f>'Maize  U'!D57</f>
        <v>2.13</v>
      </c>
      <c r="D24" s="96">
        <f>'Maize  U'!E57</f>
        <v>2.86</v>
      </c>
      <c r="E24" s="96">
        <f>'Maize  U'!F57</f>
        <v>3.93</v>
      </c>
      <c r="F24" s="96">
        <f>'Maize  U'!G57</f>
        <v>2.61</v>
      </c>
      <c r="G24" s="96">
        <f>'Maize  U'!H57</f>
        <v>7.54</v>
      </c>
      <c r="H24" s="96">
        <f>'Maize  U'!I57</f>
        <v>5.7957299999999998</v>
      </c>
      <c r="I24" s="96">
        <f>'Maize  U'!J57</f>
        <v>7.464599999999999</v>
      </c>
      <c r="J24" s="96">
        <f>'Maize  U'!K57</f>
        <v>13.098690000000001</v>
      </c>
      <c r="K24" s="96">
        <f>'Maize  U'!L57</f>
        <v>6.82254</v>
      </c>
      <c r="L24" s="99">
        <f t="shared" si="0"/>
        <v>2911.1969111969111</v>
      </c>
      <c r="M24" s="99">
        <f t="shared" si="1"/>
        <v>2721</v>
      </c>
      <c r="N24" s="99">
        <f t="shared" si="2"/>
        <v>2610</v>
      </c>
      <c r="O24" s="99">
        <f t="shared" si="3"/>
        <v>3333</v>
      </c>
      <c r="P24" s="99">
        <f t="shared" si="4"/>
        <v>2614.0000000000005</v>
      </c>
    </row>
    <row r="25" spans="1:16" ht="27.75" customHeight="1" x14ac:dyDescent="0.2">
      <c r="A25" s="199" t="s">
        <v>21</v>
      </c>
      <c r="B25" s="96">
        <f>'Barley U'!B18</f>
        <v>8.3000000000000007</v>
      </c>
      <c r="C25" s="96">
        <f>'Barley U'!C18</f>
        <v>7.7</v>
      </c>
      <c r="D25" s="96">
        <f>'Barley U'!D18</f>
        <v>6.8</v>
      </c>
      <c r="E25" s="96">
        <f>'Barley U'!E18</f>
        <v>6.2</v>
      </c>
      <c r="F25" s="96">
        <f>'Barley U'!F18</f>
        <v>5.9</v>
      </c>
      <c r="G25" s="96">
        <f>'Barley U'!G18</f>
        <v>31.5</v>
      </c>
      <c r="H25" s="96">
        <f>'Barley U'!H18</f>
        <v>29.876000000000001</v>
      </c>
      <c r="I25" s="96">
        <f>'Barley U'!I18</f>
        <v>25.479599999999998</v>
      </c>
      <c r="J25" s="96">
        <f>'Barley U'!J18</f>
        <v>22.5928</v>
      </c>
      <c r="K25" s="96">
        <f>'Barley U'!K18</f>
        <v>22.284300000000002</v>
      </c>
      <c r="L25" s="99">
        <f t="shared" si="0"/>
        <v>3795.1807228915659</v>
      </c>
      <c r="M25" s="99">
        <f t="shared" si="1"/>
        <v>3880</v>
      </c>
      <c r="N25" s="99">
        <f t="shared" si="2"/>
        <v>3747</v>
      </c>
      <c r="O25" s="99">
        <f t="shared" si="3"/>
        <v>3644</v>
      </c>
      <c r="P25" s="99">
        <f t="shared" si="4"/>
        <v>3777</v>
      </c>
    </row>
    <row r="26" spans="1:16" ht="27.75" customHeight="1" x14ac:dyDescent="0.2">
      <c r="A26" s="199" t="s">
        <v>22</v>
      </c>
      <c r="B26" s="96">
        <f>'Maize  U'!C61+'Barley U'!B19+'Jowar U'!C35</f>
        <v>275.94200000000001</v>
      </c>
      <c r="C26" s="96">
        <f>'Maize  U'!D61+'Barley U'!C19+'Jowar U'!D35</f>
        <v>287.89300000000003</v>
      </c>
      <c r="D26" s="96">
        <f>'Maize  U'!E61+'Barley U'!D19+'Jowar U'!E35</f>
        <v>225.90800000000002</v>
      </c>
      <c r="E26" s="96">
        <f>'Maize  U'!F61+'Barley U'!E19+'Jowar U'!F35</f>
        <v>317.19</v>
      </c>
      <c r="F26" s="96">
        <f>'Maize  U'!G61+'Barley U'!F19+'Jowar U'!G35</f>
        <v>286.65300000000002</v>
      </c>
      <c r="G26" s="96">
        <f>'Maize  U'!H61+'Barley U'!G19+'Jowar U'!H35</f>
        <v>840.51933200000008</v>
      </c>
      <c r="H26" s="96">
        <f>'Maize  U'!I61+'Barley U'!H19+'Jowar U'!I35</f>
        <v>930.6419370000001</v>
      </c>
      <c r="I26" s="96">
        <f>'Maize  U'!J61+'Barley U'!I19+'Jowar U'!J35</f>
        <v>812.51194200000009</v>
      </c>
      <c r="J26" s="96">
        <f>'Maize  U'!K61+'Barley U'!J19+'Jowar U'!K35</f>
        <v>1051.31124</v>
      </c>
      <c r="K26" s="96">
        <f>'Maize  U'!L61+'Barley U'!K19+'Jowar U'!L35</f>
        <v>1018.6013658310001</v>
      </c>
      <c r="L26" s="99">
        <f t="shared" si="0"/>
        <v>3046.0000000000005</v>
      </c>
      <c r="M26" s="99">
        <f t="shared" si="1"/>
        <v>3232.596614019792</v>
      </c>
      <c r="N26" s="99">
        <f t="shared" si="2"/>
        <v>3596.6497069603556</v>
      </c>
      <c r="O26" s="99">
        <f t="shared" si="3"/>
        <v>3314.4526624420696</v>
      </c>
      <c r="P26" s="99">
        <f t="shared" si="4"/>
        <v>3553.4299861888762</v>
      </c>
    </row>
    <row r="27" spans="1:16" ht="27.75" customHeight="1" x14ac:dyDescent="0.2">
      <c r="A27" s="199" t="s">
        <v>84</v>
      </c>
      <c r="B27" s="96">
        <f>'Barley U'!B20</f>
        <v>0.44</v>
      </c>
      <c r="C27" s="96">
        <f>'Barley U'!C20</f>
        <v>0.42</v>
      </c>
      <c r="D27" s="96">
        <f>'Barley U'!D20</f>
        <v>0.78600000000000003</v>
      </c>
      <c r="E27" s="96">
        <f>'Barley U'!E20</f>
        <v>0.40100000000000002</v>
      </c>
      <c r="F27" s="96">
        <f>'Barley U'!F20</f>
        <v>0.34599999999999997</v>
      </c>
      <c r="G27" s="96">
        <f>'Barley U'!G20</f>
        <v>0.47</v>
      </c>
      <c r="H27" s="96">
        <f>'Barley U'!H20</f>
        <v>0.45024000000000003</v>
      </c>
      <c r="I27" s="96">
        <f>'Barley U'!I20</f>
        <v>0.84337800000000007</v>
      </c>
      <c r="J27" s="96">
        <f>'Barley U'!J20</f>
        <v>0.46155100000000004</v>
      </c>
      <c r="K27" s="96">
        <f>'Barley U'!K20</f>
        <v>0.40412799999999999</v>
      </c>
      <c r="L27" s="99">
        <f t="shared" si="0"/>
        <v>1068.181818181818</v>
      </c>
      <c r="M27" s="99">
        <f t="shared" si="1"/>
        <v>1072</v>
      </c>
      <c r="N27" s="99">
        <f t="shared" si="2"/>
        <v>1073</v>
      </c>
      <c r="O27" s="99">
        <f t="shared" si="3"/>
        <v>1151</v>
      </c>
      <c r="P27" s="99">
        <f t="shared" si="4"/>
        <v>1168.0000000000002</v>
      </c>
    </row>
    <row r="28" spans="1:16" ht="27.75" customHeight="1" x14ac:dyDescent="0.2">
      <c r="A28" s="199" t="s">
        <v>11</v>
      </c>
      <c r="B28" s="96">
        <f>'Jowar U'!C38+'Maize  U'!C65</f>
        <v>285.92999999999995</v>
      </c>
      <c r="C28" s="96">
        <f>'Jowar U'!D38+'Maize  U'!D65</f>
        <v>302.60000000000002</v>
      </c>
      <c r="D28" s="96">
        <f>'Jowar U'!E38+'Maize  U'!E65</f>
        <v>424.92</v>
      </c>
      <c r="E28" s="96">
        <f>'Jowar U'!F38+'Maize  U'!F65</f>
        <v>383.14</v>
      </c>
      <c r="F28" s="96">
        <f>'Jowar U'!G38+'Maize  U'!G65</f>
        <v>368.18</v>
      </c>
      <c r="G28" s="96">
        <f>'Jowar U'!H38+'Maize  U'!H65</f>
        <v>230.51999999999998</v>
      </c>
      <c r="H28" s="96">
        <f>'Jowar U'!I38+'Maize  U'!I65</f>
        <v>1215.1555599999999</v>
      </c>
      <c r="I28" s="96">
        <f>'Jowar U'!J38+'Maize  U'!J65</f>
        <v>1805.63166</v>
      </c>
      <c r="J28" s="96">
        <f>'Jowar U'!K38+'Maize  U'!K65</f>
        <v>1351.4190599999999</v>
      </c>
      <c r="K28" s="96">
        <f>'Jowar U'!L38+'Maize  U'!L65</f>
        <v>1109.9356400000001</v>
      </c>
      <c r="L28" s="99">
        <f t="shared" si="0"/>
        <v>806.21131046060236</v>
      </c>
      <c r="M28" s="99">
        <f t="shared" si="1"/>
        <v>4015.7156642432251</v>
      </c>
      <c r="N28" s="99">
        <f t="shared" si="2"/>
        <v>4249.3449590511154</v>
      </c>
      <c r="O28" s="99">
        <f t="shared" si="3"/>
        <v>3527.21997181187</v>
      </c>
      <c r="P28" s="99">
        <f t="shared" si="4"/>
        <v>3014.6548970612207</v>
      </c>
    </row>
    <row r="29" spans="1:16" ht="27.75" customHeight="1" x14ac:dyDescent="0.2">
      <c r="A29" s="199" t="s">
        <v>109</v>
      </c>
      <c r="B29" s="96">
        <f>'Jowar U'!C41+'Maize  U'!C68</f>
        <v>194</v>
      </c>
      <c r="C29" s="96">
        <f>'Jowar U'!D41+'Maize  U'!D68</f>
        <v>191</v>
      </c>
      <c r="D29" s="96">
        <f>'Jowar U'!E41+'Maize  U'!E68</f>
        <v>138</v>
      </c>
      <c r="E29" s="96">
        <f>'Jowar U'!F41+'Maize  U'!F68</f>
        <v>201</v>
      </c>
      <c r="F29" s="96">
        <f>'Jowar U'!G41+'Maize  U'!G68</f>
        <v>221</v>
      </c>
      <c r="G29" s="96">
        <f>'Jowar U'!H41+'Maize  U'!H68</f>
        <v>940.19</v>
      </c>
      <c r="H29" s="96">
        <f>'Jowar U'!I41+'Maize  U'!I68</f>
        <v>990.71174999999994</v>
      </c>
      <c r="I29" s="96">
        <f>'Jowar U'!J41+'Maize  U'!J68</f>
        <v>795.447</v>
      </c>
      <c r="J29" s="96">
        <f>'Jowar U'!K41+'Maize  U'!K68</f>
        <v>1161.7073</v>
      </c>
      <c r="K29" s="96">
        <f>'Jowar U'!L41+'Maize  U'!L68</f>
        <v>1477.828</v>
      </c>
      <c r="L29" s="99">
        <f t="shared" si="0"/>
        <v>4846.3402061855668</v>
      </c>
      <c r="M29" s="99">
        <f t="shared" si="1"/>
        <v>5186.9725130890047</v>
      </c>
      <c r="N29" s="99">
        <f t="shared" si="2"/>
        <v>5764.108695652174</v>
      </c>
      <c r="O29" s="99">
        <f t="shared" si="3"/>
        <v>5779.638308457711</v>
      </c>
      <c r="P29" s="99">
        <f t="shared" si="4"/>
        <v>6687.0045248868782</v>
      </c>
    </row>
    <row r="30" spans="1:16" ht="27.75" customHeight="1" x14ac:dyDescent="0.2">
      <c r="A30" s="199" t="s">
        <v>85</v>
      </c>
      <c r="B30" s="96">
        <f>'Maize  U'!C71+'Jowar U'!C44</f>
        <v>2.5</v>
      </c>
      <c r="C30" s="96">
        <f>'Maize  U'!D71+'Jowar U'!D44</f>
        <v>2.14</v>
      </c>
      <c r="D30" s="96">
        <f>'Maize  U'!E71+'Jowar U'!E44</f>
        <v>2.8600000000000003</v>
      </c>
      <c r="E30" s="96">
        <f>'Maize  U'!F71+'Jowar U'!F44</f>
        <v>2.4849999999999999</v>
      </c>
      <c r="F30" s="96">
        <f>'Maize  U'!G71+'Jowar U'!G44</f>
        <v>7.3639999999999999</v>
      </c>
      <c r="G30" s="96">
        <f>'Maize  U'!H71+'Jowar U'!H44</f>
        <v>3.887</v>
      </c>
      <c r="H30" s="96">
        <f>'Maize  U'!I71+'Jowar U'!I44</f>
        <v>3.3362600000000002</v>
      </c>
      <c r="I30" s="96">
        <f>'Maize  U'!J71+'Jowar U'!J44</f>
        <v>5.5838910000000004</v>
      </c>
      <c r="J30" s="96">
        <f>'Maize  U'!K71+'Jowar U'!K44</f>
        <v>5.4870549999999998</v>
      </c>
      <c r="K30" s="96">
        <f>'Maize  U'!L71+'Jowar U'!L44</f>
        <v>18.343723999999998</v>
      </c>
      <c r="L30" s="99">
        <f t="shared" si="0"/>
        <v>1554.8</v>
      </c>
      <c r="M30" s="99">
        <f t="shared" si="1"/>
        <v>1559</v>
      </c>
      <c r="N30" s="99">
        <f t="shared" si="2"/>
        <v>1952.4094405594406</v>
      </c>
      <c r="O30" s="99">
        <f t="shared" si="3"/>
        <v>2208.0704225352115</v>
      </c>
      <c r="P30" s="99">
        <f t="shared" si="4"/>
        <v>2490.9999999999995</v>
      </c>
    </row>
    <row r="31" spans="1:16" ht="27.75" customHeight="1" x14ac:dyDescent="0.2">
      <c r="A31" s="199" t="s">
        <v>12</v>
      </c>
      <c r="B31" s="96">
        <f>'Maize  U'!C74+'Barley U'!B21</f>
        <v>182</v>
      </c>
      <c r="C31" s="96">
        <f>'Maize  U'!D74+'Barley U'!C21</f>
        <v>204</v>
      </c>
      <c r="D31" s="96">
        <f>'Maize  U'!E74+'Barley U'!D21</f>
        <v>210</v>
      </c>
      <c r="E31" s="96">
        <f>'Maize  U'!F74+'Barley U'!E21</f>
        <v>231</v>
      </c>
      <c r="F31" s="96">
        <f>'Maize  U'!G74+'Barley U'!F21</f>
        <v>221</v>
      </c>
      <c r="G31" s="96">
        <f>'Maize  U'!H74+'Barley U'!G21</f>
        <v>621</v>
      </c>
      <c r="H31" s="96">
        <f>'Maize  U'!I74+'Barley U'!H21</f>
        <v>546.34400000000005</v>
      </c>
      <c r="I31" s="96">
        <f>'Maize  U'!J74+'Barley U'!I21</f>
        <v>588.41600000000005</v>
      </c>
      <c r="J31" s="96">
        <f>'Maize  U'!K74+'Barley U'!J21</f>
        <v>686.05200000000002</v>
      </c>
      <c r="K31" s="96">
        <f>'Maize  U'!L74+'Barley U'!K21</f>
        <v>669.11300000000006</v>
      </c>
      <c r="L31" s="99">
        <f t="shared" si="0"/>
        <v>3412.0879120879122</v>
      </c>
      <c r="M31" s="99">
        <f t="shared" si="1"/>
        <v>2678.1568627450984</v>
      </c>
      <c r="N31" s="99">
        <f t="shared" si="2"/>
        <v>2801.9809523809527</v>
      </c>
      <c r="O31" s="99">
        <f t="shared" si="3"/>
        <v>2969.9220779220782</v>
      </c>
      <c r="P31" s="99">
        <f t="shared" si="4"/>
        <v>3027.6606334841636</v>
      </c>
    </row>
    <row r="32" spans="1:16" ht="27.75" customHeight="1" x14ac:dyDescent="0.2">
      <c r="A32" s="199" t="s">
        <v>90</v>
      </c>
      <c r="B32" s="76">
        <f>'Maize  U'!C77+'Barley U'!B22</f>
        <v>22</v>
      </c>
      <c r="C32" s="76">
        <f>'Maize  U'!D77+'Barley U'!C22</f>
        <v>20</v>
      </c>
      <c r="D32" s="76">
        <f>'Maize  U'!E77+'Barley U'!D22</f>
        <v>23</v>
      </c>
      <c r="E32" s="76">
        <f>'Maize  U'!F77+'Barley U'!E22</f>
        <v>24</v>
      </c>
      <c r="F32" s="76">
        <f>'Maize  U'!G77+'Barley U'!F22</f>
        <v>22</v>
      </c>
      <c r="G32" s="76">
        <f>'Maize  U'!H77+'Barley U'!G22</f>
        <v>26</v>
      </c>
      <c r="H32" s="76">
        <f>'Maize  U'!I77+'Barley U'!H22</f>
        <v>26.74</v>
      </c>
      <c r="I32" s="76">
        <f>'Maize  U'!J77+'Barley U'!I22</f>
        <v>32.752000000000002</v>
      </c>
      <c r="J32" s="76">
        <f>'Maize  U'!K77+'Barley U'!J22</f>
        <v>34.344000000000001</v>
      </c>
      <c r="K32" s="76">
        <f>'Maize  U'!L77+'Barley U'!K22</f>
        <v>27.984000000000002</v>
      </c>
      <c r="L32" s="99">
        <f t="shared" si="0"/>
        <v>1181.818181818182</v>
      </c>
      <c r="M32" s="99">
        <f t="shared" si="1"/>
        <v>1337</v>
      </c>
      <c r="N32" s="99">
        <f t="shared" si="2"/>
        <v>1424.0000000000002</v>
      </c>
      <c r="O32" s="99">
        <f t="shared" si="3"/>
        <v>1431</v>
      </c>
      <c r="P32" s="99">
        <f t="shared" si="4"/>
        <v>1272</v>
      </c>
    </row>
    <row r="33" spans="1:16" ht="27.75" customHeight="1" x14ac:dyDescent="0.2">
      <c r="A33" s="199" t="s">
        <v>13</v>
      </c>
      <c r="B33" s="96">
        <f>'Maize  U'!C80+'Barley U'!B23</f>
        <v>117.54600000000001</v>
      </c>
      <c r="C33" s="96">
        <f>'Maize  U'!D80+'Barley U'!C23</f>
        <v>182.8</v>
      </c>
      <c r="D33" s="96">
        <f>'Maize  U'!E80+'Barley U'!D23</f>
        <v>211.30699999999999</v>
      </c>
      <c r="E33" s="96">
        <f>'Maize  U'!F80+'Barley U'!E23</f>
        <v>252.27799999999999</v>
      </c>
      <c r="F33" s="96">
        <f>'Maize  U'!G80+'Barley U'!F23</f>
        <v>309.00299999999999</v>
      </c>
      <c r="G33" s="96">
        <f>'Maize  U'!H80+'Barley U'!G23</f>
        <v>583.61500000000001</v>
      </c>
      <c r="H33" s="96">
        <f>'Maize  U'!I80+'Barley U'!H23</f>
        <v>987.34</v>
      </c>
      <c r="I33" s="96">
        <f>'Maize  U'!J80+'Barley U'!I23</f>
        <v>1551.6508049999998</v>
      </c>
      <c r="J33" s="96">
        <f>'Maize  U'!K80+'Barley U'!J23</f>
        <v>1837.93109</v>
      </c>
      <c r="K33" s="96">
        <f>'Maize  U'!L80+'Barley U'!K23</f>
        <v>2273.569113</v>
      </c>
      <c r="L33" s="99">
        <f t="shared" si="0"/>
        <v>4964.992428496078</v>
      </c>
      <c r="M33" s="99">
        <f t="shared" si="1"/>
        <v>5401.2035010940917</v>
      </c>
      <c r="N33" s="99">
        <f t="shared" si="2"/>
        <v>7343.1112315256942</v>
      </c>
      <c r="O33" s="99">
        <f t="shared" si="3"/>
        <v>7285.3403388325578</v>
      </c>
      <c r="P33" s="99">
        <f t="shared" si="4"/>
        <v>7357.7574101222326</v>
      </c>
    </row>
    <row r="34" spans="1:16" ht="27.75" customHeight="1" x14ac:dyDescent="0.2">
      <c r="A34" s="199" t="s">
        <v>42</v>
      </c>
      <c r="B34" s="96">
        <f>'Maize  U'!C84</f>
        <v>0</v>
      </c>
      <c r="C34" s="96">
        <f>'Maize  U'!D84</f>
        <v>0</v>
      </c>
      <c r="D34" s="96">
        <f>'Maize  U'!E84</f>
        <v>0.1</v>
      </c>
      <c r="E34" s="96">
        <f>'Maize  U'!F84</f>
        <v>0</v>
      </c>
      <c r="F34" s="96">
        <f>'Maize  U'!G84</f>
        <v>0</v>
      </c>
      <c r="G34" s="96">
        <f>'Maize  U'!H84</f>
        <v>0</v>
      </c>
      <c r="H34" s="96">
        <f>'Maize  U'!I84</f>
        <v>0</v>
      </c>
      <c r="I34" s="96">
        <f>'Maize  U'!J84</f>
        <v>0.08</v>
      </c>
      <c r="J34" s="96">
        <f>'Maize  U'!K84</f>
        <v>0</v>
      </c>
      <c r="K34" s="96">
        <f>'Maize  U'!L84</f>
        <v>0</v>
      </c>
      <c r="L34" s="99" t="e">
        <f t="shared" si="0"/>
        <v>#DIV/0!</v>
      </c>
      <c r="M34" s="99" t="e">
        <f t="shared" si="1"/>
        <v>#DIV/0!</v>
      </c>
      <c r="N34" s="99">
        <f t="shared" si="2"/>
        <v>799.99999999999989</v>
      </c>
      <c r="O34" s="99" t="e">
        <f t="shared" si="3"/>
        <v>#DIV/0!</v>
      </c>
      <c r="P34" s="99" t="e">
        <f t="shared" si="4"/>
        <v>#DIV/0!</v>
      </c>
    </row>
    <row r="35" spans="1:16" ht="27.75" customHeight="1" x14ac:dyDescent="0.2">
      <c r="A35" s="199" t="s">
        <v>203</v>
      </c>
      <c r="B35" s="96">
        <f>'Barley U'!B24</f>
        <v>0</v>
      </c>
      <c r="C35" s="96">
        <f>'Barley U'!C24</f>
        <v>0</v>
      </c>
      <c r="D35" s="96">
        <f>'Barley U'!D24</f>
        <v>0</v>
      </c>
      <c r="E35" s="96">
        <f>'Barley U'!E24</f>
        <v>0</v>
      </c>
      <c r="F35" s="96">
        <f>'Barley U'!F24</f>
        <v>5.9820000000000002</v>
      </c>
      <c r="G35" s="96">
        <f>'Barley U'!G24</f>
        <v>0</v>
      </c>
      <c r="H35" s="96">
        <f>'Barley U'!H24</f>
        <v>0</v>
      </c>
      <c r="I35" s="96">
        <f>'Barley U'!I24</f>
        <v>0</v>
      </c>
      <c r="J35" s="96">
        <f>'Barley U'!J24</f>
        <v>0</v>
      </c>
      <c r="K35" s="96">
        <f>'Barley U'!K24</f>
        <v>3.6908940000000001</v>
      </c>
      <c r="L35" s="99" t="e">
        <f>'Barley U'!L24</f>
        <v>#DIV/0!</v>
      </c>
      <c r="M35" s="99" t="e">
        <f>'Barley U'!M24</f>
        <v>#DIV/0!</v>
      </c>
      <c r="N35" s="99" t="e">
        <f>'Barley U'!N24</f>
        <v>#DIV/0!</v>
      </c>
      <c r="O35" s="99" t="e">
        <f>'Barley U'!O24</f>
        <v>#DIV/0!</v>
      </c>
      <c r="P35" s="99">
        <f>K35/F35*1000</f>
        <v>617</v>
      </c>
    </row>
    <row r="36" spans="1:16" ht="27.75" customHeight="1" x14ac:dyDescent="0.2">
      <c r="A36" s="199" t="s">
        <v>23</v>
      </c>
      <c r="B36" s="96">
        <f>'Barley U'!B25</f>
        <v>6.8000000000000005E-2</v>
      </c>
      <c r="C36" s="96">
        <f>'Barley U'!C25</f>
        <v>6.2E-2</v>
      </c>
      <c r="D36" s="96">
        <f>'Barley U'!D25</f>
        <v>5.8999999999999997E-2</v>
      </c>
      <c r="E36" s="96">
        <f>'Barley U'!E25</f>
        <v>0.06</v>
      </c>
      <c r="F36" s="96">
        <f>'Barley U'!F25</f>
        <v>0.05</v>
      </c>
      <c r="G36" s="96">
        <f>'Barley U'!G25</f>
        <v>0.184</v>
      </c>
      <c r="H36" s="96">
        <f>'Barley U'!H25</f>
        <v>0.180978</v>
      </c>
      <c r="I36" s="96">
        <f>'Barley U'!I25</f>
        <v>0.171985</v>
      </c>
      <c r="J36" s="96">
        <f>'Barley U'!J25</f>
        <v>0.18</v>
      </c>
      <c r="K36" s="96">
        <f>'Barley U'!K25</f>
        <v>0.15</v>
      </c>
      <c r="L36" s="99">
        <f t="shared" si="0"/>
        <v>2705.8823529411761</v>
      </c>
      <c r="M36" s="99">
        <f t="shared" si="1"/>
        <v>2919</v>
      </c>
      <c r="N36" s="99">
        <f t="shared" si="2"/>
        <v>2915</v>
      </c>
      <c r="O36" s="99">
        <f t="shared" si="3"/>
        <v>3000</v>
      </c>
      <c r="P36" s="99">
        <f t="shared" si="4"/>
        <v>2999.9999999999995</v>
      </c>
    </row>
    <row r="37" spans="1:16" s="8" customFormat="1" ht="27.75" customHeight="1" x14ac:dyDescent="0.2">
      <c r="A37" s="199" t="s">
        <v>46</v>
      </c>
      <c r="B37" s="102">
        <f>'Jowar U'!C52+'Maize  U'!C91+'Barley U'!B26</f>
        <v>6012.799</v>
      </c>
      <c r="C37" s="102">
        <f>'Jowar U'!D52+'Maize  U'!D91+'Barley U'!C26</f>
        <v>5571.7591999999995</v>
      </c>
      <c r="D37" s="102">
        <f>'Jowar U'!E52+'Maize  U'!E91+'Barley U'!D26</f>
        <v>4610.7482999999993</v>
      </c>
      <c r="E37" s="102">
        <f>'Jowar U'!F52+'Maize  U'!F91+'Barley U'!E26</f>
        <v>5674.317</v>
      </c>
      <c r="F37" s="102">
        <f>'Jowar U'!G52+'Maize  U'!G91+'Barley U'!F26</f>
        <v>5464.6120000000001</v>
      </c>
      <c r="G37" s="102">
        <f>'Jowar U'!H52+'Maize  U'!H91+'Barley U'!G26</f>
        <v>11331.659872</v>
      </c>
      <c r="H37" s="102">
        <f>'Jowar U'!I52+'Maize  U'!I91+'Barley U'!H26</f>
        <v>12944.889094999999</v>
      </c>
      <c r="I37" s="102">
        <f>'Jowar U'!J52+'Maize  U'!J91+'Barley U'!I26</f>
        <v>11674.933728450002</v>
      </c>
      <c r="J37" s="102">
        <f>'Jowar U'!K52+'Maize  U'!K91+'Barley U'!J26</f>
        <v>14133.608004999995</v>
      </c>
      <c r="K37" s="102">
        <f>'Jowar U'!L52+'Maize  U'!L91+'Barley U'!K26</f>
        <v>14573.901725830998</v>
      </c>
      <c r="L37" s="285">
        <f t="shared" si="0"/>
        <v>1884.589834451476</v>
      </c>
      <c r="M37" s="285">
        <f t="shared" si="1"/>
        <v>2323.303759250759</v>
      </c>
      <c r="N37" s="285">
        <f t="shared" si="2"/>
        <v>2532.1125701982046</v>
      </c>
      <c r="O37" s="285">
        <f t="shared" si="3"/>
        <v>2490.8033874385228</v>
      </c>
      <c r="P37" s="285">
        <f t="shared" si="4"/>
        <v>2666.9600194544455</v>
      </c>
    </row>
    <row r="38" spans="1:16" x14ac:dyDescent="0.2">
      <c r="A38" s="21"/>
      <c r="B38" s="9"/>
      <c r="C38" s="9"/>
      <c r="D38" s="9"/>
      <c r="E38" s="9"/>
      <c r="F38" s="9"/>
      <c r="G38" s="19"/>
      <c r="H38" s="19"/>
      <c r="I38" s="19"/>
      <c r="J38" s="19"/>
      <c r="K38" s="19"/>
    </row>
    <row r="39" spans="1:16" x14ac:dyDescent="0.2">
      <c r="A39" s="21"/>
      <c r="B39" s="9"/>
      <c r="C39" s="9"/>
      <c r="D39" s="9"/>
      <c r="E39" s="9"/>
      <c r="F39" s="9"/>
      <c r="G39" s="19"/>
      <c r="H39" s="19"/>
      <c r="I39" s="19"/>
      <c r="J39" s="19"/>
      <c r="K39" s="19"/>
    </row>
    <row r="40" spans="1:16" x14ac:dyDescent="0.2">
      <c r="A40" s="21"/>
      <c r="B40" s="9"/>
      <c r="C40" s="9"/>
      <c r="D40" s="9"/>
      <c r="E40" s="9"/>
      <c r="F40" s="9"/>
      <c r="G40" s="19"/>
      <c r="H40" s="19"/>
      <c r="I40" s="19"/>
      <c r="J40" s="19"/>
      <c r="K40" s="19"/>
    </row>
    <row r="41" spans="1:16" x14ac:dyDescent="0.2">
      <c r="A41" s="21"/>
      <c r="B41" s="9"/>
      <c r="C41" s="9"/>
      <c r="D41" s="9"/>
      <c r="E41" s="9"/>
      <c r="F41" s="9"/>
      <c r="G41" s="19"/>
      <c r="H41" s="19"/>
      <c r="I41" s="19"/>
      <c r="J41" s="19"/>
      <c r="K41" s="19"/>
    </row>
    <row r="42" spans="1:16" x14ac:dyDescent="0.2">
      <c r="A42" s="21"/>
      <c r="B42" s="9"/>
      <c r="C42" s="9"/>
      <c r="D42" s="9"/>
      <c r="E42" s="9"/>
      <c r="F42" s="9"/>
      <c r="G42" s="19"/>
      <c r="H42" s="19"/>
      <c r="I42" s="19"/>
      <c r="J42" s="19"/>
      <c r="K42" s="19"/>
    </row>
    <row r="43" spans="1:16" x14ac:dyDescent="0.2">
      <c r="A43" s="21"/>
      <c r="B43" s="9"/>
      <c r="C43" s="9"/>
      <c r="D43" s="9"/>
      <c r="E43" s="9"/>
      <c r="F43" s="9"/>
      <c r="G43" s="19"/>
      <c r="H43" s="19"/>
      <c r="I43" s="19"/>
      <c r="J43" s="19"/>
      <c r="K43" s="19"/>
    </row>
    <row r="44" spans="1:16" x14ac:dyDescent="0.2">
      <c r="A44" s="21"/>
      <c r="B44" s="9"/>
      <c r="C44" s="9"/>
      <c r="D44" s="9"/>
      <c r="E44" s="9"/>
      <c r="F44" s="9"/>
      <c r="G44" s="19"/>
      <c r="H44" s="19"/>
      <c r="I44" s="19"/>
      <c r="J44" s="19"/>
      <c r="K44" s="19"/>
    </row>
    <row r="45" spans="1:16" x14ac:dyDescent="0.2">
      <c r="A45" s="21"/>
      <c r="B45" s="9"/>
      <c r="C45" s="9"/>
      <c r="D45" s="9"/>
      <c r="E45" s="9"/>
      <c r="F45" s="9"/>
      <c r="G45" s="19"/>
      <c r="H45" s="19"/>
      <c r="I45" s="19"/>
      <c r="J45" s="19"/>
      <c r="K45" s="19"/>
    </row>
    <row r="46" spans="1:16" x14ac:dyDescent="0.2">
      <c r="A46" s="21"/>
      <c r="B46" s="9"/>
      <c r="C46" s="9"/>
      <c r="D46" s="9"/>
      <c r="E46" s="9"/>
      <c r="F46" s="9"/>
      <c r="G46" s="19"/>
      <c r="H46" s="19"/>
      <c r="I46" s="19"/>
      <c r="J46" s="19"/>
      <c r="K46" s="19"/>
    </row>
    <row r="47" spans="1:16" x14ac:dyDescent="0.2">
      <c r="A47" s="21"/>
      <c r="B47" s="9"/>
      <c r="C47" s="9"/>
      <c r="D47" s="9"/>
      <c r="E47" s="9"/>
      <c r="F47" s="9"/>
      <c r="G47" s="19"/>
      <c r="H47" s="19"/>
      <c r="I47" s="19"/>
      <c r="J47" s="19"/>
      <c r="K47" s="19"/>
    </row>
    <row r="48" spans="1:16" x14ac:dyDescent="0.2">
      <c r="A48" s="21"/>
      <c r="B48" s="9"/>
      <c r="C48" s="9"/>
      <c r="D48" s="9"/>
      <c r="E48" s="9"/>
      <c r="F48" s="9"/>
      <c r="G48" s="19"/>
      <c r="H48" s="19"/>
      <c r="I48" s="19"/>
      <c r="J48" s="19"/>
      <c r="K48" s="19"/>
    </row>
    <row r="49" spans="1:11" x14ac:dyDescent="0.2">
      <c r="A49" s="21"/>
      <c r="B49" s="9"/>
      <c r="C49" s="9"/>
      <c r="D49" s="9"/>
      <c r="E49" s="9"/>
      <c r="F49" s="9"/>
      <c r="G49" s="19"/>
      <c r="H49" s="19"/>
      <c r="I49" s="19"/>
      <c r="J49" s="19"/>
      <c r="K49" s="19"/>
    </row>
    <row r="50" spans="1:11" x14ac:dyDescent="0.2">
      <c r="A50" s="21"/>
      <c r="B50" s="9"/>
      <c r="C50" s="9"/>
      <c r="D50" s="9"/>
      <c r="E50" s="9"/>
      <c r="F50" s="9"/>
      <c r="G50" s="19"/>
      <c r="H50" s="19"/>
      <c r="I50" s="19"/>
      <c r="J50" s="19"/>
      <c r="K50" s="19"/>
    </row>
    <row r="51" spans="1:11" x14ac:dyDescent="0.2">
      <c r="A51" s="21"/>
      <c r="B51" s="9"/>
      <c r="C51" s="9"/>
      <c r="D51" s="9"/>
      <c r="E51" s="9"/>
      <c r="F51" s="9"/>
      <c r="G51" s="19"/>
      <c r="H51" s="19"/>
      <c r="I51" s="19"/>
      <c r="J51" s="19"/>
      <c r="K51" s="19"/>
    </row>
    <row r="52" spans="1:11" x14ac:dyDescent="0.2">
      <c r="A52" s="21"/>
      <c r="B52" s="9"/>
      <c r="C52" s="9"/>
      <c r="D52" s="9"/>
      <c r="E52" s="9"/>
      <c r="F52" s="9"/>
      <c r="G52" s="19"/>
      <c r="H52" s="19"/>
      <c r="I52" s="19"/>
      <c r="J52" s="19"/>
      <c r="K52" s="19"/>
    </row>
    <row r="53" spans="1:11" x14ac:dyDescent="0.2">
      <c r="A53" s="21"/>
      <c r="B53" s="9"/>
      <c r="C53" s="9"/>
      <c r="D53" s="9"/>
      <c r="E53" s="9"/>
      <c r="F53" s="9"/>
      <c r="G53" s="19"/>
      <c r="H53" s="19"/>
      <c r="I53" s="19"/>
      <c r="J53" s="19"/>
      <c r="K53" s="19"/>
    </row>
    <row r="54" spans="1:11" x14ac:dyDescent="0.2">
      <c r="A54" s="21"/>
      <c r="B54" s="9"/>
      <c r="C54" s="9"/>
      <c r="D54" s="9"/>
      <c r="E54" s="9"/>
      <c r="F54" s="9"/>
      <c r="G54" s="19"/>
      <c r="H54" s="19"/>
      <c r="I54" s="19"/>
      <c r="J54" s="19"/>
      <c r="K54" s="19"/>
    </row>
    <row r="55" spans="1:11" x14ac:dyDescent="0.2">
      <c r="A55" s="21"/>
      <c r="B55" s="9"/>
      <c r="C55" s="9"/>
      <c r="D55" s="9"/>
      <c r="E55" s="9"/>
      <c r="F55" s="9"/>
      <c r="G55" s="19"/>
      <c r="H55" s="19"/>
      <c r="I55" s="19"/>
      <c r="J55" s="19"/>
      <c r="K55" s="19"/>
    </row>
    <row r="56" spans="1:11" x14ac:dyDescent="0.2">
      <c r="A56" s="21"/>
      <c r="B56" s="9"/>
      <c r="C56" s="9"/>
      <c r="D56" s="9"/>
      <c r="E56" s="9"/>
      <c r="F56" s="9"/>
      <c r="G56" s="19"/>
      <c r="H56" s="19"/>
      <c r="I56" s="19"/>
      <c r="J56" s="19"/>
      <c r="K56" s="19"/>
    </row>
    <row r="57" spans="1:11" x14ac:dyDescent="0.2">
      <c r="A57" s="21"/>
      <c r="B57" s="9"/>
      <c r="C57" s="9"/>
      <c r="D57" s="9"/>
      <c r="E57" s="9"/>
      <c r="F57" s="9"/>
      <c r="G57" s="19"/>
      <c r="H57" s="19"/>
      <c r="I57" s="19"/>
      <c r="J57" s="19"/>
      <c r="K57" s="19"/>
    </row>
    <row r="58" spans="1:11" x14ac:dyDescent="0.2">
      <c r="A58" s="21"/>
      <c r="B58" s="9"/>
      <c r="C58" s="9"/>
      <c r="D58" s="9"/>
      <c r="E58" s="9"/>
      <c r="F58" s="9"/>
      <c r="G58" s="19"/>
      <c r="H58" s="19"/>
      <c r="I58" s="19"/>
      <c r="J58" s="19"/>
      <c r="K58" s="19"/>
    </row>
    <row r="59" spans="1:11" x14ac:dyDescent="0.2">
      <c r="A59" s="21"/>
      <c r="B59" s="9"/>
      <c r="C59" s="9"/>
      <c r="D59" s="9"/>
      <c r="E59" s="9"/>
      <c r="F59" s="9"/>
      <c r="G59" s="19"/>
      <c r="H59" s="19"/>
      <c r="I59" s="19"/>
      <c r="J59" s="19"/>
      <c r="K59" s="19"/>
    </row>
    <row r="60" spans="1:11" x14ac:dyDescent="0.2">
      <c r="A60" s="21"/>
      <c r="B60" s="9"/>
      <c r="C60" s="9"/>
      <c r="D60" s="9"/>
      <c r="E60" s="9"/>
      <c r="F60" s="9"/>
      <c r="G60" s="19"/>
      <c r="H60" s="19"/>
      <c r="I60" s="19"/>
      <c r="J60" s="19"/>
      <c r="K60" s="19"/>
    </row>
    <row r="61" spans="1:11" x14ac:dyDescent="0.2">
      <c r="A61" s="21"/>
      <c r="B61" s="9"/>
      <c r="C61" s="9"/>
      <c r="D61" s="9"/>
      <c r="E61" s="9"/>
      <c r="F61" s="9"/>
      <c r="G61" s="19"/>
      <c r="H61" s="19"/>
      <c r="I61" s="19"/>
      <c r="J61" s="19"/>
      <c r="K61" s="19"/>
    </row>
    <row r="62" spans="1:11" x14ac:dyDescent="0.2">
      <c r="A62" s="21"/>
      <c r="B62" s="9"/>
      <c r="C62" s="9"/>
      <c r="D62" s="9"/>
      <c r="E62" s="9"/>
      <c r="F62" s="9"/>
      <c r="G62" s="19"/>
      <c r="H62" s="19"/>
      <c r="I62" s="19"/>
      <c r="J62" s="19"/>
      <c r="K62" s="19"/>
    </row>
    <row r="63" spans="1:11" x14ac:dyDescent="0.2">
      <c r="A63" s="21"/>
      <c r="B63" s="9"/>
      <c r="C63" s="9"/>
      <c r="D63" s="9"/>
      <c r="E63" s="9"/>
      <c r="F63" s="9"/>
      <c r="G63" s="19"/>
      <c r="H63" s="19"/>
      <c r="I63" s="19"/>
      <c r="J63" s="19"/>
      <c r="K63" s="19"/>
    </row>
    <row r="64" spans="1:11" x14ac:dyDescent="0.2">
      <c r="A64" s="21"/>
      <c r="B64" s="9"/>
      <c r="C64" s="9"/>
      <c r="D64" s="9"/>
      <c r="E64" s="9"/>
      <c r="F64" s="9"/>
      <c r="G64" s="19"/>
      <c r="H64" s="19"/>
      <c r="I64" s="19"/>
      <c r="J64" s="19"/>
      <c r="K64" s="19"/>
    </row>
    <row r="65" spans="1:11" x14ac:dyDescent="0.2">
      <c r="A65" s="21"/>
      <c r="B65" s="9"/>
      <c r="C65" s="9"/>
      <c r="D65" s="9"/>
      <c r="E65" s="9"/>
      <c r="F65" s="9"/>
      <c r="G65" s="19"/>
      <c r="H65" s="19"/>
      <c r="I65" s="19"/>
      <c r="J65" s="19"/>
      <c r="K65" s="19"/>
    </row>
    <row r="66" spans="1:11" x14ac:dyDescent="0.2">
      <c r="A66" s="21"/>
      <c r="B66" s="9"/>
      <c r="C66" s="9"/>
      <c r="D66" s="9"/>
      <c r="E66" s="9"/>
      <c r="F66" s="9"/>
      <c r="G66" s="19"/>
      <c r="H66" s="19"/>
      <c r="I66" s="19"/>
      <c r="J66" s="19"/>
      <c r="K66" s="19"/>
    </row>
    <row r="67" spans="1:11" x14ac:dyDescent="0.2">
      <c r="A67" s="21"/>
      <c r="B67" s="9"/>
      <c r="C67" s="9"/>
      <c r="D67" s="9"/>
      <c r="E67" s="9"/>
      <c r="F67" s="9"/>
      <c r="G67" s="19"/>
      <c r="H67" s="19"/>
      <c r="I67" s="19"/>
      <c r="J67" s="19"/>
      <c r="K67" s="19"/>
    </row>
    <row r="68" spans="1:11" x14ac:dyDescent="0.2">
      <c r="A68" s="21"/>
      <c r="B68" s="9"/>
      <c r="C68" s="9"/>
      <c r="D68" s="9"/>
      <c r="E68" s="9"/>
      <c r="F68" s="9"/>
      <c r="G68" s="19"/>
      <c r="H68" s="19"/>
      <c r="I68" s="19"/>
      <c r="J68" s="19"/>
      <c r="K68" s="19"/>
    </row>
    <row r="69" spans="1:11" x14ac:dyDescent="0.2">
      <c r="A69" s="21"/>
      <c r="B69" s="9"/>
      <c r="C69" s="9"/>
      <c r="D69" s="9"/>
      <c r="E69" s="9"/>
      <c r="F69" s="9"/>
      <c r="G69" s="19"/>
      <c r="H69" s="19"/>
      <c r="I69" s="19"/>
      <c r="J69" s="19"/>
      <c r="K69" s="19"/>
    </row>
    <row r="70" spans="1:11" x14ac:dyDescent="0.2">
      <c r="A70" s="21"/>
      <c r="B70" s="9"/>
      <c r="C70" s="9"/>
      <c r="D70" s="9"/>
      <c r="E70" s="9"/>
      <c r="F70" s="9"/>
      <c r="G70" s="19"/>
      <c r="H70" s="19"/>
      <c r="I70" s="19"/>
      <c r="J70" s="19"/>
      <c r="K70" s="19"/>
    </row>
    <row r="71" spans="1:11" x14ac:dyDescent="0.2">
      <c r="A71" s="21"/>
      <c r="B71" s="9"/>
      <c r="C71" s="9"/>
      <c r="D71" s="9"/>
      <c r="E71" s="9"/>
      <c r="F71" s="9"/>
      <c r="G71" s="19"/>
      <c r="H71" s="19"/>
      <c r="I71" s="19"/>
      <c r="J71" s="19"/>
      <c r="K71" s="19"/>
    </row>
    <row r="72" spans="1:11" x14ac:dyDescent="0.2">
      <c r="A72" s="21"/>
      <c r="B72" s="9"/>
      <c r="C72" s="9"/>
      <c r="D72" s="9"/>
      <c r="E72" s="9"/>
      <c r="F72" s="9"/>
      <c r="G72" s="19"/>
      <c r="H72" s="19"/>
      <c r="I72" s="19"/>
      <c r="J72" s="19"/>
      <c r="K72" s="19"/>
    </row>
    <row r="73" spans="1:11" x14ac:dyDescent="0.2">
      <c r="A73" s="21"/>
      <c r="B73" s="9"/>
      <c r="C73" s="9"/>
      <c r="D73" s="9"/>
      <c r="E73" s="9"/>
      <c r="F73" s="9"/>
      <c r="G73" s="19"/>
      <c r="H73" s="19"/>
      <c r="I73" s="19"/>
      <c r="J73" s="19"/>
      <c r="K73" s="19"/>
    </row>
    <row r="74" spans="1:11" x14ac:dyDescent="0.2">
      <c r="A74" s="21"/>
      <c r="B74" s="9"/>
      <c r="C74" s="9"/>
      <c r="D74" s="9"/>
      <c r="E74" s="9"/>
      <c r="F74" s="9"/>
      <c r="G74" s="19"/>
      <c r="H74" s="19"/>
      <c r="I74" s="19"/>
      <c r="J74" s="19"/>
      <c r="K74" s="19"/>
    </row>
    <row r="75" spans="1:11" x14ac:dyDescent="0.2">
      <c r="A75" s="21"/>
      <c r="B75" s="9"/>
      <c r="C75" s="9"/>
      <c r="D75" s="9"/>
      <c r="E75" s="9"/>
      <c r="F75" s="9"/>
      <c r="G75" s="19"/>
      <c r="H75" s="19"/>
      <c r="I75" s="19"/>
      <c r="J75" s="19"/>
      <c r="K75" s="19"/>
    </row>
    <row r="76" spans="1:11" x14ac:dyDescent="0.2">
      <c r="A76" s="21"/>
      <c r="B76" s="9"/>
      <c r="C76" s="9"/>
      <c r="D76" s="9"/>
      <c r="E76" s="9"/>
      <c r="F76" s="9"/>
      <c r="G76" s="19"/>
      <c r="H76" s="19"/>
      <c r="I76" s="19"/>
      <c r="J76" s="19"/>
      <c r="K76" s="19"/>
    </row>
    <row r="77" spans="1:11" x14ac:dyDescent="0.2">
      <c r="A77" s="21"/>
      <c r="B77" s="9"/>
      <c r="C77" s="9"/>
      <c r="D77" s="9"/>
      <c r="E77" s="9"/>
      <c r="F77" s="9"/>
      <c r="G77" s="19"/>
      <c r="H77" s="19"/>
      <c r="I77" s="19"/>
      <c r="J77" s="19"/>
      <c r="K77" s="19"/>
    </row>
    <row r="78" spans="1:11" x14ac:dyDescent="0.2">
      <c r="A78" s="21"/>
      <c r="B78" s="9"/>
      <c r="C78" s="9"/>
      <c r="D78" s="9"/>
      <c r="E78" s="9"/>
      <c r="F78" s="9"/>
      <c r="G78" s="19"/>
      <c r="H78" s="19"/>
      <c r="I78" s="19"/>
      <c r="J78" s="19"/>
      <c r="K78" s="19"/>
    </row>
    <row r="79" spans="1:11" x14ac:dyDescent="0.2">
      <c r="A79" s="21"/>
      <c r="B79" s="9"/>
      <c r="C79" s="9"/>
      <c r="D79" s="9"/>
      <c r="E79" s="9"/>
      <c r="F79" s="9"/>
      <c r="G79" s="19"/>
      <c r="H79" s="19"/>
      <c r="I79" s="19"/>
      <c r="J79" s="19"/>
      <c r="K79" s="19"/>
    </row>
    <row r="80" spans="1:11" x14ac:dyDescent="0.2">
      <c r="A80" s="21"/>
      <c r="B80" s="9"/>
      <c r="C80" s="9"/>
      <c r="D80" s="9"/>
      <c r="E80" s="9"/>
      <c r="F80" s="9"/>
      <c r="G80" s="19"/>
      <c r="H80" s="19"/>
      <c r="I80" s="19"/>
      <c r="J80" s="19"/>
      <c r="K80" s="19"/>
    </row>
    <row r="81" spans="1:11" x14ac:dyDescent="0.2">
      <c r="A81" s="21"/>
      <c r="B81" s="9"/>
      <c r="C81" s="9"/>
      <c r="D81" s="9"/>
      <c r="E81" s="9"/>
      <c r="F81" s="9"/>
      <c r="G81" s="19"/>
      <c r="H81" s="19"/>
      <c r="I81" s="19"/>
      <c r="J81" s="19"/>
      <c r="K81" s="19"/>
    </row>
    <row r="82" spans="1:11" x14ac:dyDescent="0.2">
      <c r="A82" s="21"/>
      <c r="B82" s="9"/>
      <c r="C82" s="9"/>
      <c r="D82" s="9"/>
      <c r="E82" s="9"/>
      <c r="F82" s="9"/>
      <c r="G82" s="19"/>
      <c r="H82" s="19"/>
      <c r="I82" s="19"/>
      <c r="J82" s="19"/>
      <c r="K82" s="19"/>
    </row>
    <row r="83" spans="1:11" x14ac:dyDescent="0.2">
      <c r="A83" s="21"/>
      <c r="B83" s="9"/>
      <c r="C83" s="9"/>
      <c r="D83" s="9"/>
      <c r="E83" s="9"/>
      <c r="F83" s="9"/>
      <c r="G83" s="19"/>
      <c r="H83" s="19"/>
      <c r="I83" s="19"/>
      <c r="J83" s="19"/>
      <c r="K83" s="19"/>
    </row>
    <row r="84" spans="1:11" x14ac:dyDescent="0.2">
      <c r="A84" s="21"/>
      <c r="B84" s="9"/>
      <c r="C84" s="9"/>
      <c r="D84" s="9"/>
      <c r="E84" s="9"/>
      <c r="F84" s="9"/>
      <c r="G84" s="19"/>
      <c r="H84" s="19"/>
      <c r="I84" s="19"/>
      <c r="J84" s="19"/>
      <c r="K84" s="19"/>
    </row>
    <row r="85" spans="1:11" x14ac:dyDescent="0.2">
      <c r="A85" s="21"/>
      <c r="B85" s="9"/>
      <c r="C85" s="9"/>
      <c r="D85" s="9"/>
      <c r="E85" s="9"/>
      <c r="F85" s="9"/>
      <c r="G85" s="19"/>
      <c r="H85" s="19"/>
      <c r="I85" s="19"/>
      <c r="J85" s="19"/>
      <c r="K85" s="19"/>
    </row>
    <row r="86" spans="1:11" x14ac:dyDescent="0.2">
      <c r="A86" s="21"/>
      <c r="B86" s="9"/>
      <c r="C86" s="9"/>
      <c r="D86" s="9"/>
      <c r="E86" s="9"/>
      <c r="F86" s="9"/>
      <c r="G86" s="19"/>
      <c r="H86" s="19"/>
      <c r="I86" s="19"/>
      <c r="J86" s="19"/>
      <c r="K86" s="19"/>
    </row>
    <row r="87" spans="1:11" x14ac:dyDescent="0.2">
      <c r="A87" s="21"/>
      <c r="B87" s="9"/>
      <c r="C87" s="9"/>
      <c r="D87" s="9"/>
      <c r="E87" s="9"/>
      <c r="F87" s="9"/>
      <c r="G87" s="19"/>
      <c r="H87" s="19"/>
      <c r="I87" s="19"/>
      <c r="J87" s="19"/>
      <c r="K87" s="19"/>
    </row>
    <row r="88" spans="1:11" x14ac:dyDescent="0.2">
      <c r="A88" s="21"/>
      <c r="B88" s="9"/>
      <c r="C88" s="9"/>
      <c r="D88" s="9"/>
      <c r="E88" s="9"/>
      <c r="F88" s="9"/>
      <c r="G88" s="19"/>
      <c r="H88" s="19"/>
      <c r="I88" s="19"/>
      <c r="J88" s="19"/>
      <c r="K88" s="19"/>
    </row>
    <row r="89" spans="1:11" x14ac:dyDescent="0.2">
      <c r="A89" s="21"/>
      <c r="B89" s="9"/>
      <c r="C89" s="9"/>
      <c r="D89" s="9"/>
      <c r="E89" s="9"/>
      <c r="F89" s="9"/>
      <c r="G89" s="19"/>
      <c r="H89" s="19"/>
      <c r="I89" s="19"/>
      <c r="J89" s="19"/>
      <c r="K89" s="19"/>
    </row>
    <row r="90" spans="1:11" x14ac:dyDescent="0.2">
      <c r="A90" s="21"/>
      <c r="B90" s="9"/>
      <c r="C90" s="9"/>
      <c r="D90" s="9"/>
      <c r="E90" s="9"/>
      <c r="F90" s="9"/>
      <c r="G90" s="19"/>
      <c r="H90" s="19"/>
      <c r="I90" s="19"/>
      <c r="J90" s="19"/>
      <c r="K90" s="19"/>
    </row>
    <row r="91" spans="1:11" x14ac:dyDescent="0.2">
      <c r="A91" s="21"/>
      <c r="B91" s="9"/>
      <c r="C91" s="9"/>
      <c r="D91" s="9"/>
      <c r="E91" s="9"/>
      <c r="F91" s="9"/>
      <c r="G91" s="19"/>
      <c r="H91" s="19"/>
      <c r="I91" s="19"/>
      <c r="J91" s="19"/>
      <c r="K91" s="19"/>
    </row>
    <row r="92" spans="1:11" x14ac:dyDescent="0.2">
      <c r="A92" s="21"/>
      <c r="B92" s="9"/>
      <c r="C92" s="9"/>
      <c r="D92" s="9"/>
      <c r="E92" s="9"/>
      <c r="F92" s="9"/>
      <c r="G92" s="19"/>
      <c r="H92" s="19"/>
      <c r="I92" s="19"/>
      <c r="J92" s="19"/>
      <c r="K92" s="19"/>
    </row>
    <row r="93" spans="1:11" x14ac:dyDescent="0.2">
      <c r="A93" s="21"/>
      <c r="B93" s="9"/>
      <c r="C93" s="9"/>
      <c r="D93" s="9"/>
      <c r="E93" s="9"/>
      <c r="F93" s="9"/>
      <c r="G93" s="19"/>
      <c r="H93" s="19"/>
      <c r="I93" s="19"/>
      <c r="J93" s="19"/>
      <c r="K93" s="19"/>
    </row>
    <row r="94" spans="1:11" x14ac:dyDescent="0.2">
      <c r="A94" s="21"/>
      <c r="B94" s="9"/>
      <c r="C94" s="9"/>
      <c r="D94" s="9"/>
      <c r="E94" s="9"/>
      <c r="F94" s="9"/>
      <c r="G94" s="19"/>
      <c r="H94" s="19"/>
      <c r="I94" s="19"/>
      <c r="J94" s="19"/>
      <c r="K94" s="19"/>
    </row>
    <row r="95" spans="1:11" x14ac:dyDescent="0.2">
      <c r="A95" s="21"/>
      <c r="B95" s="9"/>
      <c r="C95" s="9"/>
      <c r="D95" s="9"/>
      <c r="E95" s="9"/>
      <c r="F95" s="9"/>
      <c r="G95" s="19"/>
      <c r="H95" s="19"/>
      <c r="I95" s="19"/>
      <c r="J95" s="19"/>
      <c r="K95" s="19"/>
    </row>
    <row r="96" spans="1:11" x14ac:dyDescent="0.2">
      <c r="A96" s="21"/>
      <c r="B96" s="9"/>
      <c r="C96" s="9"/>
      <c r="D96" s="9"/>
      <c r="E96" s="9"/>
      <c r="F96" s="9"/>
      <c r="G96" s="19"/>
      <c r="H96" s="19"/>
      <c r="I96" s="19"/>
      <c r="J96" s="19"/>
      <c r="K96" s="19"/>
    </row>
    <row r="97" spans="1:11" x14ac:dyDescent="0.2">
      <c r="A97" s="21"/>
      <c r="B97" s="9"/>
      <c r="C97" s="9"/>
      <c r="D97" s="9"/>
      <c r="E97" s="9"/>
      <c r="F97" s="9"/>
      <c r="G97" s="19"/>
      <c r="H97" s="19"/>
      <c r="I97" s="19"/>
      <c r="J97" s="19"/>
      <c r="K97" s="19"/>
    </row>
    <row r="98" spans="1:11" x14ac:dyDescent="0.2">
      <c r="A98" s="21"/>
      <c r="B98" s="9"/>
      <c r="C98" s="9"/>
      <c r="D98" s="9"/>
      <c r="E98" s="9"/>
      <c r="F98" s="9"/>
      <c r="G98" s="19"/>
      <c r="H98" s="19"/>
      <c r="I98" s="19"/>
      <c r="J98" s="19"/>
      <c r="K98" s="19"/>
    </row>
    <row r="99" spans="1:11" x14ac:dyDescent="0.2">
      <c r="A99" s="21"/>
      <c r="B99" s="9"/>
      <c r="C99" s="9"/>
      <c r="D99" s="9"/>
      <c r="E99" s="9"/>
      <c r="F99" s="9"/>
      <c r="G99" s="19"/>
      <c r="H99" s="19"/>
      <c r="I99" s="19"/>
      <c r="J99" s="19"/>
      <c r="K99" s="19"/>
    </row>
    <row r="100" spans="1:11" x14ac:dyDescent="0.2">
      <c r="A100" s="21"/>
      <c r="B100" s="9"/>
      <c r="C100" s="9"/>
      <c r="D100" s="9"/>
      <c r="E100" s="9"/>
      <c r="F100" s="9"/>
      <c r="G100" s="19"/>
      <c r="H100" s="19"/>
      <c r="I100" s="19"/>
      <c r="J100" s="19"/>
      <c r="K100" s="19"/>
    </row>
    <row r="101" spans="1:11" x14ac:dyDescent="0.2">
      <c r="A101" s="21"/>
      <c r="B101" s="9"/>
      <c r="C101" s="9"/>
      <c r="D101" s="9"/>
      <c r="E101" s="9"/>
      <c r="F101" s="9"/>
      <c r="G101" s="19"/>
      <c r="H101" s="19"/>
      <c r="I101" s="19"/>
      <c r="J101" s="19"/>
      <c r="K101" s="19"/>
    </row>
    <row r="102" spans="1:11" x14ac:dyDescent="0.2">
      <c r="A102" s="21"/>
      <c r="B102" s="9"/>
      <c r="C102" s="9"/>
      <c r="D102" s="9"/>
      <c r="E102" s="9"/>
      <c r="F102" s="9"/>
      <c r="G102" s="19"/>
      <c r="H102" s="19"/>
      <c r="I102" s="19"/>
      <c r="J102" s="19"/>
      <c r="K102" s="19"/>
    </row>
    <row r="103" spans="1:11" x14ac:dyDescent="0.2">
      <c r="A103" s="21"/>
      <c r="B103" s="9"/>
      <c r="C103" s="9"/>
      <c r="D103" s="9"/>
      <c r="E103" s="9"/>
      <c r="F103" s="9"/>
      <c r="G103" s="19"/>
      <c r="H103" s="19"/>
      <c r="I103" s="19"/>
      <c r="J103" s="19"/>
      <c r="K103" s="19"/>
    </row>
    <row r="104" spans="1:11" x14ac:dyDescent="0.2">
      <c r="A104" s="21"/>
      <c r="B104" s="9"/>
      <c r="C104" s="9"/>
      <c r="D104" s="9"/>
      <c r="E104" s="9"/>
      <c r="F104" s="9"/>
      <c r="G104" s="19"/>
      <c r="H104" s="19"/>
      <c r="I104" s="19"/>
      <c r="J104" s="19"/>
      <c r="K104" s="19"/>
    </row>
    <row r="105" spans="1:11" x14ac:dyDescent="0.2">
      <c r="A105" s="21"/>
      <c r="B105" s="9"/>
      <c r="C105" s="9"/>
      <c r="D105" s="9"/>
      <c r="E105" s="9"/>
      <c r="F105" s="9"/>
      <c r="G105" s="19"/>
      <c r="H105" s="19"/>
      <c r="I105" s="19"/>
      <c r="J105" s="19"/>
      <c r="K105" s="19"/>
    </row>
    <row r="106" spans="1:11" x14ac:dyDescent="0.2">
      <c r="A106" s="21"/>
      <c r="B106" s="9"/>
      <c r="C106" s="9"/>
      <c r="D106" s="9"/>
      <c r="E106" s="9"/>
      <c r="F106" s="9"/>
      <c r="G106" s="19"/>
      <c r="H106" s="19"/>
      <c r="I106" s="19"/>
      <c r="J106" s="19"/>
      <c r="K106" s="19"/>
    </row>
    <row r="107" spans="1:11" x14ac:dyDescent="0.2">
      <c r="A107" s="21"/>
      <c r="B107" s="9"/>
      <c r="C107" s="9"/>
      <c r="D107" s="9"/>
      <c r="E107" s="9"/>
      <c r="F107" s="9"/>
      <c r="G107" s="19"/>
      <c r="H107" s="19"/>
      <c r="I107" s="19"/>
      <c r="J107" s="19"/>
      <c r="K107" s="19"/>
    </row>
    <row r="108" spans="1:11" x14ac:dyDescent="0.2">
      <c r="A108" s="21"/>
      <c r="B108" s="9"/>
      <c r="C108" s="9"/>
      <c r="D108" s="9"/>
      <c r="E108" s="9"/>
      <c r="F108" s="9"/>
      <c r="G108" s="19"/>
      <c r="H108" s="19"/>
      <c r="I108" s="19"/>
      <c r="J108" s="19"/>
      <c r="K108" s="19"/>
    </row>
    <row r="109" spans="1:11" x14ac:dyDescent="0.2">
      <c r="A109" s="21"/>
      <c r="B109" s="9"/>
      <c r="C109" s="9"/>
      <c r="D109" s="9"/>
      <c r="E109" s="9"/>
      <c r="F109" s="9"/>
      <c r="G109" s="19"/>
      <c r="H109" s="19"/>
      <c r="I109" s="19"/>
      <c r="J109" s="19"/>
      <c r="K109" s="19"/>
    </row>
    <row r="110" spans="1:11" x14ac:dyDescent="0.2">
      <c r="A110" s="21"/>
      <c r="B110" s="9"/>
      <c r="C110" s="9"/>
      <c r="D110" s="9"/>
      <c r="E110" s="9"/>
      <c r="F110" s="9"/>
      <c r="G110" s="19"/>
      <c r="H110" s="19"/>
      <c r="I110" s="19"/>
      <c r="J110" s="19"/>
      <c r="K110" s="19"/>
    </row>
    <row r="111" spans="1:11" x14ac:dyDescent="0.2">
      <c r="A111" s="21"/>
      <c r="B111" s="9"/>
      <c r="C111" s="9"/>
      <c r="D111" s="9"/>
      <c r="E111" s="9"/>
      <c r="F111" s="9"/>
      <c r="G111" s="19"/>
      <c r="H111" s="19"/>
      <c r="I111" s="19"/>
      <c r="J111" s="19"/>
      <c r="K111" s="19"/>
    </row>
    <row r="112" spans="1:11" x14ac:dyDescent="0.2">
      <c r="A112" s="21"/>
      <c r="B112" s="9"/>
      <c r="C112" s="9"/>
      <c r="D112" s="9"/>
      <c r="E112" s="9"/>
      <c r="F112" s="9"/>
      <c r="G112" s="19"/>
      <c r="H112" s="19"/>
      <c r="I112" s="19"/>
      <c r="J112" s="19"/>
      <c r="K112" s="19"/>
    </row>
    <row r="113" spans="1:11" x14ac:dyDescent="0.2">
      <c r="A113" s="21"/>
      <c r="B113" s="9"/>
      <c r="C113" s="9"/>
      <c r="D113" s="9"/>
      <c r="E113" s="9"/>
      <c r="F113" s="9"/>
      <c r="G113" s="19"/>
      <c r="H113" s="19"/>
      <c r="I113" s="19"/>
      <c r="J113" s="19"/>
      <c r="K113" s="19"/>
    </row>
    <row r="114" spans="1:11" x14ac:dyDescent="0.2">
      <c r="A114" s="21"/>
      <c r="B114" s="9"/>
      <c r="C114" s="9"/>
      <c r="D114" s="9"/>
      <c r="E114" s="9"/>
      <c r="F114" s="9"/>
      <c r="G114" s="19"/>
      <c r="H114" s="19"/>
      <c r="I114" s="19"/>
      <c r="J114" s="19"/>
      <c r="K114" s="19"/>
    </row>
    <row r="115" spans="1:11" x14ac:dyDescent="0.2">
      <c r="A115" s="21"/>
      <c r="B115" s="9"/>
      <c r="C115" s="9"/>
      <c r="D115" s="9"/>
      <c r="E115" s="9"/>
      <c r="F115" s="9"/>
      <c r="G115" s="19"/>
      <c r="H115" s="19"/>
      <c r="I115" s="19"/>
      <c r="J115" s="19"/>
      <c r="K115" s="19"/>
    </row>
    <row r="116" spans="1:11" x14ac:dyDescent="0.2">
      <c r="A116" s="21"/>
      <c r="B116" s="9"/>
      <c r="C116" s="9"/>
      <c r="D116" s="9"/>
      <c r="E116" s="9"/>
      <c r="F116" s="9"/>
      <c r="G116" s="19"/>
      <c r="H116" s="19"/>
      <c r="I116" s="19"/>
      <c r="J116" s="19"/>
      <c r="K116" s="19"/>
    </row>
    <row r="117" spans="1:11" x14ac:dyDescent="0.2">
      <c r="A117" s="21"/>
      <c r="B117" s="9"/>
      <c r="C117" s="9"/>
      <c r="D117" s="9"/>
      <c r="E117" s="9"/>
      <c r="F117" s="9"/>
      <c r="G117" s="19"/>
      <c r="H117" s="19"/>
      <c r="I117" s="19"/>
      <c r="J117" s="19"/>
      <c r="K117" s="19"/>
    </row>
    <row r="118" spans="1:11" x14ac:dyDescent="0.2">
      <c r="A118" s="21"/>
      <c r="B118" s="9"/>
      <c r="C118" s="9"/>
      <c r="D118" s="9"/>
      <c r="E118" s="9"/>
      <c r="F118" s="9"/>
      <c r="G118" s="19"/>
      <c r="H118" s="19"/>
      <c r="I118" s="19"/>
      <c r="J118" s="19"/>
      <c r="K118" s="19"/>
    </row>
    <row r="119" spans="1:11" x14ac:dyDescent="0.2">
      <c r="A119" s="21"/>
      <c r="B119" s="9"/>
      <c r="C119" s="9"/>
      <c r="D119" s="9"/>
      <c r="E119" s="9"/>
      <c r="F119" s="9"/>
      <c r="G119" s="19"/>
      <c r="H119" s="19"/>
      <c r="I119" s="19"/>
      <c r="J119" s="19"/>
      <c r="K119" s="19"/>
    </row>
    <row r="120" spans="1:11" x14ac:dyDescent="0.2">
      <c r="A120" s="21"/>
      <c r="B120" s="9"/>
      <c r="C120" s="9"/>
      <c r="D120" s="9"/>
      <c r="E120" s="9"/>
      <c r="F120" s="9"/>
      <c r="G120" s="19"/>
      <c r="H120" s="19"/>
      <c r="I120" s="19"/>
      <c r="J120" s="19"/>
      <c r="K120" s="19"/>
    </row>
    <row r="121" spans="1:11" x14ac:dyDescent="0.2">
      <c r="A121" s="21"/>
      <c r="B121" s="9"/>
      <c r="C121" s="9"/>
      <c r="D121" s="9"/>
      <c r="E121" s="9"/>
      <c r="F121" s="9"/>
      <c r="G121" s="19"/>
      <c r="H121" s="19"/>
      <c r="I121" s="19"/>
      <c r="J121" s="19"/>
      <c r="K121" s="19"/>
    </row>
    <row r="122" spans="1:11" x14ac:dyDescent="0.2">
      <c r="A122" s="21"/>
      <c r="B122" s="9"/>
      <c r="C122" s="9"/>
      <c r="D122" s="9"/>
      <c r="E122" s="9"/>
      <c r="F122" s="9"/>
      <c r="G122" s="19"/>
      <c r="H122" s="19"/>
      <c r="I122" s="19"/>
      <c r="J122" s="19"/>
      <c r="K122" s="19"/>
    </row>
    <row r="123" spans="1:11" x14ac:dyDescent="0.2">
      <c r="A123" s="21"/>
      <c r="B123" s="9"/>
      <c r="C123" s="9"/>
      <c r="D123" s="9"/>
      <c r="E123" s="9"/>
      <c r="F123" s="9"/>
      <c r="G123" s="19"/>
      <c r="H123" s="19"/>
      <c r="I123" s="19"/>
      <c r="J123" s="19"/>
      <c r="K123" s="19"/>
    </row>
    <row r="124" spans="1:11" x14ac:dyDescent="0.2">
      <c r="A124" s="21"/>
      <c r="B124" s="9"/>
      <c r="C124" s="9"/>
      <c r="D124" s="9"/>
      <c r="E124" s="9"/>
      <c r="F124" s="9"/>
      <c r="G124" s="19"/>
      <c r="H124" s="19"/>
      <c r="I124" s="19"/>
      <c r="J124" s="19"/>
      <c r="K124" s="19"/>
    </row>
    <row r="125" spans="1:11" x14ac:dyDescent="0.2">
      <c r="A125" s="21"/>
      <c r="B125" s="9"/>
      <c r="C125" s="9"/>
      <c r="D125" s="9"/>
      <c r="E125" s="9"/>
      <c r="F125" s="9"/>
      <c r="G125" s="19"/>
      <c r="H125" s="19"/>
      <c r="I125" s="19"/>
      <c r="J125" s="19"/>
      <c r="K125" s="19"/>
    </row>
    <row r="126" spans="1:11" x14ac:dyDescent="0.2">
      <c r="A126" s="21"/>
      <c r="B126" s="9"/>
      <c r="C126" s="9"/>
      <c r="D126" s="9"/>
      <c r="E126" s="9"/>
      <c r="F126" s="9"/>
      <c r="G126" s="19"/>
      <c r="H126" s="19"/>
      <c r="I126" s="19"/>
      <c r="J126" s="19"/>
      <c r="K126" s="19"/>
    </row>
    <row r="127" spans="1:11" x14ac:dyDescent="0.2">
      <c r="A127" s="21"/>
      <c r="B127" s="9"/>
      <c r="C127" s="9"/>
      <c r="D127" s="9"/>
      <c r="E127" s="9"/>
      <c r="F127" s="9"/>
      <c r="G127" s="19"/>
      <c r="H127" s="19"/>
      <c r="I127" s="19"/>
      <c r="J127" s="19"/>
      <c r="K127" s="19"/>
    </row>
    <row r="128" spans="1:11" x14ac:dyDescent="0.2">
      <c r="A128" s="21"/>
      <c r="B128" s="9"/>
      <c r="C128" s="9"/>
      <c r="D128" s="9"/>
      <c r="E128" s="9"/>
      <c r="F128" s="9"/>
      <c r="G128" s="19"/>
      <c r="H128" s="19"/>
      <c r="I128" s="19"/>
      <c r="J128" s="19"/>
      <c r="K128" s="19"/>
    </row>
    <row r="129" spans="1:11" x14ac:dyDescent="0.2">
      <c r="A129" s="21"/>
      <c r="B129" s="9"/>
      <c r="C129" s="9"/>
      <c r="D129" s="9"/>
      <c r="E129" s="9"/>
      <c r="F129" s="9"/>
      <c r="G129" s="19"/>
      <c r="H129" s="19"/>
      <c r="I129" s="19"/>
      <c r="J129" s="19"/>
      <c r="K129" s="19"/>
    </row>
    <row r="130" spans="1:11" x14ac:dyDescent="0.2">
      <c r="A130" s="21"/>
      <c r="B130" s="9"/>
      <c r="C130" s="9"/>
      <c r="D130" s="9"/>
      <c r="E130" s="9"/>
      <c r="F130" s="9"/>
      <c r="G130" s="19"/>
      <c r="H130" s="19"/>
      <c r="I130" s="19"/>
      <c r="J130" s="19"/>
      <c r="K130" s="19"/>
    </row>
    <row r="131" spans="1:11" x14ac:dyDescent="0.2">
      <c r="A131" s="21"/>
      <c r="B131" s="9"/>
      <c r="C131" s="9"/>
      <c r="D131" s="9"/>
      <c r="E131" s="9"/>
      <c r="F131" s="9"/>
      <c r="G131" s="19"/>
      <c r="H131" s="19"/>
      <c r="I131" s="19"/>
      <c r="J131" s="19"/>
      <c r="K131" s="19"/>
    </row>
    <row r="132" spans="1:11" x14ac:dyDescent="0.2">
      <c r="A132" s="21"/>
      <c r="B132" s="9"/>
      <c r="C132" s="9"/>
      <c r="D132" s="9"/>
      <c r="E132" s="9"/>
      <c r="F132" s="9"/>
      <c r="G132" s="19"/>
      <c r="H132" s="19"/>
      <c r="I132" s="19"/>
      <c r="J132" s="19"/>
      <c r="K132" s="19"/>
    </row>
    <row r="133" spans="1:11" x14ac:dyDescent="0.2">
      <c r="A133" s="21"/>
      <c r="B133" s="9"/>
      <c r="C133" s="9"/>
      <c r="D133" s="9"/>
      <c r="E133" s="9"/>
      <c r="F133" s="9"/>
      <c r="G133" s="19"/>
      <c r="H133" s="19"/>
      <c r="I133" s="19"/>
      <c r="J133" s="19"/>
      <c r="K133" s="19"/>
    </row>
    <row r="134" spans="1:11" x14ac:dyDescent="0.2">
      <c r="A134" s="21"/>
      <c r="B134" s="9"/>
      <c r="C134" s="9"/>
      <c r="D134" s="9"/>
      <c r="E134" s="9"/>
      <c r="F134" s="9"/>
      <c r="G134" s="19"/>
      <c r="H134" s="19"/>
      <c r="I134" s="19"/>
      <c r="J134" s="19"/>
      <c r="K134" s="19"/>
    </row>
    <row r="135" spans="1:11" x14ac:dyDescent="0.2">
      <c r="A135" s="21"/>
      <c r="B135" s="9"/>
      <c r="C135" s="9"/>
      <c r="D135" s="9"/>
      <c r="E135" s="9"/>
      <c r="F135" s="9"/>
      <c r="G135" s="19"/>
      <c r="H135" s="19"/>
      <c r="I135" s="19"/>
      <c r="J135" s="19"/>
      <c r="K135" s="19"/>
    </row>
    <row r="136" spans="1:11" x14ac:dyDescent="0.2">
      <c r="A136" s="21"/>
      <c r="B136" s="9"/>
      <c r="C136" s="9"/>
      <c r="D136" s="9"/>
      <c r="E136" s="9"/>
      <c r="F136" s="9"/>
      <c r="G136" s="19"/>
      <c r="H136" s="19"/>
      <c r="I136" s="19"/>
      <c r="J136" s="19"/>
      <c r="K136" s="19"/>
    </row>
    <row r="137" spans="1:11" x14ac:dyDescent="0.2">
      <c r="A137" s="21"/>
      <c r="B137" s="9"/>
      <c r="C137" s="9"/>
      <c r="D137" s="9"/>
      <c r="E137" s="9"/>
      <c r="F137" s="9"/>
      <c r="G137" s="19"/>
      <c r="H137" s="19"/>
      <c r="I137" s="19"/>
      <c r="J137" s="19"/>
      <c r="K137" s="19"/>
    </row>
    <row r="138" spans="1:11" x14ac:dyDescent="0.2">
      <c r="A138" s="21"/>
      <c r="B138" s="9"/>
      <c r="C138" s="9"/>
      <c r="D138" s="9"/>
      <c r="E138" s="9"/>
      <c r="F138" s="9"/>
      <c r="G138" s="19"/>
      <c r="H138" s="19"/>
      <c r="I138" s="19"/>
      <c r="J138" s="19"/>
      <c r="K138" s="19"/>
    </row>
    <row r="139" spans="1:11" x14ac:dyDescent="0.2">
      <c r="A139" s="21"/>
      <c r="B139" s="9"/>
      <c r="C139" s="9"/>
      <c r="D139" s="9"/>
      <c r="E139" s="9"/>
      <c r="F139" s="9"/>
      <c r="G139" s="19"/>
      <c r="H139" s="19"/>
      <c r="I139" s="19"/>
      <c r="J139" s="19"/>
      <c r="K139" s="19"/>
    </row>
    <row r="140" spans="1:11" x14ac:dyDescent="0.2">
      <c r="A140" s="21"/>
      <c r="B140" s="9"/>
      <c r="C140" s="9"/>
      <c r="D140" s="9"/>
      <c r="E140" s="9"/>
      <c r="F140" s="9"/>
      <c r="G140" s="19"/>
      <c r="H140" s="19"/>
      <c r="I140" s="19"/>
      <c r="J140" s="19"/>
      <c r="K140" s="19"/>
    </row>
    <row r="141" spans="1:11" x14ac:dyDescent="0.2">
      <c r="A141" s="21"/>
      <c r="B141" s="9"/>
      <c r="C141" s="9"/>
      <c r="D141" s="9"/>
      <c r="E141" s="9"/>
      <c r="F141" s="9"/>
      <c r="G141" s="19"/>
      <c r="H141" s="19"/>
      <c r="I141" s="19"/>
      <c r="J141" s="19"/>
      <c r="K141" s="19"/>
    </row>
    <row r="142" spans="1:11" x14ac:dyDescent="0.2">
      <c r="A142" s="21"/>
      <c r="B142" s="9"/>
      <c r="C142" s="9"/>
      <c r="D142" s="9"/>
      <c r="E142" s="9"/>
      <c r="F142" s="9"/>
      <c r="G142" s="19"/>
      <c r="H142" s="19"/>
      <c r="I142" s="19"/>
      <c r="J142" s="19"/>
      <c r="K142" s="19"/>
    </row>
    <row r="143" spans="1:11" x14ac:dyDescent="0.2">
      <c r="A143" s="21"/>
      <c r="B143" s="9"/>
      <c r="C143" s="9"/>
      <c r="D143" s="9"/>
      <c r="E143" s="9"/>
      <c r="F143" s="9"/>
      <c r="G143" s="19"/>
      <c r="H143" s="19"/>
      <c r="I143" s="19"/>
      <c r="J143" s="19"/>
      <c r="K143" s="19"/>
    </row>
    <row r="144" spans="1:11" x14ac:dyDescent="0.2">
      <c r="A144" s="21"/>
      <c r="B144" s="9"/>
      <c r="C144" s="9"/>
      <c r="D144" s="9"/>
      <c r="E144" s="9"/>
      <c r="F144" s="9"/>
      <c r="G144" s="19"/>
      <c r="H144" s="19"/>
      <c r="I144" s="19"/>
      <c r="J144" s="19"/>
      <c r="K144" s="19"/>
    </row>
    <row r="145" spans="1:11" x14ac:dyDescent="0.2">
      <c r="A145" s="21"/>
      <c r="B145" s="9"/>
      <c r="C145" s="9"/>
      <c r="D145" s="9"/>
      <c r="E145" s="9"/>
      <c r="F145" s="9"/>
      <c r="G145" s="19"/>
      <c r="H145" s="19"/>
      <c r="I145" s="19"/>
      <c r="J145" s="19"/>
      <c r="K145" s="19"/>
    </row>
    <row r="146" spans="1:11" x14ac:dyDescent="0.2">
      <c r="A146" s="21"/>
      <c r="B146" s="9"/>
      <c r="C146" s="9"/>
      <c r="D146" s="9"/>
      <c r="E146" s="9"/>
      <c r="F146" s="9"/>
      <c r="G146" s="19"/>
      <c r="H146" s="19"/>
      <c r="I146" s="19"/>
      <c r="J146" s="19"/>
      <c r="K146" s="19"/>
    </row>
    <row r="147" spans="1:11" x14ac:dyDescent="0.2">
      <c r="A147" s="21"/>
      <c r="B147" s="9"/>
      <c r="C147" s="9"/>
      <c r="D147" s="9"/>
      <c r="E147" s="9"/>
      <c r="F147" s="9"/>
      <c r="G147" s="19"/>
      <c r="H147" s="19"/>
      <c r="I147" s="19"/>
      <c r="J147" s="19"/>
      <c r="K147" s="19"/>
    </row>
    <row r="148" spans="1:11" x14ac:dyDescent="0.2">
      <c r="A148" s="21"/>
      <c r="B148" s="9"/>
      <c r="C148" s="9"/>
      <c r="D148" s="9"/>
      <c r="E148" s="9"/>
      <c r="F148" s="9"/>
      <c r="G148" s="19"/>
      <c r="H148" s="19"/>
      <c r="I148" s="19"/>
      <c r="J148" s="19"/>
      <c r="K148" s="19"/>
    </row>
    <row r="149" spans="1:11" x14ac:dyDescent="0.2">
      <c r="A149" s="21"/>
      <c r="B149" s="9"/>
      <c r="C149" s="9"/>
      <c r="D149" s="9"/>
      <c r="E149" s="9"/>
      <c r="F149" s="9"/>
      <c r="G149" s="19"/>
      <c r="H149" s="19"/>
      <c r="I149" s="19"/>
      <c r="J149" s="19"/>
      <c r="K149" s="19"/>
    </row>
    <row r="150" spans="1:11" x14ac:dyDescent="0.2">
      <c r="A150" s="21"/>
      <c r="B150" s="9"/>
      <c r="C150" s="9"/>
      <c r="D150" s="9"/>
      <c r="E150" s="9"/>
      <c r="F150" s="9"/>
      <c r="G150" s="19"/>
      <c r="H150" s="19"/>
      <c r="I150" s="19"/>
      <c r="J150" s="19"/>
      <c r="K150" s="19"/>
    </row>
    <row r="151" spans="1:11" x14ac:dyDescent="0.2">
      <c r="A151" s="21"/>
      <c r="B151" s="9"/>
      <c r="C151" s="9"/>
      <c r="D151" s="9"/>
      <c r="E151" s="9"/>
      <c r="F151" s="9"/>
      <c r="G151" s="19"/>
      <c r="H151" s="19"/>
      <c r="I151" s="19"/>
      <c r="J151" s="19"/>
      <c r="K151" s="19"/>
    </row>
    <row r="152" spans="1:11" x14ac:dyDescent="0.2">
      <c r="A152" s="21"/>
      <c r="B152" s="9"/>
      <c r="C152" s="9"/>
      <c r="D152" s="9"/>
      <c r="E152" s="9"/>
      <c r="F152" s="9"/>
      <c r="G152" s="19"/>
      <c r="H152" s="19"/>
      <c r="I152" s="19"/>
      <c r="J152" s="19"/>
      <c r="K152" s="19"/>
    </row>
    <row r="153" spans="1:11" x14ac:dyDescent="0.2">
      <c r="A153" s="21"/>
      <c r="B153" s="9"/>
      <c r="C153" s="9"/>
      <c r="D153" s="9"/>
      <c r="E153" s="9"/>
      <c r="F153" s="9"/>
      <c r="G153" s="19"/>
      <c r="H153" s="19"/>
      <c r="I153" s="19"/>
      <c r="J153" s="19"/>
      <c r="K153" s="19"/>
    </row>
    <row r="154" spans="1:11" x14ac:dyDescent="0.2">
      <c r="A154" s="21"/>
      <c r="B154" s="9"/>
      <c r="C154" s="9"/>
      <c r="D154" s="9"/>
      <c r="E154" s="9"/>
      <c r="F154" s="9"/>
      <c r="G154" s="19"/>
      <c r="H154" s="19"/>
      <c r="I154" s="19"/>
      <c r="J154" s="19"/>
      <c r="K154" s="19"/>
    </row>
    <row r="155" spans="1:11" x14ac:dyDescent="0.2">
      <c r="A155" s="21"/>
      <c r="B155" s="9"/>
      <c r="C155" s="9"/>
      <c r="D155" s="9"/>
      <c r="E155" s="9"/>
      <c r="F155" s="9"/>
      <c r="G155" s="19"/>
      <c r="H155" s="19"/>
      <c r="I155" s="19"/>
      <c r="J155" s="19"/>
      <c r="K155" s="19"/>
    </row>
    <row r="156" spans="1:11" x14ac:dyDescent="0.2">
      <c r="A156" s="21"/>
      <c r="B156" s="9"/>
      <c r="C156" s="9"/>
      <c r="D156" s="9"/>
      <c r="E156" s="9"/>
      <c r="F156" s="9"/>
      <c r="G156" s="19"/>
      <c r="H156" s="19"/>
      <c r="I156" s="19"/>
      <c r="J156" s="19"/>
      <c r="K156" s="19"/>
    </row>
    <row r="157" spans="1:11" x14ac:dyDescent="0.2">
      <c r="A157" s="21"/>
      <c r="B157" s="9"/>
      <c r="C157" s="9"/>
      <c r="D157" s="9"/>
      <c r="E157" s="9"/>
      <c r="F157" s="9"/>
      <c r="G157" s="19"/>
      <c r="H157" s="19"/>
      <c r="I157" s="19"/>
      <c r="J157" s="19"/>
      <c r="K157" s="19"/>
    </row>
    <row r="158" spans="1:11" x14ac:dyDescent="0.2">
      <c r="A158" s="21"/>
      <c r="B158" s="9"/>
      <c r="C158" s="9"/>
      <c r="D158" s="9"/>
      <c r="E158" s="9"/>
      <c r="F158" s="9"/>
      <c r="G158" s="19"/>
      <c r="H158" s="19"/>
      <c r="I158" s="19"/>
      <c r="J158" s="19"/>
      <c r="K158" s="19"/>
    </row>
    <row r="159" spans="1:11" x14ac:dyDescent="0.2">
      <c r="A159" s="21"/>
      <c r="B159" s="9"/>
      <c r="C159" s="9"/>
      <c r="D159" s="9"/>
      <c r="E159" s="9"/>
      <c r="F159" s="9"/>
      <c r="G159" s="19"/>
      <c r="H159" s="19"/>
      <c r="I159" s="19"/>
      <c r="J159" s="19"/>
      <c r="K159" s="19"/>
    </row>
    <row r="160" spans="1:11" x14ac:dyDescent="0.2">
      <c r="A160" s="21"/>
      <c r="B160" s="9"/>
      <c r="C160" s="9"/>
      <c r="D160" s="9"/>
      <c r="E160" s="9"/>
      <c r="F160" s="9"/>
      <c r="G160" s="19"/>
      <c r="H160" s="19"/>
      <c r="I160" s="19"/>
      <c r="J160" s="19"/>
      <c r="K160" s="19"/>
    </row>
    <row r="161" spans="1:11" x14ac:dyDescent="0.2">
      <c r="A161" s="21"/>
      <c r="B161" s="9"/>
      <c r="C161" s="9"/>
      <c r="D161" s="9"/>
      <c r="E161" s="9"/>
      <c r="F161" s="9"/>
      <c r="G161" s="19"/>
      <c r="H161" s="19"/>
      <c r="I161" s="19"/>
      <c r="J161" s="19"/>
      <c r="K161" s="19"/>
    </row>
    <row r="162" spans="1:11" x14ac:dyDescent="0.2">
      <c r="A162" s="21"/>
      <c r="B162" s="9"/>
      <c r="C162" s="9"/>
      <c r="D162" s="9"/>
      <c r="E162" s="9"/>
      <c r="F162" s="9"/>
      <c r="G162" s="19"/>
      <c r="H162" s="19"/>
      <c r="I162" s="19"/>
      <c r="J162" s="19"/>
      <c r="K162" s="19"/>
    </row>
    <row r="163" spans="1:11" x14ac:dyDescent="0.2">
      <c r="A163" s="21"/>
      <c r="B163" s="9"/>
      <c r="C163" s="9"/>
      <c r="D163" s="9"/>
      <c r="E163" s="9"/>
      <c r="F163" s="9"/>
      <c r="G163" s="19"/>
      <c r="H163" s="19"/>
      <c r="I163" s="19"/>
      <c r="J163" s="19"/>
      <c r="K163" s="19"/>
    </row>
    <row r="164" spans="1:11" x14ac:dyDescent="0.2">
      <c r="A164" s="21"/>
      <c r="B164" s="9"/>
      <c r="C164" s="9"/>
      <c r="D164" s="9"/>
      <c r="E164" s="9"/>
      <c r="F164" s="9"/>
      <c r="G164" s="19"/>
      <c r="H164" s="19"/>
      <c r="I164" s="19"/>
      <c r="J164" s="19"/>
      <c r="K164" s="19"/>
    </row>
    <row r="165" spans="1:11" x14ac:dyDescent="0.2">
      <c r="A165" s="21"/>
      <c r="B165" s="9"/>
      <c r="C165" s="9"/>
      <c r="D165" s="9"/>
      <c r="E165" s="9"/>
      <c r="F165" s="9"/>
      <c r="G165" s="19"/>
      <c r="H165" s="19"/>
      <c r="I165" s="19"/>
      <c r="J165" s="19"/>
      <c r="K165" s="19"/>
    </row>
    <row r="166" spans="1:11" x14ac:dyDescent="0.2">
      <c r="A166" s="21"/>
      <c r="B166" s="9"/>
      <c r="C166" s="9"/>
      <c r="D166" s="9"/>
      <c r="E166" s="9"/>
      <c r="F166" s="9"/>
      <c r="G166" s="19"/>
      <c r="H166" s="19"/>
      <c r="I166" s="19"/>
      <c r="J166" s="19"/>
      <c r="K166" s="19"/>
    </row>
    <row r="167" spans="1:11" x14ac:dyDescent="0.2">
      <c r="A167" s="21"/>
      <c r="B167" s="9"/>
      <c r="C167" s="9"/>
      <c r="D167" s="9"/>
      <c r="E167" s="9"/>
      <c r="F167" s="9"/>
      <c r="G167" s="19"/>
      <c r="H167" s="19"/>
      <c r="I167" s="19"/>
      <c r="J167" s="19"/>
      <c r="K167" s="19"/>
    </row>
    <row r="168" spans="1:11" x14ac:dyDescent="0.2">
      <c r="A168" s="21"/>
      <c r="B168" s="9"/>
      <c r="C168" s="9"/>
      <c r="D168" s="9"/>
      <c r="E168" s="9"/>
      <c r="F168" s="9"/>
      <c r="G168" s="19"/>
      <c r="H168" s="19"/>
      <c r="I168" s="19"/>
      <c r="J168" s="19"/>
      <c r="K168" s="19"/>
    </row>
    <row r="169" spans="1:11" x14ac:dyDescent="0.2">
      <c r="A169" s="21"/>
      <c r="B169" s="9"/>
      <c r="C169" s="9"/>
      <c r="D169" s="9"/>
      <c r="E169" s="9"/>
      <c r="F169" s="9"/>
      <c r="G169" s="19"/>
      <c r="H169" s="19"/>
      <c r="I169" s="19"/>
      <c r="J169" s="19"/>
      <c r="K169" s="19"/>
    </row>
    <row r="170" spans="1:11" x14ac:dyDescent="0.2">
      <c r="A170" s="21"/>
      <c r="B170" s="9"/>
      <c r="C170" s="9"/>
      <c r="D170" s="9"/>
      <c r="E170" s="9"/>
      <c r="F170" s="9"/>
      <c r="G170" s="19"/>
      <c r="H170" s="19"/>
      <c r="I170" s="19"/>
      <c r="J170" s="19"/>
      <c r="K170" s="19"/>
    </row>
    <row r="171" spans="1:11" x14ac:dyDescent="0.2">
      <c r="A171" s="21"/>
      <c r="B171" s="9"/>
      <c r="C171" s="9"/>
      <c r="D171" s="9"/>
      <c r="E171" s="9"/>
      <c r="F171" s="9"/>
      <c r="G171" s="19"/>
      <c r="H171" s="19"/>
      <c r="I171" s="19"/>
      <c r="J171" s="19"/>
      <c r="K171" s="19"/>
    </row>
    <row r="172" spans="1:11" x14ac:dyDescent="0.2">
      <c r="A172" s="21"/>
      <c r="B172" s="9"/>
      <c r="C172" s="9"/>
      <c r="D172" s="9"/>
      <c r="E172" s="9"/>
      <c r="F172" s="9"/>
      <c r="G172" s="19"/>
      <c r="H172" s="19"/>
      <c r="I172" s="19"/>
      <c r="J172" s="19"/>
      <c r="K172" s="19"/>
    </row>
    <row r="173" spans="1:11" x14ac:dyDescent="0.2">
      <c r="A173" s="21"/>
      <c r="B173" s="9"/>
      <c r="C173" s="9"/>
      <c r="D173" s="9"/>
      <c r="E173" s="9"/>
      <c r="F173" s="9"/>
      <c r="G173" s="19"/>
      <c r="H173" s="19"/>
      <c r="I173" s="19"/>
      <c r="J173" s="19"/>
      <c r="K173" s="19"/>
    </row>
    <row r="174" spans="1:11" x14ac:dyDescent="0.2">
      <c r="A174" s="21"/>
      <c r="B174" s="9"/>
      <c r="C174" s="9"/>
      <c r="D174" s="9"/>
      <c r="E174" s="9"/>
      <c r="F174" s="9"/>
      <c r="G174" s="19"/>
      <c r="H174" s="19"/>
      <c r="I174" s="19"/>
      <c r="J174" s="19"/>
      <c r="K174" s="19"/>
    </row>
    <row r="175" spans="1:11" x14ac:dyDescent="0.2">
      <c r="A175" s="21"/>
      <c r="B175" s="9"/>
      <c r="C175" s="9"/>
      <c r="D175" s="9"/>
      <c r="E175" s="9"/>
      <c r="F175" s="9"/>
      <c r="G175" s="19"/>
      <c r="H175" s="19"/>
      <c r="I175" s="19"/>
      <c r="J175" s="19"/>
      <c r="K175" s="19"/>
    </row>
    <row r="176" spans="1:11" x14ac:dyDescent="0.2">
      <c r="A176" s="21"/>
      <c r="B176" s="9"/>
      <c r="C176" s="9"/>
      <c r="D176" s="9"/>
      <c r="E176" s="9"/>
      <c r="F176" s="9"/>
      <c r="G176" s="19"/>
      <c r="H176" s="19"/>
      <c r="I176" s="19"/>
      <c r="J176" s="19"/>
      <c r="K176" s="19"/>
    </row>
    <row r="177" spans="1:11" x14ac:dyDescent="0.2">
      <c r="A177" s="21"/>
      <c r="B177" s="9"/>
      <c r="C177" s="9"/>
      <c r="D177" s="9"/>
      <c r="E177" s="9"/>
      <c r="F177" s="9"/>
      <c r="G177" s="19"/>
      <c r="H177" s="19"/>
      <c r="I177" s="19"/>
      <c r="J177" s="19"/>
      <c r="K177" s="19"/>
    </row>
    <row r="178" spans="1:11" x14ac:dyDescent="0.2">
      <c r="A178" s="21"/>
      <c r="B178" s="9"/>
      <c r="C178" s="9"/>
      <c r="D178" s="9"/>
      <c r="E178" s="9"/>
      <c r="F178" s="9"/>
      <c r="G178" s="19"/>
      <c r="H178" s="19"/>
      <c r="I178" s="19"/>
      <c r="J178" s="19"/>
      <c r="K178" s="19"/>
    </row>
    <row r="179" spans="1:11" x14ac:dyDescent="0.2">
      <c r="A179" s="21"/>
      <c r="B179" s="9"/>
      <c r="C179" s="9"/>
      <c r="D179" s="9"/>
      <c r="E179" s="9"/>
      <c r="F179" s="9"/>
      <c r="G179" s="19"/>
      <c r="H179" s="19"/>
      <c r="I179" s="19"/>
      <c r="J179" s="19"/>
      <c r="K179" s="19"/>
    </row>
    <row r="180" spans="1:11" x14ac:dyDescent="0.2">
      <c r="A180" s="21"/>
      <c r="B180" s="9"/>
      <c r="C180" s="9"/>
      <c r="D180" s="9"/>
      <c r="E180" s="9"/>
      <c r="F180" s="9"/>
      <c r="G180" s="19"/>
      <c r="H180" s="19"/>
      <c r="I180" s="19"/>
      <c r="J180" s="19"/>
      <c r="K180" s="19"/>
    </row>
    <row r="181" spans="1:11" x14ac:dyDescent="0.2">
      <c r="A181" s="21"/>
      <c r="B181" s="9"/>
      <c r="C181" s="9"/>
      <c r="D181" s="9"/>
      <c r="E181" s="9"/>
      <c r="F181" s="9"/>
      <c r="G181" s="19"/>
      <c r="H181" s="19"/>
      <c r="I181" s="19"/>
      <c r="J181" s="19"/>
      <c r="K181" s="19"/>
    </row>
    <row r="182" spans="1:11" x14ac:dyDescent="0.2">
      <c r="A182" s="21"/>
      <c r="B182" s="9"/>
      <c r="C182" s="9"/>
      <c r="D182" s="9"/>
      <c r="E182" s="9"/>
      <c r="F182" s="9"/>
      <c r="G182" s="19"/>
      <c r="H182" s="19"/>
      <c r="I182" s="19"/>
      <c r="J182" s="19"/>
      <c r="K182" s="19"/>
    </row>
    <row r="183" spans="1:11" x14ac:dyDescent="0.2">
      <c r="A183" s="21"/>
      <c r="B183" s="9"/>
      <c r="C183" s="9"/>
      <c r="D183" s="9"/>
      <c r="E183" s="9"/>
      <c r="F183" s="9"/>
      <c r="G183" s="19"/>
      <c r="H183" s="19"/>
      <c r="I183" s="19"/>
      <c r="J183" s="19"/>
      <c r="K183" s="19"/>
    </row>
    <row r="184" spans="1:11" x14ac:dyDescent="0.2">
      <c r="A184" s="21"/>
      <c r="B184" s="9"/>
      <c r="C184" s="9"/>
      <c r="D184" s="9"/>
      <c r="E184" s="9"/>
      <c r="F184" s="9"/>
      <c r="G184" s="19"/>
      <c r="H184" s="19"/>
      <c r="I184" s="19"/>
      <c r="J184" s="19"/>
      <c r="K184" s="19"/>
    </row>
    <row r="185" spans="1:11" x14ac:dyDescent="0.2">
      <c r="A185" s="21"/>
      <c r="B185" s="9"/>
      <c r="C185" s="9"/>
      <c r="D185" s="9"/>
      <c r="E185" s="9"/>
      <c r="F185" s="9"/>
      <c r="G185" s="19"/>
      <c r="H185" s="19"/>
      <c r="I185" s="19"/>
      <c r="J185" s="19"/>
      <c r="K185" s="19"/>
    </row>
    <row r="186" spans="1:11" x14ac:dyDescent="0.2">
      <c r="A186" s="21"/>
      <c r="B186" s="9"/>
      <c r="C186" s="9"/>
      <c r="D186" s="9"/>
      <c r="E186" s="9"/>
      <c r="F186" s="9"/>
      <c r="G186" s="19"/>
      <c r="H186" s="19"/>
      <c r="I186" s="19"/>
      <c r="J186" s="19"/>
      <c r="K186" s="19"/>
    </row>
    <row r="187" spans="1:11" x14ac:dyDescent="0.2">
      <c r="A187" s="21"/>
      <c r="B187" s="9"/>
      <c r="C187" s="9"/>
      <c r="D187" s="9"/>
      <c r="E187" s="9"/>
      <c r="F187" s="9"/>
      <c r="G187" s="19"/>
      <c r="H187" s="19"/>
      <c r="I187" s="19"/>
      <c r="J187" s="19"/>
      <c r="K187" s="19"/>
    </row>
    <row r="188" spans="1:11" x14ac:dyDescent="0.2">
      <c r="A188" s="21"/>
      <c r="B188" s="9"/>
      <c r="C188" s="9"/>
      <c r="D188" s="9"/>
      <c r="E188" s="9"/>
      <c r="F188" s="9"/>
      <c r="G188" s="19"/>
      <c r="H188" s="19"/>
      <c r="I188" s="19"/>
      <c r="J188" s="19"/>
      <c r="K188" s="19"/>
    </row>
    <row r="189" spans="1:11" x14ac:dyDescent="0.2">
      <c r="A189" s="21"/>
      <c r="B189" s="9"/>
      <c r="C189" s="9"/>
      <c r="D189" s="9"/>
      <c r="E189" s="9"/>
      <c r="F189" s="9"/>
      <c r="G189" s="19"/>
      <c r="H189" s="19"/>
      <c r="I189" s="19"/>
      <c r="J189" s="19"/>
      <c r="K189" s="19"/>
    </row>
    <row r="190" spans="1:11" x14ac:dyDescent="0.2">
      <c r="A190" s="21"/>
      <c r="B190" s="9"/>
      <c r="C190" s="9"/>
      <c r="D190" s="9"/>
      <c r="E190" s="9"/>
      <c r="F190" s="9"/>
      <c r="G190" s="19"/>
      <c r="H190" s="19"/>
      <c r="I190" s="19"/>
      <c r="J190" s="19"/>
      <c r="K190" s="19"/>
    </row>
    <row r="191" spans="1:11" x14ac:dyDescent="0.2">
      <c r="A191" s="21"/>
      <c r="B191" s="9"/>
      <c r="C191" s="9"/>
      <c r="D191" s="9"/>
      <c r="E191" s="9"/>
      <c r="F191" s="9"/>
      <c r="G191" s="19"/>
      <c r="H191" s="19"/>
      <c r="I191" s="19"/>
      <c r="J191" s="19"/>
      <c r="K191" s="19"/>
    </row>
    <row r="192" spans="1:11" x14ac:dyDescent="0.2">
      <c r="A192" s="21"/>
      <c r="B192" s="9"/>
      <c r="C192" s="9"/>
      <c r="D192" s="9"/>
      <c r="E192" s="9"/>
      <c r="F192" s="9"/>
      <c r="G192" s="19"/>
      <c r="H192" s="19"/>
      <c r="I192" s="19"/>
      <c r="J192" s="19"/>
      <c r="K192" s="19"/>
    </row>
    <row r="193" spans="1:11" x14ac:dyDescent="0.2">
      <c r="A193" s="21"/>
      <c r="B193" s="9"/>
      <c r="C193" s="9"/>
      <c r="D193" s="9"/>
      <c r="E193" s="9"/>
      <c r="F193" s="9"/>
      <c r="G193" s="19"/>
      <c r="H193" s="19"/>
      <c r="I193" s="19"/>
      <c r="J193" s="19"/>
      <c r="K193" s="19"/>
    </row>
    <row r="194" spans="1:11" x14ac:dyDescent="0.2">
      <c r="A194" s="21"/>
      <c r="B194" s="9"/>
      <c r="C194" s="9"/>
      <c r="D194" s="9"/>
      <c r="E194" s="9"/>
      <c r="F194" s="9"/>
      <c r="G194" s="19"/>
      <c r="H194" s="19"/>
      <c r="I194" s="19"/>
      <c r="J194" s="19"/>
      <c r="K194" s="19"/>
    </row>
    <row r="195" spans="1:11" x14ac:dyDescent="0.2">
      <c r="A195" s="21"/>
      <c r="B195" s="9"/>
      <c r="C195" s="9"/>
      <c r="D195" s="9"/>
      <c r="E195" s="9"/>
      <c r="F195" s="9"/>
      <c r="G195" s="19"/>
      <c r="H195" s="19"/>
      <c r="I195" s="19"/>
      <c r="J195" s="19"/>
      <c r="K195" s="19"/>
    </row>
    <row r="196" spans="1:11" x14ac:dyDescent="0.2">
      <c r="A196" s="21"/>
      <c r="B196" s="9"/>
      <c r="C196" s="9"/>
      <c r="D196" s="9"/>
      <c r="E196" s="9"/>
      <c r="F196" s="9"/>
      <c r="G196" s="19"/>
      <c r="H196" s="19"/>
      <c r="I196" s="19"/>
      <c r="J196" s="19"/>
      <c r="K196" s="19"/>
    </row>
    <row r="197" spans="1:11" x14ac:dyDescent="0.2">
      <c r="A197" s="21"/>
      <c r="B197" s="9"/>
      <c r="C197" s="9"/>
      <c r="D197" s="9"/>
      <c r="E197" s="9"/>
      <c r="F197" s="9"/>
      <c r="G197" s="19"/>
      <c r="H197" s="19"/>
      <c r="I197" s="19"/>
      <c r="J197" s="19"/>
      <c r="K197" s="19"/>
    </row>
    <row r="198" spans="1:11" x14ac:dyDescent="0.2">
      <c r="A198" s="21"/>
      <c r="B198" s="9"/>
      <c r="C198" s="9"/>
      <c r="D198" s="9"/>
      <c r="E198" s="9"/>
      <c r="F198" s="9"/>
      <c r="G198" s="19"/>
      <c r="H198" s="19"/>
      <c r="I198" s="19"/>
      <c r="J198" s="19"/>
      <c r="K198" s="19"/>
    </row>
    <row r="199" spans="1:11" x14ac:dyDescent="0.2">
      <c r="A199" s="21"/>
      <c r="B199" s="9"/>
      <c r="C199" s="9"/>
      <c r="D199" s="9"/>
      <c r="E199" s="9"/>
      <c r="F199" s="9"/>
      <c r="G199" s="19"/>
      <c r="H199" s="19"/>
      <c r="I199" s="19"/>
      <c r="J199" s="19"/>
      <c r="K199" s="19"/>
    </row>
    <row r="200" spans="1:11" x14ac:dyDescent="0.2">
      <c r="A200" s="21"/>
      <c r="B200" s="9"/>
      <c r="C200" s="9"/>
      <c r="D200" s="9"/>
      <c r="E200" s="9"/>
      <c r="F200" s="9"/>
      <c r="G200" s="19"/>
      <c r="H200" s="19"/>
      <c r="I200" s="19"/>
      <c r="J200" s="19"/>
      <c r="K200" s="19"/>
    </row>
    <row r="201" spans="1:11" x14ac:dyDescent="0.2">
      <c r="A201" s="21"/>
      <c r="B201" s="9"/>
      <c r="C201" s="9"/>
      <c r="D201" s="9"/>
      <c r="E201" s="9"/>
      <c r="F201" s="9"/>
      <c r="G201" s="19"/>
      <c r="H201" s="19"/>
      <c r="I201" s="19"/>
      <c r="J201" s="19"/>
      <c r="K201" s="19"/>
    </row>
    <row r="202" spans="1:11" x14ac:dyDescent="0.2">
      <c r="A202" s="21"/>
      <c r="B202" s="9"/>
      <c r="C202" s="9"/>
      <c r="D202" s="9"/>
      <c r="E202" s="9"/>
      <c r="F202" s="9"/>
      <c r="G202" s="19"/>
      <c r="H202" s="19"/>
      <c r="I202" s="19"/>
      <c r="J202" s="19"/>
      <c r="K202" s="19"/>
    </row>
    <row r="203" spans="1:11" x14ac:dyDescent="0.2">
      <c r="A203" s="21"/>
      <c r="B203" s="9"/>
      <c r="C203" s="9"/>
      <c r="D203" s="9"/>
      <c r="E203" s="9"/>
      <c r="F203" s="9"/>
      <c r="G203" s="19"/>
      <c r="H203" s="19"/>
      <c r="I203" s="19"/>
      <c r="J203" s="19"/>
      <c r="K203" s="19"/>
    </row>
    <row r="204" spans="1:11" x14ac:dyDescent="0.2">
      <c r="A204" s="21"/>
      <c r="B204" s="9"/>
      <c r="C204" s="9"/>
      <c r="D204" s="9"/>
      <c r="E204" s="9"/>
      <c r="F204" s="9"/>
      <c r="G204" s="19"/>
      <c r="H204" s="19"/>
      <c r="I204" s="19"/>
      <c r="J204" s="19"/>
      <c r="K204" s="19"/>
    </row>
    <row r="205" spans="1:11" x14ac:dyDescent="0.2">
      <c r="A205" s="21"/>
      <c r="B205" s="9"/>
      <c r="C205" s="9"/>
      <c r="D205" s="9"/>
      <c r="E205" s="9"/>
      <c r="F205" s="9"/>
      <c r="G205" s="19"/>
      <c r="H205" s="19"/>
      <c r="I205" s="19"/>
      <c r="J205" s="19"/>
      <c r="K205" s="19"/>
    </row>
    <row r="206" spans="1:11" x14ac:dyDescent="0.2">
      <c r="A206" s="21"/>
      <c r="B206" s="9"/>
      <c r="C206" s="9"/>
      <c r="D206" s="9"/>
      <c r="E206" s="9"/>
      <c r="F206" s="9"/>
      <c r="G206" s="19"/>
      <c r="H206" s="19"/>
      <c r="I206" s="19"/>
      <c r="J206" s="19"/>
      <c r="K206" s="19"/>
    </row>
    <row r="207" spans="1:11" x14ac:dyDescent="0.2">
      <c r="A207" s="21"/>
      <c r="B207" s="9"/>
      <c r="C207" s="9"/>
      <c r="D207" s="9"/>
      <c r="E207" s="9"/>
      <c r="F207" s="9"/>
      <c r="G207" s="19"/>
      <c r="H207" s="19"/>
      <c r="I207" s="19"/>
      <c r="J207" s="19"/>
      <c r="K207" s="19"/>
    </row>
    <row r="208" spans="1:11" x14ac:dyDescent="0.2">
      <c r="A208" s="21"/>
      <c r="B208" s="9"/>
      <c r="C208" s="9"/>
      <c r="D208" s="9"/>
      <c r="E208" s="9"/>
      <c r="F208" s="9"/>
      <c r="G208" s="19"/>
      <c r="H208" s="19"/>
      <c r="I208" s="19"/>
      <c r="J208" s="19"/>
      <c r="K208" s="19"/>
    </row>
    <row r="209" spans="1:11" x14ac:dyDescent="0.2">
      <c r="A209" s="21"/>
      <c r="B209" s="9"/>
      <c r="C209" s="9"/>
      <c r="D209" s="9"/>
      <c r="E209" s="9"/>
      <c r="F209" s="9"/>
      <c r="G209" s="19"/>
      <c r="H209" s="19"/>
      <c r="I209" s="19"/>
      <c r="J209" s="19"/>
      <c r="K209" s="19"/>
    </row>
    <row r="210" spans="1:11" x14ac:dyDescent="0.2">
      <c r="A210" s="21"/>
      <c r="B210" s="9"/>
      <c r="C210" s="9"/>
      <c r="D210" s="9"/>
      <c r="E210" s="9"/>
      <c r="F210" s="9"/>
      <c r="G210" s="19"/>
      <c r="H210" s="19"/>
      <c r="I210" s="19"/>
      <c r="J210" s="19"/>
      <c r="K210" s="19"/>
    </row>
    <row r="211" spans="1:11" x14ac:dyDescent="0.2">
      <c r="A211" s="21"/>
      <c r="B211" s="9"/>
      <c r="C211" s="9"/>
      <c r="D211" s="9"/>
      <c r="E211" s="9"/>
      <c r="F211" s="9"/>
      <c r="G211" s="19"/>
      <c r="H211" s="19"/>
      <c r="I211" s="19"/>
      <c r="J211" s="19"/>
      <c r="K211" s="19"/>
    </row>
    <row r="212" spans="1:11" x14ac:dyDescent="0.2">
      <c r="A212" s="21"/>
      <c r="B212" s="9"/>
      <c r="C212" s="9"/>
      <c r="D212" s="9"/>
      <c r="E212" s="9"/>
      <c r="F212" s="9"/>
      <c r="G212" s="19"/>
      <c r="H212" s="19"/>
      <c r="I212" s="19"/>
      <c r="J212" s="19"/>
      <c r="K212" s="19"/>
    </row>
    <row r="213" spans="1:11" x14ac:dyDescent="0.2">
      <c r="A213" s="21"/>
      <c r="B213" s="9"/>
      <c r="C213" s="9"/>
      <c r="D213" s="9"/>
      <c r="E213" s="9"/>
      <c r="F213" s="9"/>
      <c r="G213" s="19"/>
      <c r="H213" s="19"/>
      <c r="I213" s="19"/>
      <c r="J213" s="19"/>
      <c r="K213" s="19"/>
    </row>
    <row r="214" spans="1:11" x14ac:dyDescent="0.2">
      <c r="A214" s="21"/>
      <c r="B214" s="9"/>
      <c r="C214" s="9"/>
      <c r="D214" s="9"/>
      <c r="E214" s="9"/>
      <c r="F214" s="9"/>
      <c r="G214" s="19"/>
      <c r="H214" s="19"/>
      <c r="I214" s="19"/>
      <c r="J214" s="19"/>
      <c r="K214" s="19"/>
    </row>
    <row r="215" spans="1:11" x14ac:dyDescent="0.2">
      <c r="A215" s="21"/>
      <c r="B215" s="9"/>
      <c r="C215" s="9"/>
      <c r="D215" s="9"/>
      <c r="E215" s="9"/>
      <c r="F215" s="9"/>
      <c r="G215" s="19"/>
      <c r="H215" s="19"/>
      <c r="I215" s="19"/>
      <c r="J215" s="19"/>
      <c r="K215" s="19"/>
    </row>
    <row r="216" spans="1:11" x14ac:dyDescent="0.2">
      <c r="A216" s="21"/>
      <c r="B216" s="9"/>
      <c r="C216" s="9"/>
      <c r="D216" s="9"/>
      <c r="E216" s="9"/>
      <c r="F216" s="9"/>
      <c r="G216" s="19"/>
      <c r="H216" s="19"/>
      <c r="I216" s="19"/>
      <c r="J216" s="19"/>
      <c r="K216" s="19"/>
    </row>
    <row r="217" spans="1:11" x14ac:dyDescent="0.2">
      <c r="A217" s="21"/>
      <c r="B217" s="9"/>
      <c r="C217" s="9"/>
      <c r="D217" s="9"/>
      <c r="E217" s="9"/>
      <c r="F217" s="9"/>
      <c r="G217" s="19"/>
      <c r="H217" s="19"/>
      <c r="I217" s="19"/>
      <c r="J217" s="19"/>
      <c r="K217" s="19"/>
    </row>
    <row r="218" spans="1:11" x14ac:dyDescent="0.2">
      <c r="A218" s="21"/>
      <c r="B218" s="9"/>
      <c r="C218" s="9"/>
      <c r="D218" s="9"/>
      <c r="E218" s="9"/>
      <c r="F218" s="9"/>
      <c r="G218" s="19"/>
      <c r="H218" s="19"/>
      <c r="I218" s="19"/>
      <c r="J218" s="19"/>
      <c r="K218" s="19"/>
    </row>
    <row r="219" spans="1:11" x14ac:dyDescent="0.2">
      <c r="A219" s="21"/>
      <c r="B219" s="9"/>
      <c r="C219" s="9"/>
      <c r="D219" s="9"/>
      <c r="E219" s="9"/>
      <c r="F219" s="9"/>
      <c r="G219" s="19"/>
      <c r="H219" s="19"/>
      <c r="I219" s="19"/>
      <c r="J219" s="19"/>
      <c r="K219" s="19"/>
    </row>
    <row r="220" spans="1:11" x14ac:dyDescent="0.2">
      <c r="A220" s="21"/>
      <c r="B220" s="9"/>
      <c r="C220" s="9"/>
      <c r="D220" s="9"/>
      <c r="E220" s="9"/>
      <c r="F220" s="9"/>
      <c r="G220" s="19"/>
      <c r="H220" s="19"/>
      <c r="I220" s="19"/>
      <c r="J220" s="19"/>
      <c r="K220" s="19"/>
    </row>
    <row r="221" spans="1:11" x14ac:dyDescent="0.2">
      <c r="A221" s="21"/>
      <c r="B221" s="9"/>
      <c r="C221" s="9"/>
      <c r="D221" s="9"/>
      <c r="E221" s="9"/>
      <c r="F221" s="9"/>
      <c r="G221" s="19"/>
      <c r="H221" s="19"/>
      <c r="I221" s="19"/>
      <c r="J221" s="19"/>
      <c r="K221" s="19"/>
    </row>
    <row r="222" spans="1:11" x14ac:dyDescent="0.2">
      <c r="A222" s="21"/>
      <c r="B222" s="9"/>
      <c r="C222" s="9"/>
      <c r="D222" s="9"/>
      <c r="E222" s="9"/>
      <c r="F222" s="9"/>
      <c r="G222" s="19"/>
      <c r="H222" s="19"/>
      <c r="I222" s="19"/>
      <c r="J222" s="19"/>
      <c r="K222" s="19"/>
    </row>
    <row r="223" spans="1:11" x14ac:dyDescent="0.2">
      <c r="A223" s="21"/>
      <c r="B223" s="9"/>
      <c r="C223" s="9"/>
      <c r="D223" s="9"/>
      <c r="E223" s="9"/>
      <c r="F223" s="9"/>
      <c r="G223" s="19"/>
      <c r="H223" s="19"/>
      <c r="I223" s="19"/>
      <c r="J223" s="19"/>
      <c r="K223" s="19"/>
    </row>
    <row r="224" spans="1:11" x14ac:dyDescent="0.2">
      <c r="A224" s="21"/>
      <c r="B224" s="9"/>
      <c r="C224" s="9"/>
      <c r="D224" s="9"/>
      <c r="E224" s="9"/>
      <c r="F224" s="9"/>
      <c r="G224" s="19"/>
      <c r="H224" s="19"/>
      <c r="I224" s="19"/>
      <c r="J224" s="19"/>
      <c r="K224" s="19"/>
    </row>
    <row r="225" spans="1:11" x14ac:dyDescent="0.2">
      <c r="A225" s="21"/>
      <c r="B225" s="9"/>
      <c r="C225" s="9"/>
      <c r="D225" s="9"/>
      <c r="E225" s="9"/>
      <c r="F225" s="9"/>
      <c r="G225" s="19"/>
      <c r="H225" s="19"/>
      <c r="I225" s="19"/>
      <c r="J225" s="19"/>
      <c r="K225" s="19"/>
    </row>
    <row r="226" spans="1:11" x14ac:dyDescent="0.2">
      <c r="A226" s="21"/>
      <c r="B226" s="9"/>
      <c r="C226" s="9"/>
      <c r="D226" s="9"/>
      <c r="E226" s="9"/>
      <c r="F226" s="9"/>
      <c r="G226" s="19"/>
      <c r="H226" s="19"/>
      <c r="I226" s="19"/>
      <c r="J226" s="19"/>
      <c r="K226" s="19"/>
    </row>
    <row r="227" spans="1:11" x14ac:dyDescent="0.2">
      <c r="A227" s="21"/>
      <c r="B227" s="9"/>
      <c r="C227" s="9"/>
      <c r="D227" s="9"/>
      <c r="E227" s="9"/>
      <c r="F227" s="9"/>
      <c r="G227" s="19"/>
      <c r="H227" s="19"/>
      <c r="I227" s="19"/>
      <c r="J227" s="19"/>
      <c r="K227" s="19"/>
    </row>
    <row r="228" spans="1:11" x14ac:dyDescent="0.2">
      <c r="A228" s="21"/>
      <c r="B228" s="9"/>
      <c r="C228" s="9"/>
      <c r="D228" s="9"/>
      <c r="E228" s="9"/>
      <c r="F228" s="9"/>
      <c r="G228" s="19"/>
      <c r="H228" s="19"/>
      <c r="I228" s="19"/>
      <c r="J228" s="19"/>
      <c r="K228" s="19"/>
    </row>
    <row r="229" spans="1:11" x14ac:dyDescent="0.2">
      <c r="A229" s="21"/>
      <c r="B229" s="9"/>
      <c r="C229" s="9"/>
      <c r="D229" s="9"/>
      <c r="E229" s="9"/>
      <c r="F229" s="9"/>
      <c r="G229" s="19"/>
      <c r="H229" s="19"/>
      <c r="I229" s="19"/>
      <c r="J229" s="19"/>
      <c r="K229" s="19"/>
    </row>
    <row r="230" spans="1:11" x14ac:dyDescent="0.2">
      <c r="A230" s="21"/>
      <c r="B230" s="9"/>
      <c r="C230" s="9"/>
      <c r="D230" s="9"/>
      <c r="E230" s="9"/>
      <c r="F230" s="9"/>
      <c r="G230" s="19"/>
      <c r="H230" s="19"/>
      <c r="I230" s="19"/>
      <c r="J230" s="19"/>
      <c r="K230" s="19"/>
    </row>
    <row r="231" spans="1:11" x14ac:dyDescent="0.2">
      <c r="A231" s="21"/>
      <c r="B231" s="9"/>
      <c r="C231" s="9"/>
      <c r="D231" s="9"/>
      <c r="E231" s="9"/>
      <c r="F231" s="9"/>
      <c r="G231" s="19"/>
      <c r="H231" s="19"/>
      <c r="I231" s="19"/>
      <c r="J231" s="19"/>
      <c r="K231" s="19"/>
    </row>
    <row r="232" spans="1:11" x14ac:dyDescent="0.2">
      <c r="A232" s="21"/>
      <c r="B232" s="9"/>
      <c r="C232" s="9"/>
      <c r="D232" s="9"/>
      <c r="E232" s="9"/>
      <c r="F232" s="9"/>
      <c r="G232" s="19"/>
      <c r="H232" s="19"/>
      <c r="I232" s="19"/>
      <c r="J232" s="19"/>
      <c r="K232" s="19"/>
    </row>
    <row r="233" spans="1:11" x14ac:dyDescent="0.2">
      <c r="A233" s="21"/>
      <c r="B233" s="9"/>
      <c r="C233" s="9"/>
      <c r="D233" s="9"/>
      <c r="E233" s="9"/>
      <c r="F233" s="9"/>
      <c r="G233" s="19"/>
      <c r="H233" s="19"/>
      <c r="I233" s="19"/>
      <c r="J233" s="19"/>
      <c r="K233" s="19"/>
    </row>
    <row r="234" spans="1:11" x14ac:dyDescent="0.2">
      <c r="A234" s="21"/>
      <c r="B234" s="9"/>
      <c r="C234" s="9"/>
      <c r="D234" s="9"/>
      <c r="E234" s="9"/>
      <c r="F234" s="9"/>
      <c r="G234" s="19"/>
      <c r="H234" s="19"/>
      <c r="I234" s="19"/>
      <c r="J234" s="19"/>
      <c r="K234" s="19"/>
    </row>
    <row r="235" spans="1:11" x14ac:dyDescent="0.2">
      <c r="A235" s="21"/>
      <c r="B235" s="9"/>
      <c r="C235" s="9"/>
      <c r="D235" s="9"/>
      <c r="E235" s="9"/>
      <c r="F235" s="9"/>
      <c r="G235" s="19"/>
      <c r="H235" s="19"/>
      <c r="I235" s="19"/>
      <c r="J235" s="19"/>
      <c r="K235" s="19"/>
    </row>
    <row r="236" spans="1:11" x14ac:dyDescent="0.2">
      <c r="A236" s="21"/>
      <c r="B236" s="9"/>
      <c r="C236" s="9"/>
      <c r="D236" s="9"/>
      <c r="E236" s="9"/>
      <c r="F236" s="9"/>
      <c r="G236" s="19"/>
      <c r="H236" s="19"/>
      <c r="I236" s="19"/>
      <c r="J236" s="19"/>
      <c r="K236" s="19"/>
    </row>
    <row r="237" spans="1:11" x14ac:dyDescent="0.2">
      <c r="A237" s="21"/>
      <c r="B237" s="9"/>
      <c r="C237" s="9"/>
      <c r="D237" s="9"/>
      <c r="E237" s="9"/>
      <c r="F237" s="9"/>
      <c r="G237" s="19"/>
      <c r="H237" s="19"/>
      <c r="I237" s="19"/>
      <c r="J237" s="19"/>
      <c r="K237" s="19"/>
    </row>
    <row r="238" spans="1:11" x14ac:dyDescent="0.2">
      <c r="A238" s="21"/>
      <c r="B238" s="9"/>
      <c r="C238" s="9"/>
      <c r="D238" s="9"/>
      <c r="E238" s="9"/>
      <c r="F238" s="9"/>
      <c r="G238" s="19"/>
      <c r="H238" s="19"/>
      <c r="I238" s="19"/>
      <c r="J238" s="19"/>
      <c r="K238" s="19"/>
    </row>
    <row r="239" spans="1:11" x14ac:dyDescent="0.2">
      <c r="A239" s="21"/>
      <c r="B239" s="9"/>
      <c r="C239" s="9"/>
      <c r="D239" s="9"/>
      <c r="E239" s="9"/>
      <c r="F239" s="9"/>
      <c r="G239" s="19"/>
      <c r="H239" s="19"/>
      <c r="I239" s="19"/>
      <c r="J239" s="19"/>
      <c r="K239" s="19"/>
    </row>
    <row r="240" spans="1:11" x14ac:dyDescent="0.2">
      <c r="A240" s="21"/>
      <c r="B240" s="9"/>
      <c r="C240" s="9"/>
      <c r="D240" s="9"/>
      <c r="E240" s="9"/>
      <c r="F240" s="9"/>
      <c r="G240" s="19"/>
      <c r="H240" s="19"/>
      <c r="I240" s="19"/>
      <c r="J240" s="19"/>
      <c r="K240" s="19"/>
    </row>
    <row r="241" spans="1:11" x14ac:dyDescent="0.2">
      <c r="A241" s="21"/>
      <c r="B241" s="9"/>
      <c r="C241" s="9"/>
      <c r="D241" s="9"/>
      <c r="E241" s="9"/>
      <c r="F241" s="9"/>
      <c r="G241" s="19"/>
      <c r="H241" s="19"/>
      <c r="I241" s="19"/>
      <c r="J241" s="19"/>
      <c r="K241" s="19"/>
    </row>
    <row r="242" spans="1:11" x14ac:dyDescent="0.2">
      <c r="A242" s="21"/>
      <c r="B242" s="9"/>
      <c r="C242" s="9"/>
      <c r="D242" s="9"/>
      <c r="E242" s="9"/>
      <c r="F242" s="9"/>
      <c r="G242" s="19"/>
      <c r="H242" s="19"/>
      <c r="I242" s="19"/>
      <c r="J242" s="19"/>
      <c r="K242" s="19"/>
    </row>
    <row r="243" spans="1:11" x14ac:dyDescent="0.2">
      <c r="A243" s="21"/>
      <c r="B243" s="9"/>
      <c r="C243" s="9"/>
      <c r="D243" s="9"/>
      <c r="E243" s="9"/>
      <c r="F243" s="9"/>
      <c r="G243" s="19"/>
      <c r="H243" s="19"/>
      <c r="I243" s="19"/>
      <c r="J243" s="19"/>
      <c r="K243" s="19"/>
    </row>
    <row r="244" spans="1:11" x14ac:dyDescent="0.2">
      <c r="A244" s="21"/>
      <c r="B244" s="9"/>
      <c r="C244" s="9"/>
      <c r="D244" s="9"/>
      <c r="E244" s="9"/>
      <c r="F244" s="9"/>
      <c r="G244" s="19"/>
      <c r="H244" s="19"/>
      <c r="I244" s="19"/>
      <c r="J244" s="19"/>
      <c r="K244" s="19"/>
    </row>
    <row r="245" spans="1:11" x14ac:dyDescent="0.2">
      <c r="A245" s="21"/>
      <c r="B245" s="9"/>
      <c r="C245" s="9"/>
      <c r="D245" s="9"/>
      <c r="E245" s="9"/>
      <c r="F245" s="9"/>
      <c r="G245" s="19"/>
      <c r="H245" s="19"/>
      <c r="I245" s="19"/>
      <c r="J245" s="19"/>
      <c r="K245" s="19"/>
    </row>
    <row r="246" spans="1:11" x14ac:dyDescent="0.2">
      <c r="A246" s="21"/>
      <c r="B246" s="9"/>
      <c r="C246" s="9"/>
      <c r="D246" s="9"/>
      <c r="E246" s="9"/>
      <c r="F246" s="9"/>
      <c r="G246" s="19"/>
      <c r="H246" s="19"/>
      <c r="I246" s="19"/>
      <c r="J246" s="19"/>
      <c r="K246" s="19"/>
    </row>
    <row r="247" spans="1:11" x14ac:dyDescent="0.2">
      <c r="A247" s="21"/>
      <c r="B247" s="9"/>
      <c r="C247" s="9"/>
      <c r="D247" s="9"/>
      <c r="E247" s="9"/>
      <c r="F247" s="9"/>
      <c r="G247" s="19"/>
      <c r="H247" s="19"/>
      <c r="I247" s="19"/>
      <c r="J247" s="19"/>
      <c r="K247" s="19"/>
    </row>
    <row r="248" spans="1:11" x14ac:dyDescent="0.2">
      <c r="A248" s="21"/>
      <c r="B248" s="9"/>
      <c r="C248" s="9"/>
      <c r="D248" s="9"/>
      <c r="E248" s="9"/>
      <c r="F248" s="9"/>
      <c r="G248" s="19"/>
      <c r="H248" s="19"/>
      <c r="I248" s="19"/>
      <c r="J248" s="19"/>
      <c r="K248" s="19"/>
    </row>
    <row r="249" spans="1:11" x14ac:dyDescent="0.2">
      <c r="A249" s="21"/>
      <c r="B249" s="9"/>
      <c r="C249" s="9"/>
      <c r="D249" s="9"/>
      <c r="E249" s="9"/>
      <c r="F249" s="9"/>
      <c r="G249" s="19"/>
      <c r="H249" s="19"/>
      <c r="I249" s="19"/>
      <c r="J249" s="19"/>
      <c r="K249" s="19"/>
    </row>
    <row r="250" spans="1:11" x14ac:dyDescent="0.2">
      <c r="A250" s="21"/>
      <c r="B250" s="9"/>
      <c r="C250" s="9"/>
      <c r="D250" s="9"/>
      <c r="E250" s="9"/>
      <c r="F250" s="9"/>
      <c r="G250" s="19"/>
      <c r="H250" s="19"/>
      <c r="I250" s="19"/>
      <c r="J250" s="19"/>
      <c r="K250" s="19"/>
    </row>
    <row r="251" spans="1:11" x14ac:dyDescent="0.2">
      <c r="A251" s="21"/>
      <c r="B251" s="9"/>
      <c r="C251" s="9"/>
      <c r="D251" s="9"/>
      <c r="E251" s="9"/>
      <c r="F251" s="9"/>
      <c r="G251" s="19"/>
      <c r="H251" s="19"/>
      <c r="I251" s="19"/>
      <c r="J251" s="19"/>
      <c r="K251" s="19"/>
    </row>
    <row r="252" spans="1:11" x14ac:dyDescent="0.2">
      <c r="A252" s="21"/>
      <c r="B252" s="9"/>
      <c r="C252" s="9"/>
      <c r="D252" s="9"/>
      <c r="E252" s="9"/>
      <c r="F252" s="9"/>
      <c r="G252" s="19"/>
      <c r="H252" s="19"/>
      <c r="I252" s="19"/>
      <c r="J252" s="19"/>
      <c r="K252" s="19"/>
    </row>
    <row r="253" spans="1:11" x14ac:dyDescent="0.2">
      <c r="A253" s="21"/>
      <c r="B253" s="9"/>
      <c r="C253" s="9"/>
      <c r="D253" s="9"/>
      <c r="E253" s="9"/>
      <c r="F253" s="9"/>
      <c r="G253" s="19"/>
      <c r="H253" s="19"/>
      <c r="I253" s="19"/>
      <c r="J253" s="19"/>
      <c r="K253" s="19"/>
    </row>
    <row r="254" spans="1:11" x14ac:dyDescent="0.2">
      <c r="A254" s="21"/>
      <c r="B254" s="9"/>
      <c r="C254" s="9"/>
      <c r="D254" s="9"/>
      <c r="E254" s="9"/>
      <c r="F254" s="9"/>
      <c r="G254" s="19"/>
      <c r="H254" s="19"/>
      <c r="I254" s="19"/>
      <c r="J254" s="19"/>
      <c r="K254" s="19"/>
    </row>
    <row r="255" spans="1:11" x14ac:dyDescent="0.2">
      <c r="A255" s="21"/>
      <c r="B255" s="9"/>
      <c r="C255" s="9"/>
      <c r="D255" s="9"/>
      <c r="E255" s="9"/>
      <c r="F255" s="9"/>
      <c r="G255" s="19"/>
      <c r="H255" s="19"/>
      <c r="I255" s="19"/>
      <c r="J255" s="19"/>
      <c r="K255" s="19"/>
    </row>
    <row r="256" spans="1:11" x14ac:dyDescent="0.2">
      <c r="A256" s="21"/>
      <c r="B256" s="9"/>
      <c r="C256" s="9"/>
      <c r="D256" s="9"/>
      <c r="E256" s="9"/>
      <c r="F256" s="9"/>
      <c r="G256" s="19"/>
      <c r="H256" s="19"/>
      <c r="I256" s="19"/>
      <c r="J256" s="19"/>
      <c r="K256" s="19"/>
    </row>
    <row r="257" spans="1:11" x14ac:dyDescent="0.2">
      <c r="A257" s="21"/>
      <c r="B257" s="9"/>
      <c r="C257" s="9"/>
      <c r="D257" s="9"/>
      <c r="E257" s="9"/>
      <c r="F257" s="9"/>
      <c r="G257" s="19"/>
      <c r="H257" s="19"/>
      <c r="I257" s="19"/>
      <c r="J257" s="19"/>
      <c r="K257" s="19"/>
    </row>
    <row r="258" spans="1:11" x14ac:dyDescent="0.2">
      <c r="A258" s="21"/>
      <c r="B258" s="9"/>
      <c r="C258" s="9"/>
      <c r="D258" s="9"/>
      <c r="E258" s="9"/>
      <c r="F258" s="9"/>
      <c r="G258" s="19"/>
      <c r="H258" s="19"/>
      <c r="I258" s="19"/>
      <c r="J258" s="19"/>
      <c r="K258" s="19"/>
    </row>
    <row r="259" spans="1:11" x14ac:dyDescent="0.2">
      <c r="A259" s="21"/>
      <c r="B259" s="9"/>
      <c r="C259" s="9"/>
      <c r="D259" s="9"/>
      <c r="E259" s="9"/>
      <c r="F259" s="9"/>
      <c r="G259" s="19"/>
      <c r="H259" s="19"/>
      <c r="I259" s="19"/>
      <c r="J259" s="19"/>
      <c r="K259" s="19"/>
    </row>
    <row r="260" spans="1:11" x14ac:dyDescent="0.2">
      <c r="A260" s="21"/>
      <c r="B260" s="9"/>
      <c r="C260" s="9"/>
      <c r="D260" s="9"/>
      <c r="E260" s="9"/>
      <c r="F260" s="9"/>
      <c r="G260" s="19"/>
      <c r="H260" s="19"/>
      <c r="I260" s="19"/>
      <c r="J260" s="19"/>
      <c r="K260" s="19"/>
    </row>
    <row r="261" spans="1:11" x14ac:dyDescent="0.2">
      <c r="A261" s="21"/>
      <c r="B261" s="9"/>
      <c r="C261" s="9"/>
      <c r="D261" s="9"/>
      <c r="E261" s="9"/>
      <c r="F261" s="9"/>
      <c r="G261" s="19"/>
      <c r="H261" s="19"/>
      <c r="I261" s="19"/>
      <c r="J261" s="19"/>
      <c r="K261" s="19"/>
    </row>
    <row r="262" spans="1:11" x14ac:dyDescent="0.2">
      <c r="A262" s="21"/>
      <c r="B262" s="9"/>
      <c r="C262" s="9"/>
      <c r="D262" s="9"/>
      <c r="E262" s="9"/>
      <c r="F262" s="9"/>
      <c r="G262" s="19"/>
      <c r="H262" s="19"/>
      <c r="I262" s="19"/>
      <c r="J262" s="19"/>
      <c r="K262" s="19"/>
    </row>
    <row r="263" spans="1:11" x14ac:dyDescent="0.2">
      <c r="A263" s="21"/>
      <c r="B263" s="9"/>
      <c r="C263" s="9"/>
      <c r="D263" s="9"/>
      <c r="E263" s="9"/>
      <c r="F263" s="9"/>
      <c r="G263" s="19"/>
      <c r="H263" s="19"/>
      <c r="I263" s="19"/>
      <c r="J263" s="19"/>
      <c r="K263" s="19"/>
    </row>
    <row r="264" spans="1:11" x14ac:dyDescent="0.2">
      <c r="A264" s="21"/>
      <c r="B264" s="9"/>
      <c r="C264" s="9"/>
      <c r="D264" s="9"/>
      <c r="E264" s="9"/>
      <c r="F264" s="9"/>
      <c r="G264" s="19"/>
      <c r="H264" s="19"/>
      <c r="I264" s="19"/>
      <c r="J264" s="19"/>
      <c r="K264" s="19"/>
    </row>
    <row r="265" spans="1:11" x14ac:dyDescent="0.2">
      <c r="A265" s="21"/>
      <c r="B265" s="9"/>
      <c r="C265" s="9"/>
      <c r="D265" s="9"/>
      <c r="E265" s="9"/>
      <c r="F265" s="9"/>
      <c r="G265" s="19"/>
      <c r="H265" s="19"/>
      <c r="I265" s="19"/>
      <c r="J265" s="19"/>
      <c r="K265" s="19"/>
    </row>
    <row r="266" spans="1:11" x14ac:dyDescent="0.2">
      <c r="A266" s="21"/>
      <c r="B266" s="9"/>
      <c r="C266" s="9"/>
      <c r="D266" s="9"/>
      <c r="E266" s="9"/>
      <c r="F266" s="9"/>
      <c r="G266" s="19"/>
      <c r="H266" s="19"/>
      <c r="I266" s="19"/>
      <c r="J266" s="19"/>
      <c r="K266" s="19"/>
    </row>
    <row r="267" spans="1:11" x14ac:dyDescent="0.2">
      <c r="A267" s="21"/>
      <c r="B267" s="9"/>
      <c r="C267" s="9"/>
      <c r="D267" s="9"/>
      <c r="E267" s="9"/>
      <c r="F267" s="9"/>
      <c r="G267" s="19"/>
      <c r="H267" s="19"/>
      <c r="I267" s="19"/>
      <c r="J267" s="19"/>
      <c r="K267" s="19"/>
    </row>
    <row r="268" spans="1:11" x14ac:dyDescent="0.2">
      <c r="A268" s="21"/>
      <c r="B268" s="9"/>
      <c r="C268" s="9"/>
      <c r="D268" s="9"/>
      <c r="E268" s="9"/>
      <c r="F268" s="9"/>
      <c r="G268" s="19"/>
      <c r="H268" s="19"/>
      <c r="I268" s="19"/>
      <c r="J268" s="19"/>
      <c r="K268" s="19"/>
    </row>
    <row r="269" spans="1:11" x14ac:dyDescent="0.2">
      <c r="A269" s="21"/>
      <c r="B269" s="9"/>
      <c r="C269" s="9"/>
      <c r="D269" s="9"/>
      <c r="E269" s="9"/>
      <c r="F269" s="9"/>
      <c r="G269" s="19"/>
      <c r="H269" s="19"/>
      <c r="I269" s="19"/>
      <c r="J269" s="19"/>
      <c r="K269" s="19"/>
    </row>
    <row r="270" spans="1:11" x14ac:dyDescent="0.2">
      <c r="A270" s="21"/>
      <c r="B270" s="9"/>
      <c r="C270" s="9"/>
      <c r="D270" s="9"/>
      <c r="E270" s="9"/>
      <c r="F270" s="9"/>
      <c r="G270" s="19"/>
      <c r="H270" s="19"/>
      <c r="I270" s="19"/>
      <c r="J270" s="19"/>
      <c r="K270" s="19"/>
    </row>
    <row r="271" spans="1:11" x14ac:dyDescent="0.2">
      <c r="A271" s="21"/>
      <c r="B271" s="9"/>
      <c r="C271" s="9"/>
      <c r="D271" s="9"/>
      <c r="E271" s="9"/>
      <c r="F271" s="9"/>
      <c r="G271" s="19"/>
      <c r="H271" s="19"/>
      <c r="I271" s="19"/>
      <c r="J271" s="19"/>
      <c r="K271" s="19"/>
    </row>
    <row r="272" spans="1:11" x14ac:dyDescent="0.2">
      <c r="A272" s="21"/>
      <c r="B272" s="9"/>
      <c r="C272" s="9"/>
      <c r="D272" s="9"/>
      <c r="E272" s="9"/>
      <c r="F272" s="9"/>
      <c r="G272" s="19"/>
      <c r="H272" s="19"/>
      <c r="I272" s="19"/>
      <c r="J272" s="19"/>
      <c r="K272" s="19"/>
    </row>
    <row r="273" spans="1:11" x14ac:dyDescent="0.2">
      <c r="A273" s="21"/>
      <c r="B273" s="9"/>
      <c r="C273" s="9"/>
      <c r="D273" s="9"/>
      <c r="E273" s="9"/>
      <c r="F273" s="9"/>
      <c r="G273" s="19"/>
      <c r="H273" s="19"/>
      <c r="I273" s="19"/>
      <c r="J273" s="19"/>
      <c r="K273" s="19"/>
    </row>
    <row r="274" spans="1:11" x14ac:dyDescent="0.2">
      <c r="A274" s="21"/>
      <c r="B274" s="9"/>
      <c r="C274" s="9"/>
      <c r="D274" s="9"/>
      <c r="E274" s="9"/>
      <c r="F274" s="9"/>
      <c r="G274" s="19"/>
      <c r="H274" s="19"/>
      <c r="I274" s="19"/>
      <c r="J274" s="19"/>
      <c r="K274" s="19"/>
    </row>
    <row r="275" spans="1:11" x14ac:dyDescent="0.2">
      <c r="A275" s="21"/>
      <c r="B275" s="9"/>
      <c r="C275" s="9"/>
      <c r="D275" s="9"/>
      <c r="E275" s="9"/>
      <c r="F275" s="9"/>
      <c r="G275" s="19"/>
      <c r="H275" s="19"/>
      <c r="I275" s="19"/>
      <c r="J275" s="19"/>
      <c r="K275" s="19"/>
    </row>
    <row r="276" spans="1:11" x14ac:dyDescent="0.2">
      <c r="A276" s="21"/>
      <c r="B276" s="9"/>
      <c r="C276" s="9"/>
      <c r="D276" s="9"/>
      <c r="E276" s="9"/>
      <c r="F276" s="9"/>
      <c r="G276" s="19"/>
      <c r="H276" s="19"/>
      <c r="I276" s="19"/>
      <c r="J276" s="19"/>
      <c r="K276" s="19"/>
    </row>
    <row r="277" spans="1:11" x14ac:dyDescent="0.2">
      <c r="A277" s="21"/>
      <c r="B277" s="9"/>
      <c r="C277" s="9"/>
      <c r="D277" s="9"/>
      <c r="E277" s="9"/>
      <c r="F277" s="9"/>
      <c r="G277" s="19"/>
      <c r="H277" s="19"/>
      <c r="I277" s="19"/>
      <c r="J277" s="19"/>
      <c r="K277" s="19"/>
    </row>
    <row r="278" spans="1:11" x14ac:dyDescent="0.2">
      <c r="A278" s="21"/>
      <c r="B278" s="9"/>
      <c r="C278" s="9"/>
      <c r="D278" s="9"/>
      <c r="E278" s="9"/>
      <c r="F278" s="9"/>
      <c r="G278" s="19"/>
      <c r="H278" s="19"/>
      <c r="I278" s="19"/>
      <c r="J278" s="19"/>
      <c r="K278" s="19"/>
    </row>
    <row r="279" spans="1:11" x14ac:dyDescent="0.2">
      <c r="A279" s="21"/>
      <c r="B279" s="9"/>
      <c r="C279" s="9"/>
      <c r="D279" s="9"/>
      <c r="E279" s="9"/>
      <c r="F279" s="9"/>
      <c r="G279" s="19"/>
      <c r="H279" s="19"/>
      <c r="I279" s="19"/>
      <c r="J279" s="19"/>
      <c r="K279" s="19"/>
    </row>
    <row r="280" spans="1:11" x14ac:dyDescent="0.2">
      <c r="A280" s="21"/>
      <c r="B280" s="9"/>
      <c r="C280" s="9"/>
      <c r="D280" s="9"/>
      <c r="E280" s="9"/>
      <c r="F280" s="9"/>
      <c r="G280" s="19"/>
      <c r="H280" s="19"/>
      <c r="I280" s="19"/>
      <c r="J280" s="19"/>
      <c r="K280" s="19"/>
    </row>
    <row r="281" spans="1:11" x14ac:dyDescent="0.2">
      <c r="A281" s="21"/>
      <c r="B281" s="9"/>
      <c r="C281" s="9"/>
      <c r="D281" s="9"/>
      <c r="E281" s="9"/>
      <c r="F281" s="9"/>
      <c r="G281" s="19"/>
      <c r="H281" s="19"/>
      <c r="I281" s="19"/>
      <c r="J281" s="19"/>
      <c r="K281" s="19"/>
    </row>
    <row r="282" spans="1:11" x14ac:dyDescent="0.2">
      <c r="A282" s="21"/>
      <c r="B282" s="9"/>
      <c r="C282" s="9"/>
      <c r="D282" s="9"/>
      <c r="E282" s="9"/>
      <c r="F282" s="9"/>
      <c r="G282" s="19"/>
      <c r="H282" s="19"/>
      <c r="I282" s="19"/>
      <c r="J282" s="19"/>
      <c r="K282" s="19"/>
    </row>
    <row r="283" spans="1:11" x14ac:dyDescent="0.2">
      <c r="A283" s="21"/>
      <c r="B283" s="9"/>
      <c r="C283" s="9"/>
      <c r="D283" s="9"/>
      <c r="E283" s="9"/>
      <c r="F283" s="9"/>
      <c r="G283" s="19"/>
      <c r="H283" s="19"/>
      <c r="I283" s="19"/>
      <c r="J283" s="19"/>
      <c r="K283" s="19"/>
    </row>
    <row r="284" spans="1:11" x14ac:dyDescent="0.2">
      <c r="A284" s="21"/>
      <c r="B284" s="9"/>
      <c r="C284" s="9"/>
      <c r="D284" s="9"/>
      <c r="E284" s="9"/>
      <c r="F284" s="9"/>
      <c r="G284" s="19"/>
      <c r="H284" s="19"/>
      <c r="I284" s="19"/>
      <c r="J284" s="19"/>
      <c r="K284" s="19"/>
    </row>
    <row r="285" spans="1:11" x14ac:dyDescent="0.2">
      <c r="A285" s="21"/>
      <c r="B285" s="9"/>
      <c r="C285" s="9"/>
      <c r="D285" s="9"/>
      <c r="E285" s="9"/>
      <c r="F285" s="9"/>
      <c r="G285" s="19"/>
      <c r="H285" s="19"/>
      <c r="I285" s="19"/>
      <c r="J285" s="19"/>
      <c r="K285" s="19"/>
    </row>
    <row r="286" spans="1:11" x14ac:dyDescent="0.2">
      <c r="A286" s="21"/>
      <c r="B286" s="9"/>
      <c r="C286" s="9"/>
      <c r="D286" s="9"/>
      <c r="E286" s="9"/>
      <c r="F286" s="9"/>
      <c r="G286" s="19"/>
      <c r="H286" s="19"/>
      <c r="I286" s="19"/>
      <c r="J286" s="19"/>
      <c r="K286" s="19"/>
    </row>
    <row r="287" spans="1:11" x14ac:dyDescent="0.2">
      <c r="A287" s="21"/>
      <c r="B287" s="9"/>
      <c r="C287" s="9"/>
      <c r="D287" s="9"/>
      <c r="E287" s="9"/>
      <c r="F287" s="9"/>
      <c r="G287" s="19"/>
      <c r="H287" s="19"/>
      <c r="I287" s="19"/>
      <c r="J287" s="19"/>
      <c r="K287" s="19"/>
    </row>
    <row r="288" spans="1:11" x14ac:dyDescent="0.2">
      <c r="A288" s="21"/>
      <c r="B288" s="9"/>
      <c r="C288" s="9"/>
      <c r="D288" s="9"/>
      <c r="E288" s="9"/>
      <c r="F288" s="9"/>
      <c r="G288" s="19"/>
      <c r="H288" s="19"/>
      <c r="I288" s="19"/>
      <c r="J288" s="19"/>
      <c r="K288" s="19"/>
    </row>
    <row r="289" spans="1:11" x14ac:dyDescent="0.2">
      <c r="A289" s="21"/>
      <c r="B289" s="9"/>
      <c r="C289" s="9"/>
      <c r="D289" s="9"/>
      <c r="E289" s="9"/>
      <c r="F289" s="9"/>
      <c r="G289" s="19"/>
      <c r="H289" s="19"/>
      <c r="I289" s="19"/>
      <c r="J289" s="19"/>
      <c r="K289" s="19"/>
    </row>
    <row r="290" spans="1:11" x14ac:dyDescent="0.2">
      <c r="A290" s="21"/>
      <c r="B290" s="9"/>
      <c r="C290" s="9"/>
      <c r="D290" s="9"/>
      <c r="E290" s="9"/>
      <c r="F290" s="9"/>
      <c r="G290" s="19"/>
      <c r="H290" s="19"/>
      <c r="I290" s="19"/>
      <c r="J290" s="19"/>
      <c r="K290" s="19"/>
    </row>
    <row r="291" spans="1:11" x14ac:dyDescent="0.2">
      <c r="A291" s="21"/>
      <c r="B291" s="9"/>
      <c r="C291" s="9"/>
      <c r="D291" s="9"/>
      <c r="E291" s="9"/>
      <c r="F291" s="9"/>
      <c r="G291" s="19"/>
      <c r="H291" s="19"/>
      <c r="I291" s="19"/>
      <c r="J291" s="19"/>
      <c r="K291" s="19"/>
    </row>
    <row r="292" spans="1:11" x14ac:dyDescent="0.2">
      <c r="A292" s="21"/>
      <c r="B292" s="9"/>
      <c r="C292" s="9"/>
      <c r="D292" s="9"/>
      <c r="E292" s="9"/>
      <c r="F292" s="9"/>
      <c r="G292" s="19"/>
      <c r="H292" s="19"/>
      <c r="I292" s="19"/>
      <c r="J292" s="19"/>
      <c r="K292" s="19"/>
    </row>
    <row r="293" spans="1:11" x14ac:dyDescent="0.2">
      <c r="A293" s="21"/>
      <c r="B293" s="9"/>
      <c r="C293" s="9"/>
      <c r="D293" s="9"/>
      <c r="E293" s="9"/>
      <c r="F293" s="9"/>
      <c r="G293" s="19"/>
      <c r="H293" s="19"/>
      <c r="I293" s="19"/>
      <c r="J293" s="19"/>
      <c r="K293" s="19"/>
    </row>
    <row r="294" spans="1:11" x14ac:dyDescent="0.2">
      <c r="A294" s="21"/>
      <c r="B294" s="9"/>
      <c r="C294" s="9"/>
      <c r="D294" s="9"/>
      <c r="E294" s="9"/>
      <c r="F294" s="9"/>
      <c r="G294" s="19"/>
      <c r="H294" s="19"/>
      <c r="I294" s="19"/>
      <c r="J294" s="19"/>
      <c r="K294" s="19"/>
    </row>
    <row r="295" spans="1:11" x14ac:dyDescent="0.2">
      <c r="A295" s="21"/>
      <c r="B295" s="9"/>
      <c r="C295" s="9"/>
      <c r="D295" s="9"/>
      <c r="E295" s="9"/>
      <c r="F295" s="9"/>
      <c r="G295" s="19"/>
      <c r="H295" s="19"/>
      <c r="I295" s="19"/>
      <c r="J295" s="19"/>
      <c r="K295" s="19"/>
    </row>
    <row r="296" spans="1:11" x14ac:dyDescent="0.2">
      <c r="A296" s="21"/>
      <c r="B296" s="9"/>
      <c r="C296" s="9"/>
      <c r="D296" s="9"/>
      <c r="E296" s="9"/>
      <c r="F296" s="9"/>
      <c r="G296" s="19"/>
      <c r="H296" s="19"/>
      <c r="I296" s="19"/>
      <c r="J296" s="19"/>
      <c r="K296" s="19"/>
    </row>
    <row r="297" spans="1:11" x14ac:dyDescent="0.2">
      <c r="A297" s="21"/>
      <c r="B297" s="9"/>
      <c r="C297" s="9"/>
      <c r="D297" s="9"/>
      <c r="E297" s="9"/>
      <c r="F297" s="9"/>
      <c r="G297" s="19"/>
      <c r="H297" s="19"/>
      <c r="I297" s="19"/>
      <c r="J297" s="19"/>
      <c r="K297" s="19"/>
    </row>
    <row r="298" spans="1:11" x14ac:dyDescent="0.2">
      <c r="A298" s="21"/>
      <c r="B298" s="9"/>
      <c r="C298" s="9"/>
      <c r="D298" s="9"/>
      <c r="E298" s="9"/>
      <c r="F298" s="9"/>
      <c r="G298" s="19"/>
      <c r="H298" s="19"/>
      <c r="I298" s="19"/>
      <c r="J298" s="19"/>
      <c r="K298" s="19"/>
    </row>
    <row r="299" spans="1:11" x14ac:dyDescent="0.2">
      <c r="A299" s="21"/>
      <c r="B299" s="9"/>
      <c r="C299" s="9"/>
      <c r="D299" s="9"/>
      <c r="E299" s="9"/>
      <c r="F299" s="9"/>
      <c r="G299" s="19"/>
      <c r="H299" s="19"/>
      <c r="I299" s="19"/>
      <c r="J299" s="19"/>
      <c r="K299" s="19"/>
    </row>
    <row r="300" spans="1:11" x14ac:dyDescent="0.2">
      <c r="A300" s="21"/>
      <c r="B300" s="9"/>
      <c r="C300" s="9"/>
      <c r="D300" s="9"/>
      <c r="E300" s="9"/>
      <c r="F300" s="9"/>
      <c r="G300" s="19"/>
      <c r="H300" s="19"/>
      <c r="I300" s="19"/>
      <c r="J300" s="19"/>
      <c r="K300" s="19"/>
    </row>
    <row r="301" spans="1:11" x14ac:dyDescent="0.2">
      <c r="A301" s="21"/>
      <c r="B301" s="9"/>
      <c r="C301" s="9"/>
      <c r="D301" s="9"/>
      <c r="E301" s="9"/>
      <c r="F301" s="9"/>
      <c r="G301" s="19"/>
      <c r="H301" s="19"/>
      <c r="I301" s="19"/>
      <c r="J301" s="19"/>
      <c r="K301" s="19"/>
    </row>
    <row r="302" spans="1:11" x14ac:dyDescent="0.2">
      <c r="A302" s="21"/>
      <c r="B302" s="9"/>
      <c r="C302" s="9"/>
      <c r="D302" s="9"/>
      <c r="E302" s="9"/>
      <c r="F302" s="9"/>
      <c r="G302" s="19"/>
      <c r="H302" s="19"/>
      <c r="I302" s="19"/>
      <c r="J302" s="19"/>
      <c r="K302" s="19"/>
    </row>
    <row r="303" spans="1:11" x14ac:dyDescent="0.2">
      <c r="A303" s="21"/>
      <c r="B303" s="9"/>
      <c r="C303" s="9"/>
      <c r="D303" s="9"/>
      <c r="E303" s="9"/>
      <c r="F303" s="9"/>
      <c r="G303" s="19"/>
      <c r="H303" s="19"/>
      <c r="I303" s="19"/>
      <c r="J303" s="19"/>
      <c r="K303" s="19"/>
    </row>
    <row r="304" spans="1:11" x14ac:dyDescent="0.2">
      <c r="A304" s="21"/>
      <c r="B304" s="9"/>
      <c r="C304" s="9"/>
      <c r="D304" s="9"/>
      <c r="E304" s="9"/>
      <c r="F304" s="9"/>
      <c r="G304" s="19"/>
      <c r="H304" s="19"/>
      <c r="I304" s="19"/>
      <c r="J304" s="19"/>
      <c r="K304" s="19"/>
    </row>
    <row r="305" spans="1:11" x14ac:dyDescent="0.2">
      <c r="A305" s="21"/>
      <c r="B305" s="9"/>
      <c r="C305" s="9"/>
      <c r="D305" s="9"/>
      <c r="E305" s="9"/>
      <c r="F305" s="9"/>
      <c r="G305" s="19"/>
      <c r="H305" s="19"/>
      <c r="I305" s="19"/>
      <c r="J305" s="19"/>
      <c r="K305" s="19"/>
    </row>
    <row r="306" spans="1:11" x14ac:dyDescent="0.2">
      <c r="A306" s="21"/>
      <c r="B306" s="9"/>
      <c r="C306" s="9"/>
      <c r="D306" s="9"/>
      <c r="E306" s="9"/>
      <c r="F306" s="9"/>
      <c r="G306" s="19"/>
      <c r="H306" s="19"/>
      <c r="I306" s="19"/>
      <c r="J306" s="19"/>
      <c r="K306" s="19"/>
    </row>
    <row r="307" spans="1:11" x14ac:dyDescent="0.2">
      <c r="A307" s="21"/>
      <c r="B307" s="9"/>
      <c r="C307" s="9"/>
      <c r="D307" s="9"/>
      <c r="E307" s="9"/>
      <c r="F307" s="9"/>
      <c r="G307" s="19"/>
      <c r="H307" s="19"/>
      <c r="I307" s="19"/>
      <c r="J307" s="19"/>
      <c r="K307" s="19"/>
    </row>
    <row r="308" spans="1:11" x14ac:dyDescent="0.2">
      <c r="A308" s="21"/>
      <c r="B308" s="9"/>
      <c r="C308" s="9"/>
      <c r="D308" s="9"/>
      <c r="E308" s="9"/>
      <c r="F308" s="9"/>
      <c r="G308" s="19"/>
      <c r="H308" s="19"/>
      <c r="I308" s="19"/>
      <c r="J308" s="19"/>
      <c r="K308" s="19"/>
    </row>
    <row r="309" spans="1:11" x14ac:dyDescent="0.2">
      <c r="A309" s="21"/>
      <c r="B309" s="9"/>
      <c r="C309" s="9"/>
      <c r="D309" s="9"/>
      <c r="E309" s="9"/>
      <c r="F309" s="9"/>
      <c r="G309" s="19"/>
      <c r="H309" s="19"/>
      <c r="I309" s="19"/>
      <c r="J309" s="19"/>
      <c r="K309" s="19"/>
    </row>
    <row r="310" spans="1:11" x14ac:dyDescent="0.2">
      <c r="A310" s="21"/>
      <c r="B310" s="9"/>
      <c r="C310" s="9"/>
      <c r="D310" s="9"/>
      <c r="E310" s="9"/>
      <c r="F310" s="9"/>
      <c r="G310" s="19"/>
      <c r="H310" s="19"/>
      <c r="I310" s="19"/>
      <c r="J310" s="19"/>
      <c r="K310" s="19"/>
    </row>
    <row r="311" spans="1:11" x14ac:dyDescent="0.2">
      <c r="A311" s="21"/>
      <c r="B311" s="9"/>
      <c r="C311" s="9"/>
      <c r="D311" s="9"/>
      <c r="E311" s="9"/>
      <c r="F311" s="9"/>
      <c r="G311" s="19"/>
      <c r="H311" s="19"/>
      <c r="I311" s="19"/>
      <c r="J311" s="19"/>
      <c r="K311" s="19"/>
    </row>
    <row r="312" spans="1:11" x14ac:dyDescent="0.2">
      <c r="A312" s="21"/>
      <c r="B312" s="9"/>
      <c r="C312" s="9"/>
      <c r="D312" s="9"/>
      <c r="E312" s="9"/>
      <c r="F312" s="9"/>
      <c r="G312" s="19"/>
      <c r="H312" s="19"/>
      <c r="I312" s="19"/>
      <c r="J312" s="19"/>
      <c r="K312" s="19"/>
    </row>
    <row r="313" spans="1:11" x14ac:dyDescent="0.2">
      <c r="A313" s="21"/>
      <c r="B313" s="9"/>
      <c r="C313" s="9"/>
      <c r="D313" s="9"/>
      <c r="E313" s="9"/>
      <c r="F313" s="9"/>
      <c r="G313" s="19"/>
      <c r="H313" s="19"/>
      <c r="I313" s="19"/>
      <c r="J313" s="19"/>
      <c r="K313" s="19"/>
    </row>
    <row r="314" spans="1:11" x14ac:dyDescent="0.2">
      <c r="A314" s="21"/>
      <c r="B314" s="9"/>
      <c r="C314" s="9"/>
      <c r="D314" s="9"/>
      <c r="E314" s="9"/>
      <c r="F314" s="9"/>
      <c r="G314" s="19"/>
      <c r="H314" s="19"/>
      <c r="I314" s="19"/>
      <c r="J314" s="19"/>
      <c r="K314" s="19"/>
    </row>
    <row r="315" spans="1:11" x14ac:dyDescent="0.2">
      <c r="A315" s="21"/>
      <c r="B315" s="9"/>
      <c r="C315" s="9"/>
      <c r="D315" s="9"/>
      <c r="E315" s="9"/>
      <c r="F315" s="9"/>
      <c r="G315" s="19"/>
      <c r="H315" s="19"/>
      <c r="I315" s="19"/>
      <c r="J315" s="19"/>
      <c r="K315" s="19"/>
    </row>
    <row r="316" spans="1:11" x14ac:dyDescent="0.2">
      <c r="A316" s="21"/>
      <c r="B316" s="9"/>
      <c r="C316" s="9"/>
      <c r="D316" s="9"/>
      <c r="E316" s="9"/>
      <c r="F316" s="9"/>
      <c r="G316" s="19"/>
      <c r="H316" s="19"/>
      <c r="I316" s="19"/>
      <c r="J316" s="19"/>
      <c r="K316" s="19"/>
    </row>
    <row r="317" spans="1:11" x14ac:dyDescent="0.2">
      <c r="A317" s="21"/>
      <c r="B317" s="9"/>
      <c r="C317" s="9"/>
      <c r="D317" s="9"/>
      <c r="E317" s="9"/>
      <c r="F317" s="9"/>
      <c r="G317" s="19"/>
      <c r="H317" s="19"/>
      <c r="I317" s="19"/>
      <c r="J317" s="19"/>
      <c r="K317" s="19"/>
    </row>
    <row r="318" spans="1:11" x14ac:dyDescent="0.2">
      <c r="A318" s="21"/>
      <c r="B318" s="9"/>
      <c r="C318" s="9"/>
      <c r="D318" s="9"/>
      <c r="E318" s="9"/>
      <c r="F318" s="9"/>
      <c r="G318" s="19"/>
      <c r="H318" s="19"/>
      <c r="I318" s="19"/>
      <c r="J318" s="19"/>
      <c r="K318" s="19"/>
    </row>
    <row r="319" spans="1:11" x14ac:dyDescent="0.2">
      <c r="A319" s="21"/>
      <c r="B319" s="9"/>
      <c r="C319" s="9"/>
      <c r="D319" s="9"/>
      <c r="E319" s="9"/>
      <c r="F319" s="9"/>
      <c r="G319" s="19"/>
      <c r="H319" s="19"/>
      <c r="I319" s="19"/>
      <c r="J319" s="19"/>
      <c r="K319" s="19"/>
    </row>
    <row r="320" spans="1:11" x14ac:dyDescent="0.2">
      <c r="A320" s="21"/>
      <c r="B320" s="9"/>
      <c r="C320" s="9"/>
      <c r="D320" s="9"/>
      <c r="E320" s="9"/>
      <c r="F320" s="9"/>
      <c r="G320" s="19"/>
      <c r="H320" s="19"/>
      <c r="I320" s="19"/>
      <c r="J320" s="19"/>
      <c r="K320" s="19"/>
    </row>
    <row r="321" spans="1:11" x14ac:dyDescent="0.2">
      <c r="A321" s="21"/>
      <c r="B321" s="9"/>
      <c r="C321" s="9"/>
      <c r="D321" s="9"/>
      <c r="E321" s="9"/>
      <c r="F321" s="9"/>
      <c r="G321" s="19"/>
      <c r="H321" s="19"/>
      <c r="I321" s="19"/>
      <c r="J321" s="19"/>
      <c r="K321" s="19"/>
    </row>
    <row r="322" spans="1:11" x14ac:dyDescent="0.2">
      <c r="A322" s="21"/>
      <c r="B322" s="9"/>
      <c r="C322" s="9"/>
      <c r="D322" s="9"/>
      <c r="E322" s="9"/>
      <c r="F322" s="9"/>
      <c r="G322" s="19"/>
      <c r="H322" s="19"/>
      <c r="I322" s="19"/>
      <c r="J322" s="19"/>
      <c r="K322" s="19"/>
    </row>
    <row r="323" spans="1:11" x14ac:dyDescent="0.2">
      <c r="A323" s="21"/>
      <c r="B323" s="9"/>
      <c r="C323" s="9"/>
      <c r="D323" s="9"/>
      <c r="E323" s="9"/>
      <c r="F323" s="9"/>
      <c r="G323" s="19"/>
      <c r="H323" s="19"/>
      <c r="I323" s="19"/>
      <c r="J323" s="19"/>
      <c r="K323" s="19"/>
    </row>
    <row r="324" spans="1:11" x14ac:dyDescent="0.2">
      <c r="A324" s="21"/>
      <c r="B324" s="9"/>
      <c r="C324" s="9"/>
      <c r="D324" s="9"/>
      <c r="E324" s="9"/>
      <c r="F324" s="9"/>
      <c r="G324" s="19"/>
      <c r="H324" s="19"/>
      <c r="I324" s="19"/>
      <c r="J324" s="19"/>
      <c r="K324" s="19"/>
    </row>
    <row r="325" spans="1:11" x14ac:dyDescent="0.2">
      <c r="A325" s="21"/>
      <c r="B325" s="9"/>
      <c r="C325" s="9"/>
      <c r="D325" s="9"/>
      <c r="E325" s="9"/>
      <c r="F325" s="9"/>
      <c r="G325" s="19"/>
      <c r="H325" s="19"/>
      <c r="I325" s="19"/>
      <c r="J325" s="19"/>
      <c r="K325" s="19"/>
    </row>
    <row r="326" spans="1:11" x14ac:dyDescent="0.2">
      <c r="A326" s="21"/>
      <c r="B326" s="9"/>
      <c r="C326" s="9"/>
      <c r="D326" s="9"/>
      <c r="E326" s="9"/>
      <c r="F326" s="9"/>
      <c r="G326" s="19"/>
      <c r="H326" s="19"/>
      <c r="I326" s="19"/>
      <c r="J326" s="19"/>
      <c r="K326" s="19"/>
    </row>
    <row r="327" spans="1:11" x14ac:dyDescent="0.2">
      <c r="A327" s="21"/>
      <c r="B327" s="9"/>
      <c r="C327" s="9"/>
      <c r="D327" s="9"/>
      <c r="E327" s="9"/>
      <c r="F327" s="9"/>
      <c r="G327" s="19"/>
      <c r="H327" s="19"/>
      <c r="I327" s="19"/>
      <c r="J327" s="19"/>
      <c r="K327" s="19"/>
    </row>
    <row r="328" spans="1:11" x14ac:dyDescent="0.2">
      <c r="A328" s="21"/>
      <c r="B328" s="9"/>
      <c r="C328" s="9"/>
      <c r="D328" s="9"/>
      <c r="E328" s="9"/>
      <c r="F328" s="9"/>
      <c r="G328" s="19"/>
      <c r="H328" s="19"/>
      <c r="I328" s="19"/>
      <c r="J328" s="19"/>
      <c r="K328" s="19"/>
    </row>
    <row r="329" spans="1:11" x14ac:dyDescent="0.2">
      <c r="A329" s="21"/>
      <c r="B329" s="9"/>
      <c r="C329" s="9"/>
      <c r="D329" s="9"/>
      <c r="E329" s="9"/>
      <c r="F329" s="9"/>
      <c r="G329" s="19"/>
      <c r="H329" s="19"/>
      <c r="I329" s="19"/>
      <c r="J329" s="19"/>
      <c r="K329" s="19"/>
    </row>
    <row r="330" spans="1:11" x14ac:dyDescent="0.2">
      <c r="A330" s="21"/>
      <c r="B330" s="9"/>
      <c r="C330" s="9"/>
      <c r="D330" s="9"/>
      <c r="E330" s="9"/>
      <c r="F330" s="9"/>
      <c r="G330" s="19"/>
      <c r="H330" s="19"/>
      <c r="I330" s="19"/>
      <c r="J330" s="19"/>
      <c r="K330" s="19"/>
    </row>
    <row r="331" spans="1:11" x14ac:dyDescent="0.2">
      <c r="A331" s="21"/>
      <c r="B331" s="9"/>
      <c r="C331" s="9"/>
      <c r="D331" s="9"/>
      <c r="E331" s="9"/>
      <c r="F331" s="9"/>
      <c r="G331" s="19"/>
      <c r="H331" s="19"/>
      <c r="I331" s="19"/>
      <c r="J331" s="19"/>
      <c r="K331" s="19"/>
    </row>
    <row r="332" spans="1:11" x14ac:dyDescent="0.2">
      <c r="A332" s="21"/>
      <c r="B332" s="9"/>
      <c r="C332" s="9"/>
      <c r="D332" s="9"/>
      <c r="E332" s="9"/>
      <c r="F332" s="9"/>
      <c r="G332" s="19"/>
      <c r="H332" s="19"/>
      <c r="I332" s="19"/>
      <c r="J332" s="19"/>
      <c r="K332" s="19"/>
    </row>
    <row r="333" spans="1:11" x14ac:dyDescent="0.2">
      <c r="A333" s="21"/>
      <c r="B333" s="9"/>
      <c r="C333" s="9"/>
      <c r="D333" s="9"/>
      <c r="E333" s="9"/>
      <c r="F333" s="9"/>
      <c r="G333" s="19"/>
      <c r="H333" s="19"/>
      <c r="I333" s="19"/>
      <c r="J333" s="19"/>
      <c r="K333" s="19"/>
    </row>
    <row r="334" spans="1:11" x14ac:dyDescent="0.2">
      <c r="A334" s="21"/>
      <c r="B334" s="9"/>
      <c r="C334" s="9"/>
      <c r="D334" s="9"/>
      <c r="E334" s="9"/>
      <c r="F334" s="9"/>
      <c r="G334" s="19"/>
      <c r="H334" s="19"/>
      <c r="I334" s="19"/>
      <c r="J334" s="19"/>
      <c r="K334" s="19"/>
    </row>
    <row r="335" spans="1:11" x14ac:dyDescent="0.2">
      <c r="A335" s="21"/>
      <c r="B335" s="9"/>
      <c r="C335" s="9"/>
      <c r="D335" s="9"/>
      <c r="E335" s="9"/>
      <c r="F335" s="9"/>
      <c r="G335" s="19"/>
      <c r="H335" s="19"/>
      <c r="I335" s="19"/>
      <c r="J335" s="19"/>
      <c r="K335" s="19"/>
    </row>
    <row r="336" spans="1:11" x14ac:dyDescent="0.2">
      <c r="A336" s="21"/>
      <c r="B336" s="9"/>
      <c r="C336" s="9"/>
      <c r="D336" s="9"/>
      <c r="E336" s="9"/>
      <c r="F336" s="9"/>
      <c r="G336" s="19"/>
      <c r="H336" s="19"/>
      <c r="I336" s="19"/>
      <c r="J336" s="19"/>
      <c r="K336" s="19"/>
    </row>
    <row r="337" spans="1:11" x14ac:dyDescent="0.2">
      <c r="A337" s="21"/>
      <c r="B337" s="9"/>
      <c r="C337" s="9"/>
      <c r="D337" s="9"/>
      <c r="E337" s="9"/>
      <c r="F337" s="9"/>
      <c r="G337" s="19"/>
      <c r="H337" s="19"/>
      <c r="I337" s="19"/>
      <c r="J337" s="19"/>
      <c r="K337" s="19"/>
    </row>
    <row r="338" spans="1:11" x14ac:dyDescent="0.2">
      <c r="A338" s="21"/>
      <c r="B338" s="9"/>
      <c r="C338" s="9"/>
      <c r="D338" s="9"/>
      <c r="E338" s="9"/>
      <c r="F338" s="9"/>
      <c r="G338" s="19"/>
      <c r="H338" s="19"/>
      <c r="I338" s="19"/>
      <c r="J338" s="19"/>
      <c r="K338" s="19"/>
    </row>
    <row r="339" spans="1:11" x14ac:dyDescent="0.2">
      <c r="A339" s="21"/>
      <c r="B339" s="9"/>
      <c r="C339" s="9"/>
      <c r="D339" s="9"/>
      <c r="E339" s="9"/>
      <c r="F339" s="9"/>
      <c r="G339" s="19"/>
      <c r="H339" s="19"/>
      <c r="I339" s="19"/>
      <c r="J339" s="19"/>
      <c r="K339" s="19"/>
    </row>
    <row r="340" spans="1:11" x14ac:dyDescent="0.2">
      <c r="A340" s="21"/>
      <c r="B340" s="9"/>
      <c r="C340" s="9"/>
      <c r="D340" s="9"/>
      <c r="E340" s="9"/>
      <c r="F340" s="9"/>
      <c r="G340" s="19"/>
      <c r="H340" s="19"/>
      <c r="I340" s="19"/>
      <c r="J340" s="19"/>
      <c r="K340" s="19"/>
    </row>
    <row r="341" spans="1:11" x14ac:dyDescent="0.2">
      <c r="A341" s="21"/>
      <c r="B341" s="9"/>
      <c r="C341" s="9"/>
      <c r="D341" s="9"/>
      <c r="E341" s="9"/>
      <c r="F341" s="9"/>
      <c r="G341" s="19"/>
      <c r="H341" s="19"/>
      <c r="I341" s="19"/>
      <c r="J341" s="19"/>
      <c r="K341" s="19"/>
    </row>
    <row r="342" spans="1:11" x14ac:dyDescent="0.2">
      <c r="A342" s="21"/>
      <c r="B342" s="9"/>
      <c r="C342" s="9"/>
      <c r="D342" s="9"/>
      <c r="E342" s="9"/>
      <c r="F342" s="9"/>
      <c r="G342" s="19"/>
      <c r="H342" s="19"/>
      <c r="I342" s="19"/>
      <c r="J342" s="19"/>
      <c r="K342" s="19"/>
    </row>
    <row r="343" spans="1:11" x14ac:dyDescent="0.2">
      <c r="A343" s="21"/>
      <c r="B343" s="9"/>
      <c r="C343" s="9"/>
      <c r="D343" s="9"/>
      <c r="E343" s="9"/>
      <c r="F343" s="9"/>
      <c r="G343" s="19"/>
      <c r="H343" s="19"/>
      <c r="I343" s="19"/>
      <c r="J343" s="19"/>
      <c r="K343" s="19"/>
    </row>
    <row r="344" spans="1:11" x14ac:dyDescent="0.2">
      <c r="A344" s="21"/>
      <c r="B344" s="9"/>
      <c r="C344" s="9"/>
      <c r="D344" s="9"/>
      <c r="E344" s="9"/>
      <c r="F344" s="9"/>
      <c r="G344" s="19"/>
      <c r="H344" s="19"/>
      <c r="I344" s="19"/>
      <c r="J344" s="19"/>
      <c r="K344" s="19"/>
    </row>
    <row r="345" spans="1:11" x14ac:dyDescent="0.2">
      <c r="A345" s="21"/>
      <c r="B345" s="9"/>
      <c r="C345" s="9"/>
      <c r="D345" s="9"/>
      <c r="E345" s="9"/>
      <c r="F345" s="9"/>
      <c r="G345" s="19"/>
      <c r="H345" s="19"/>
      <c r="I345" s="19"/>
      <c r="J345" s="19"/>
      <c r="K345" s="19"/>
    </row>
    <row r="346" spans="1:11" x14ac:dyDescent="0.2">
      <c r="A346" s="21"/>
      <c r="B346" s="9"/>
      <c r="C346" s="9"/>
      <c r="D346" s="9"/>
      <c r="E346" s="9"/>
      <c r="F346" s="9"/>
      <c r="G346" s="19"/>
      <c r="H346" s="19"/>
      <c r="I346" s="19"/>
      <c r="J346" s="19"/>
      <c r="K346" s="19"/>
    </row>
    <row r="347" spans="1:11" x14ac:dyDescent="0.2">
      <c r="A347" s="21"/>
      <c r="B347" s="9"/>
      <c r="C347" s="9"/>
      <c r="D347" s="9"/>
      <c r="E347" s="9"/>
      <c r="F347" s="9"/>
      <c r="G347" s="19"/>
      <c r="H347" s="19"/>
      <c r="I347" s="19"/>
      <c r="J347" s="19"/>
      <c r="K347" s="19"/>
    </row>
    <row r="348" spans="1:11" x14ac:dyDescent="0.2">
      <c r="A348" s="21"/>
      <c r="B348" s="9"/>
      <c r="C348" s="9"/>
      <c r="D348" s="9"/>
      <c r="E348" s="9"/>
      <c r="F348" s="9"/>
      <c r="G348" s="19"/>
      <c r="H348" s="19"/>
      <c r="I348" s="19"/>
      <c r="J348" s="19"/>
      <c r="K348" s="19"/>
    </row>
    <row r="349" spans="1:11" x14ac:dyDescent="0.2">
      <c r="A349" s="21"/>
      <c r="B349" s="9"/>
      <c r="C349" s="9"/>
      <c r="D349" s="9"/>
      <c r="E349" s="9"/>
      <c r="F349" s="9"/>
      <c r="G349" s="19"/>
      <c r="H349" s="19"/>
      <c r="I349" s="19"/>
      <c r="J349" s="19"/>
      <c r="K349" s="19"/>
    </row>
    <row r="350" spans="1:11" x14ac:dyDescent="0.2">
      <c r="A350" s="21"/>
      <c r="B350" s="9"/>
      <c r="C350" s="9"/>
      <c r="D350" s="9"/>
      <c r="E350" s="9"/>
      <c r="F350" s="9"/>
      <c r="G350" s="19"/>
      <c r="H350" s="19"/>
      <c r="I350" s="19"/>
      <c r="J350" s="19"/>
      <c r="K350" s="19"/>
    </row>
    <row r="351" spans="1:11" x14ac:dyDescent="0.2">
      <c r="A351" s="21"/>
      <c r="B351" s="9"/>
      <c r="C351" s="9"/>
      <c r="D351" s="9"/>
      <c r="E351" s="9"/>
      <c r="F351" s="9"/>
      <c r="G351" s="19"/>
      <c r="H351" s="19"/>
      <c r="I351" s="19"/>
      <c r="J351" s="19"/>
      <c r="K351" s="19"/>
    </row>
    <row r="352" spans="1:11" x14ac:dyDescent="0.2">
      <c r="A352" s="21"/>
      <c r="B352" s="9"/>
      <c r="C352" s="9"/>
      <c r="D352" s="9"/>
      <c r="E352" s="9"/>
      <c r="F352" s="9"/>
      <c r="G352" s="19"/>
      <c r="H352" s="19"/>
      <c r="I352" s="19"/>
      <c r="J352" s="19"/>
      <c r="K352" s="19"/>
    </row>
    <row r="353" spans="1:11" x14ac:dyDescent="0.2">
      <c r="A353" s="21"/>
      <c r="B353" s="9"/>
      <c r="C353" s="9"/>
      <c r="D353" s="9"/>
      <c r="E353" s="9"/>
      <c r="F353" s="9"/>
      <c r="G353" s="19"/>
      <c r="H353" s="19"/>
      <c r="I353" s="19"/>
      <c r="J353" s="19"/>
      <c r="K353" s="19"/>
    </row>
    <row r="354" spans="1:11" x14ac:dyDescent="0.2">
      <c r="A354" s="21"/>
      <c r="B354" s="9"/>
      <c r="C354" s="9"/>
      <c r="D354" s="9"/>
      <c r="E354" s="9"/>
      <c r="F354" s="9"/>
      <c r="G354" s="19"/>
      <c r="H354" s="19"/>
      <c r="I354" s="19"/>
      <c r="J354" s="19"/>
      <c r="K354" s="19"/>
    </row>
    <row r="355" spans="1:11" x14ac:dyDescent="0.2">
      <c r="A355" s="21"/>
      <c r="B355" s="9"/>
      <c r="C355" s="9"/>
      <c r="D355" s="9"/>
      <c r="E355" s="9"/>
      <c r="F355" s="9"/>
      <c r="G355" s="19"/>
      <c r="H355" s="19"/>
      <c r="I355" s="19"/>
      <c r="J355" s="19"/>
      <c r="K355" s="19"/>
    </row>
    <row r="356" spans="1:11" x14ac:dyDescent="0.2">
      <c r="A356" s="21"/>
      <c r="B356" s="9"/>
      <c r="C356" s="9"/>
      <c r="D356" s="9"/>
      <c r="E356" s="9"/>
      <c r="F356" s="9"/>
      <c r="G356" s="19"/>
      <c r="H356" s="19"/>
      <c r="I356" s="19"/>
      <c r="J356" s="19"/>
      <c r="K356" s="19"/>
    </row>
    <row r="357" spans="1:11" x14ac:dyDescent="0.2">
      <c r="A357" s="21"/>
      <c r="B357" s="9"/>
      <c r="C357" s="9"/>
      <c r="D357" s="9"/>
      <c r="E357" s="9"/>
      <c r="F357" s="9"/>
      <c r="G357" s="19"/>
      <c r="H357" s="19"/>
      <c r="I357" s="19"/>
      <c r="J357" s="19"/>
      <c r="K357" s="19"/>
    </row>
    <row r="358" spans="1:11" x14ac:dyDescent="0.2">
      <c r="A358" s="21"/>
      <c r="B358" s="9"/>
      <c r="C358" s="9"/>
      <c r="D358" s="9"/>
      <c r="E358" s="9"/>
      <c r="F358" s="9"/>
      <c r="G358" s="19"/>
      <c r="H358" s="19"/>
      <c r="I358" s="19"/>
      <c r="J358" s="19"/>
      <c r="K358" s="19"/>
    </row>
    <row r="359" spans="1:11" x14ac:dyDescent="0.2">
      <c r="A359" s="21"/>
      <c r="B359" s="9"/>
      <c r="C359" s="9"/>
      <c r="D359" s="9"/>
      <c r="E359" s="9"/>
      <c r="F359" s="9"/>
      <c r="G359" s="19"/>
      <c r="H359" s="19"/>
      <c r="I359" s="19"/>
      <c r="J359" s="19"/>
      <c r="K359" s="19"/>
    </row>
    <row r="360" spans="1:11" x14ac:dyDescent="0.2">
      <c r="A360" s="21"/>
      <c r="B360" s="9"/>
      <c r="C360" s="9"/>
      <c r="D360" s="9"/>
      <c r="E360" s="9"/>
      <c r="F360" s="9"/>
      <c r="G360" s="19"/>
      <c r="H360" s="19"/>
      <c r="I360" s="19"/>
      <c r="J360" s="19"/>
      <c r="K360" s="19"/>
    </row>
    <row r="361" spans="1:11" x14ac:dyDescent="0.2">
      <c r="A361" s="21"/>
      <c r="B361" s="9"/>
      <c r="C361" s="9"/>
      <c r="D361" s="9"/>
      <c r="E361" s="9"/>
      <c r="F361" s="9"/>
      <c r="G361" s="19"/>
      <c r="H361" s="19"/>
      <c r="I361" s="19"/>
      <c r="J361" s="19"/>
      <c r="K361" s="19"/>
    </row>
    <row r="362" spans="1:11" x14ac:dyDescent="0.2">
      <c r="A362" s="21"/>
      <c r="B362" s="9"/>
      <c r="C362" s="9"/>
      <c r="D362" s="9"/>
      <c r="E362" s="9"/>
      <c r="F362" s="9"/>
      <c r="G362" s="19"/>
      <c r="H362" s="19"/>
      <c r="I362" s="19"/>
      <c r="J362" s="19"/>
      <c r="K362" s="19"/>
    </row>
    <row r="363" spans="1:11" x14ac:dyDescent="0.2">
      <c r="A363" s="21"/>
      <c r="B363" s="9"/>
      <c r="C363" s="9"/>
      <c r="D363" s="9"/>
      <c r="E363" s="9"/>
      <c r="F363" s="9"/>
      <c r="G363" s="19"/>
      <c r="H363" s="19"/>
      <c r="I363" s="19"/>
      <c r="J363" s="19"/>
      <c r="K363" s="19"/>
    </row>
    <row r="364" spans="1:11" x14ac:dyDescent="0.2">
      <c r="A364" s="21"/>
      <c r="B364" s="9"/>
      <c r="C364" s="9"/>
      <c r="D364" s="9"/>
      <c r="E364" s="9"/>
      <c r="F364" s="9"/>
      <c r="G364" s="19"/>
      <c r="H364" s="19"/>
      <c r="I364" s="19"/>
      <c r="J364" s="19"/>
      <c r="K364" s="19"/>
    </row>
    <row r="365" spans="1:11" x14ac:dyDescent="0.2">
      <c r="A365" s="21"/>
      <c r="B365" s="9"/>
      <c r="C365" s="9"/>
      <c r="D365" s="9"/>
      <c r="E365" s="9"/>
      <c r="F365" s="9"/>
      <c r="G365" s="19"/>
      <c r="H365" s="19"/>
      <c r="I365" s="19"/>
      <c r="J365" s="19"/>
      <c r="K365" s="19"/>
    </row>
    <row r="366" spans="1:11" x14ac:dyDescent="0.2">
      <c r="A366" s="21"/>
      <c r="B366" s="9"/>
      <c r="C366" s="9"/>
      <c r="D366" s="9"/>
      <c r="E366" s="9"/>
      <c r="F366" s="9"/>
      <c r="G366" s="19"/>
      <c r="H366" s="19"/>
      <c r="I366" s="19"/>
      <c r="J366" s="19"/>
      <c r="K366" s="19"/>
    </row>
    <row r="367" spans="1:11" x14ac:dyDescent="0.2">
      <c r="A367" s="21"/>
      <c r="B367" s="9"/>
      <c r="C367" s="9"/>
      <c r="D367" s="9"/>
      <c r="E367" s="9"/>
      <c r="F367" s="9"/>
      <c r="G367" s="19"/>
      <c r="H367" s="19"/>
      <c r="I367" s="19"/>
      <c r="J367" s="19"/>
      <c r="K367" s="19"/>
    </row>
    <row r="368" spans="1:11" x14ac:dyDescent="0.2">
      <c r="A368" s="21"/>
      <c r="B368" s="9"/>
      <c r="C368" s="9"/>
      <c r="D368" s="9"/>
      <c r="E368" s="9"/>
      <c r="F368" s="9"/>
      <c r="G368" s="19"/>
      <c r="H368" s="19"/>
      <c r="I368" s="19"/>
      <c r="J368" s="19"/>
      <c r="K368" s="19"/>
    </row>
    <row r="369" spans="1:11" x14ac:dyDescent="0.2">
      <c r="A369" s="21"/>
      <c r="B369" s="9"/>
      <c r="C369" s="9"/>
      <c r="D369" s="9"/>
      <c r="E369" s="9"/>
      <c r="F369" s="9"/>
      <c r="G369" s="19"/>
      <c r="H369" s="19"/>
      <c r="I369" s="19"/>
      <c r="J369" s="19"/>
      <c r="K369" s="19"/>
    </row>
    <row r="370" spans="1:11" x14ac:dyDescent="0.2">
      <c r="A370" s="21"/>
      <c r="B370" s="9"/>
      <c r="C370" s="9"/>
      <c r="D370" s="9"/>
      <c r="E370" s="9"/>
      <c r="F370" s="9"/>
      <c r="G370" s="19"/>
      <c r="H370" s="19"/>
      <c r="I370" s="19"/>
      <c r="J370" s="19"/>
      <c r="K370" s="19"/>
    </row>
    <row r="371" spans="1:11" x14ac:dyDescent="0.2">
      <c r="A371" s="21"/>
      <c r="B371" s="9"/>
      <c r="C371" s="9"/>
      <c r="D371" s="9"/>
      <c r="E371" s="9"/>
      <c r="F371" s="9"/>
      <c r="G371" s="19"/>
      <c r="H371" s="19"/>
      <c r="I371" s="19"/>
      <c r="J371" s="19"/>
      <c r="K371" s="19"/>
    </row>
    <row r="372" spans="1:11" x14ac:dyDescent="0.2">
      <c r="A372" s="21"/>
      <c r="B372" s="9"/>
      <c r="C372" s="9"/>
      <c r="D372" s="9"/>
      <c r="E372" s="9"/>
      <c r="F372" s="9"/>
      <c r="G372" s="19"/>
      <c r="H372" s="19"/>
      <c r="I372" s="19"/>
      <c r="J372" s="19"/>
      <c r="K372" s="19"/>
    </row>
    <row r="373" spans="1:11" x14ac:dyDescent="0.2">
      <c r="A373" s="21"/>
      <c r="B373" s="9"/>
      <c r="C373" s="9"/>
      <c r="D373" s="9"/>
      <c r="E373" s="9"/>
      <c r="F373" s="9"/>
      <c r="G373" s="19"/>
      <c r="H373" s="19"/>
      <c r="I373" s="19"/>
      <c r="J373" s="19"/>
      <c r="K373" s="19"/>
    </row>
    <row r="374" spans="1:11" x14ac:dyDescent="0.2">
      <c r="A374" s="21"/>
      <c r="B374" s="9"/>
      <c r="C374" s="9"/>
      <c r="D374" s="9"/>
      <c r="E374" s="9"/>
      <c r="F374" s="9"/>
      <c r="G374" s="19"/>
      <c r="H374" s="19"/>
      <c r="I374" s="19"/>
      <c r="J374" s="19"/>
      <c r="K374" s="19"/>
    </row>
    <row r="375" spans="1:11" x14ac:dyDescent="0.2">
      <c r="A375" s="21"/>
      <c r="B375" s="9"/>
      <c r="C375" s="9"/>
      <c r="D375" s="9"/>
      <c r="E375" s="9"/>
      <c r="F375" s="9"/>
      <c r="G375" s="19"/>
      <c r="H375" s="19"/>
      <c r="I375" s="19"/>
      <c r="J375" s="19"/>
      <c r="K375" s="19"/>
    </row>
    <row r="376" spans="1:11" x14ac:dyDescent="0.2">
      <c r="A376" s="21"/>
      <c r="B376" s="9"/>
      <c r="C376" s="9"/>
      <c r="D376" s="9"/>
      <c r="E376" s="9"/>
      <c r="F376" s="9"/>
      <c r="G376" s="19"/>
      <c r="H376" s="19"/>
      <c r="I376" s="19"/>
      <c r="J376" s="19"/>
      <c r="K376" s="19"/>
    </row>
    <row r="377" spans="1:11" x14ac:dyDescent="0.2">
      <c r="B377" s="19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x14ac:dyDescent="0.2">
      <c r="B378" s="19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x14ac:dyDescent="0.2"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2" spans="1:11" x14ac:dyDescent="0.2"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spans="1:11" x14ac:dyDescent="0.2">
      <c r="B383" s="9"/>
      <c r="C383" s="9"/>
      <c r="D383" s="9"/>
      <c r="E383" s="9"/>
      <c r="F383" s="9"/>
      <c r="G383" s="9"/>
      <c r="H383" s="9"/>
      <c r="I383" s="9"/>
      <c r="J383" s="9"/>
      <c r="K383" s="9"/>
    </row>
    <row r="384" spans="1:11" x14ac:dyDescent="0.2"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2:11" x14ac:dyDescent="0.2"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spans="2:11" x14ac:dyDescent="0.2"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spans="2:11" x14ac:dyDescent="0.2"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spans="2:11" x14ac:dyDescent="0.2"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spans="2:11" x14ac:dyDescent="0.2">
      <c r="B389" s="9"/>
      <c r="C389" s="9"/>
      <c r="D389" s="9"/>
      <c r="E389" s="9"/>
      <c r="F389" s="9"/>
      <c r="G389" s="9"/>
      <c r="H389" s="9"/>
      <c r="I389" s="9"/>
      <c r="J389" s="9"/>
      <c r="K389" s="9"/>
    </row>
    <row r="390" spans="2:11" x14ac:dyDescent="0.2"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spans="2:11" x14ac:dyDescent="0.2">
      <c r="B391" s="9"/>
      <c r="C391" s="9"/>
      <c r="D391" s="9"/>
      <c r="E391" s="9"/>
      <c r="F391" s="9"/>
      <c r="G391" s="9"/>
      <c r="H391" s="9"/>
      <c r="I391" s="9"/>
      <c r="J391" s="9"/>
      <c r="K391" s="9"/>
    </row>
    <row r="392" spans="2:11" x14ac:dyDescent="0.2"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spans="2:11" x14ac:dyDescent="0.2">
      <c r="B393" s="9"/>
      <c r="C393" s="9"/>
      <c r="D393" s="9"/>
      <c r="E393" s="9"/>
      <c r="F393" s="9"/>
      <c r="G393" s="9"/>
      <c r="H393" s="9"/>
      <c r="I393" s="9"/>
      <c r="J393" s="9"/>
      <c r="K393" s="9"/>
    </row>
    <row r="394" spans="2:11" x14ac:dyDescent="0.2"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spans="2:11" x14ac:dyDescent="0.2">
      <c r="B395" s="9"/>
      <c r="C395" s="9"/>
      <c r="D395" s="9"/>
      <c r="E395" s="9"/>
      <c r="F395" s="9"/>
      <c r="G395" s="9"/>
      <c r="H395" s="9"/>
      <c r="I395" s="9"/>
      <c r="J395" s="9"/>
      <c r="K395" s="9"/>
    </row>
    <row r="396" spans="2:11" x14ac:dyDescent="0.2"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2:11" x14ac:dyDescent="0.2">
      <c r="B397" s="9"/>
      <c r="C397" s="9"/>
      <c r="D397" s="9"/>
      <c r="E397" s="9"/>
      <c r="F397" s="9"/>
      <c r="G397" s="9"/>
      <c r="H397" s="9"/>
      <c r="I397" s="9"/>
      <c r="J397" s="9"/>
      <c r="K397" s="9"/>
    </row>
    <row r="398" spans="2:11" x14ac:dyDescent="0.2"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2:11" x14ac:dyDescent="0.2">
      <c r="B399" s="9"/>
      <c r="C399" s="9"/>
      <c r="D399" s="9"/>
      <c r="E399" s="9"/>
      <c r="F399" s="9"/>
      <c r="G399" s="9"/>
      <c r="H399" s="9"/>
      <c r="I399" s="9"/>
      <c r="J399" s="9"/>
      <c r="K399" s="9"/>
    </row>
    <row r="400" spans="2:11" x14ac:dyDescent="0.2"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2:11" x14ac:dyDescent="0.2">
      <c r="B401" s="9"/>
      <c r="C401" s="9"/>
      <c r="D401" s="9"/>
      <c r="E401" s="9"/>
      <c r="F401" s="9"/>
      <c r="G401" s="9"/>
      <c r="H401" s="9"/>
      <c r="I401" s="9"/>
      <c r="J401" s="9"/>
      <c r="K401" s="9"/>
    </row>
    <row r="402" spans="2:11" x14ac:dyDescent="0.2"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2:11" x14ac:dyDescent="0.2">
      <c r="B403" s="9"/>
      <c r="C403" s="9"/>
      <c r="D403" s="9"/>
      <c r="E403" s="9"/>
      <c r="F403" s="9"/>
      <c r="G403" s="9"/>
      <c r="H403" s="9"/>
      <c r="I403" s="9"/>
      <c r="J403" s="9"/>
      <c r="K403" s="9"/>
    </row>
    <row r="404" spans="2:11" x14ac:dyDescent="0.2"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2:11" x14ac:dyDescent="0.2"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spans="2:11" x14ac:dyDescent="0.2"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2:11" x14ac:dyDescent="0.2">
      <c r="B407" s="9"/>
      <c r="C407" s="9"/>
      <c r="D407" s="9"/>
      <c r="E407" s="9"/>
      <c r="F407" s="9"/>
      <c r="G407" s="9"/>
      <c r="H407" s="9"/>
      <c r="I407" s="9"/>
      <c r="J407" s="9"/>
      <c r="K407" s="9"/>
    </row>
    <row r="408" spans="2:11" x14ac:dyDescent="0.2"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spans="2:11" x14ac:dyDescent="0.2">
      <c r="B409" s="9"/>
      <c r="C409" s="9"/>
      <c r="D409" s="9"/>
      <c r="E409" s="9"/>
      <c r="F409" s="9"/>
      <c r="G409" s="9"/>
      <c r="H409" s="9"/>
      <c r="I409" s="9"/>
      <c r="J409" s="9"/>
      <c r="K409" s="9"/>
    </row>
    <row r="410" spans="2:11" x14ac:dyDescent="0.2">
      <c r="B410" s="9"/>
      <c r="C410" s="9"/>
      <c r="D410" s="9"/>
      <c r="E410" s="9"/>
      <c r="F410" s="9"/>
      <c r="G410" s="9"/>
      <c r="H410" s="9"/>
      <c r="I410" s="9"/>
      <c r="J410" s="9"/>
      <c r="K410" s="9"/>
    </row>
  </sheetData>
  <mergeCells count="20">
    <mergeCell ref="A2:P2"/>
    <mergeCell ref="C5:C6"/>
    <mergeCell ref="P5:P6"/>
    <mergeCell ref="G4:K4"/>
    <mergeCell ref="L4:P4"/>
    <mergeCell ref="N5:N6"/>
    <mergeCell ref="J5:J6"/>
    <mergeCell ref="O5:O6"/>
    <mergeCell ref="K5:K6"/>
    <mergeCell ref="I5:I6"/>
    <mergeCell ref="H5:H6"/>
    <mergeCell ref="M5:M6"/>
    <mergeCell ref="A4:A6"/>
    <mergeCell ref="B5:B6"/>
    <mergeCell ref="D5:D6"/>
    <mergeCell ref="G5:G6"/>
    <mergeCell ref="L5:L6"/>
    <mergeCell ref="B4:F4"/>
    <mergeCell ref="E5:E6"/>
    <mergeCell ref="F5:F6"/>
  </mergeCells>
  <phoneticPr fontId="0" type="noConversion"/>
  <printOptions horizontalCentered="1"/>
  <pageMargins left="0.511811023622047" right="0.511811023622047" top="0.511811023622047" bottom="0.23622047244094499" header="0.23622047244094499" footer="0.23622047244094499"/>
  <pageSetup paperSize="9" scale="59" orientation="landscape" r:id="rId1"/>
  <headerFooter alignWithMargins="0"/>
  <rowBreaks count="1" manualBreakCount="1">
    <brk id="4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P411"/>
  <sheetViews>
    <sheetView tabSelected="1" view="pageBreakPreview" zoomScale="70" zoomScaleNormal="75" zoomScaleSheetLayoutView="70" workbookViewId="0">
      <pane xSplit="1" ySplit="7" topLeftCell="G41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6" style="4" customWidth="1"/>
    <col min="2" max="5" width="12.140625" style="4" customWidth="1"/>
    <col min="6" max="6" width="13" style="4" bestFit="1" customWidth="1"/>
    <col min="7" max="10" width="12.140625" style="4" customWidth="1"/>
    <col min="11" max="11" width="13" style="4" bestFit="1" customWidth="1"/>
    <col min="12" max="16" width="12.140625" style="4" customWidth="1"/>
    <col min="17" max="16384" width="9.140625" style="4"/>
  </cols>
  <sheetData>
    <row r="2" spans="1:16" ht="18" x14ac:dyDescent="0.2">
      <c r="A2" s="344" t="s">
        <v>171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6" ht="12.7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6" ht="18" x14ac:dyDescent="0.2">
      <c r="A4" s="340" t="s">
        <v>88</v>
      </c>
      <c r="B4" s="342" t="s">
        <v>174</v>
      </c>
      <c r="C4" s="342"/>
      <c r="D4" s="342"/>
      <c r="E4" s="342"/>
      <c r="F4" s="342"/>
      <c r="G4" s="342" t="s">
        <v>68</v>
      </c>
      <c r="H4" s="342"/>
      <c r="I4" s="342"/>
      <c r="J4" s="342"/>
      <c r="K4" s="342"/>
      <c r="L4" s="342" t="s">
        <v>89</v>
      </c>
      <c r="M4" s="342"/>
      <c r="N4" s="342"/>
      <c r="O4" s="342"/>
      <c r="P4" s="342"/>
    </row>
    <row r="5" spans="1:16" ht="15" customHeight="1" x14ac:dyDescent="0.2">
      <c r="A5" s="340"/>
      <c r="B5" s="341" t="s">
        <v>112</v>
      </c>
      <c r="C5" s="341" t="s">
        <v>164</v>
      </c>
      <c r="D5" s="341" t="s">
        <v>199</v>
      </c>
      <c r="E5" s="341" t="s">
        <v>200</v>
      </c>
      <c r="F5" s="341" t="s">
        <v>202</v>
      </c>
      <c r="G5" s="341" t="s">
        <v>112</v>
      </c>
      <c r="H5" s="341" t="s">
        <v>164</v>
      </c>
      <c r="I5" s="341" t="s">
        <v>199</v>
      </c>
      <c r="J5" s="341" t="s">
        <v>200</v>
      </c>
      <c r="K5" s="341" t="s">
        <v>202</v>
      </c>
      <c r="L5" s="341" t="s">
        <v>112</v>
      </c>
      <c r="M5" s="341" t="s">
        <v>164</v>
      </c>
      <c r="N5" s="341" t="s">
        <v>199</v>
      </c>
      <c r="O5" s="341" t="s">
        <v>200</v>
      </c>
      <c r="P5" s="341" t="s">
        <v>202</v>
      </c>
    </row>
    <row r="6" spans="1:16" ht="15.75" customHeight="1" x14ac:dyDescent="0.2">
      <c r="A6" s="340"/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</row>
    <row r="7" spans="1:16" s="14" customFormat="1" ht="15.75" customHeight="1" x14ac:dyDescent="0.2">
      <c r="A7" s="246">
        <v>1</v>
      </c>
      <c r="B7" s="246">
        <v>2</v>
      </c>
      <c r="C7" s="246">
        <v>3</v>
      </c>
      <c r="D7" s="246">
        <v>4</v>
      </c>
      <c r="E7" s="246">
        <v>5</v>
      </c>
      <c r="F7" s="246">
        <v>6</v>
      </c>
      <c r="G7" s="246">
        <v>7</v>
      </c>
      <c r="H7" s="246">
        <v>8</v>
      </c>
      <c r="I7" s="246">
        <v>9</v>
      </c>
      <c r="J7" s="246">
        <v>10</v>
      </c>
      <c r="K7" s="246">
        <v>11</v>
      </c>
      <c r="L7" s="246">
        <v>12</v>
      </c>
      <c r="M7" s="246">
        <v>13</v>
      </c>
      <c r="N7" s="246">
        <v>14</v>
      </c>
      <c r="O7" s="246">
        <v>15</v>
      </c>
      <c r="P7" s="246">
        <v>16</v>
      </c>
    </row>
    <row r="8" spans="1:16" ht="20.25" customHeight="1" x14ac:dyDescent="0.2">
      <c r="A8" s="199" t="s">
        <v>2</v>
      </c>
      <c r="B8" s="76">
        <f>'Kharif CC U'!B8+'Rabi CC U'!B8</f>
        <v>452</v>
      </c>
      <c r="C8" s="76">
        <f>'Kharif CC U'!C8+'Rabi CC U'!C8</f>
        <v>580</v>
      </c>
      <c r="D8" s="76">
        <f>'Kharif CC U'!D8+'Rabi CC U'!D8</f>
        <v>489</v>
      </c>
      <c r="E8" s="76">
        <f>'Kharif CC U'!E8+'Rabi CC U'!E8</f>
        <v>537</v>
      </c>
      <c r="F8" s="76">
        <f>'Kharif CC U'!F8+'Rabi CC U'!F8</f>
        <v>507</v>
      </c>
      <c r="G8" s="76">
        <f>'Kharif CC U'!G8+'Rabi CC U'!G8</f>
        <v>1982</v>
      </c>
      <c r="H8" s="76">
        <f>'Kharif CC U'!H8+'Rabi CC U'!H8</f>
        <v>2776.1410000000001</v>
      </c>
      <c r="I8" s="76">
        <f>'Kharif CC U'!I8+'Rabi CC U'!I8</f>
        <v>1864.5459999999998</v>
      </c>
      <c r="J8" s="76">
        <f>'Kharif CC U'!J8+'Rabi CC U'!J8</f>
        <v>2531.1729999999998</v>
      </c>
      <c r="K8" s="76">
        <f>'Kharif CC U'!K8+'Rabi CC U'!K8</f>
        <v>2321.569</v>
      </c>
      <c r="L8" s="99">
        <f>G8/B8*1000</f>
        <v>4384.9557522123887</v>
      </c>
      <c r="M8" s="99">
        <f t="shared" ref="M8:P8" si="0">H8/C8*1000</f>
        <v>4786.4500000000007</v>
      </c>
      <c r="N8" s="99">
        <f t="shared" si="0"/>
        <v>3812.9775051124743</v>
      </c>
      <c r="O8" s="99">
        <f t="shared" si="0"/>
        <v>4713.5437616387326</v>
      </c>
      <c r="P8" s="99">
        <f t="shared" si="0"/>
        <v>4579.0315581854038</v>
      </c>
    </row>
    <row r="9" spans="1:16" ht="20.25" customHeight="1" x14ac:dyDescent="0.2">
      <c r="A9" s="199" t="s">
        <v>24</v>
      </c>
      <c r="B9" s="76">
        <f>'Kharif CC U'!B9+'Rabi CC U'!B9</f>
        <v>55.581000000000003</v>
      </c>
      <c r="C9" s="76">
        <f>'Kharif CC U'!C9+'Rabi CC U'!C9</f>
        <v>77.561999999999998</v>
      </c>
      <c r="D9" s="76">
        <f>'Kharif CC U'!D9+'Rabi CC U'!D9</f>
        <v>77.775000000000006</v>
      </c>
      <c r="E9" s="76">
        <f>'Kharif CC U'!E9+'Rabi CC U'!E9</f>
        <v>78.516000000000005</v>
      </c>
      <c r="F9" s="76">
        <f>'Kharif CC U'!F9+'Rabi CC U'!F9</f>
        <v>77.983000000000004</v>
      </c>
      <c r="G9" s="76">
        <f>'Kharif CC U'!G9+'Rabi CC U'!G9</f>
        <v>102.47999999999999</v>
      </c>
      <c r="H9" s="76">
        <f>'Kharif CC U'!H9+'Rabi CC U'!H9</f>
        <v>104.53830500000001</v>
      </c>
      <c r="I9" s="76">
        <f>'Kharif CC U'!I9+'Rabi CC U'!I9</f>
        <v>105.42082499999999</v>
      </c>
      <c r="J9" s="76">
        <f>'Kharif CC U'!J9+'Rabi CC U'!J9</f>
        <v>107.63196000000001</v>
      </c>
      <c r="K9" s="76">
        <f>'Kharif CC U'!K9+'Rabi CC U'!K9</f>
        <v>107.949358</v>
      </c>
      <c r="L9" s="99">
        <f t="shared" ref="L9:L44" si="1">G9/B9*1000</f>
        <v>1843.7955416419277</v>
      </c>
      <c r="M9" s="99">
        <f t="shared" ref="M9:M44" si="2">H9/C9*1000</f>
        <v>1347.8031123488308</v>
      </c>
      <c r="N9" s="99">
        <f t="shared" ref="N9:N44" si="3">I9/D9*1000</f>
        <v>1355.4590163934424</v>
      </c>
      <c r="O9" s="99">
        <f t="shared" ref="O9:O44" si="4">J9/E9*1000</f>
        <v>1370.8283661928779</v>
      </c>
      <c r="P9" s="99">
        <f t="shared" ref="P9:P44" si="5">K9/F9*1000</f>
        <v>1384.2678276034519</v>
      </c>
    </row>
    <row r="10" spans="1:16" ht="20.25" customHeight="1" x14ac:dyDescent="0.2">
      <c r="A10" s="199" t="s">
        <v>25</v>
      </c>
      <c r="B10" s="76">
        <f>'Kharif CC U'!B10</f>
        <v>36.082000000000001</v>
      </c>
      <c r="C10" s="76">
        <f>'Kharif CC U'!C10</f>
        <v>36.769999999999996</v>
      </c>
      <c r="D10" s="76">
        <f>'Kharif CC U'!D10</f>
        <v>37.474000000000004</v>
      </c>
      <c r="E10" s="76">
        <f>'Kharif CC U'!E10</f>
        <v>41.847999999999999</v>
      </c>
      <c r="F10" s="76">
        <f>'Kharif CC U'!F10</f>
        <v>46.127000000000002</v>
      </c>
      <c r="G10" s="76">
        <f>'Kharif CC U'!G10</f>
        <v>94.146000000000001</v>
      </c>
      <c r="H10" s="76">
        <f>'Kharif CC U'!H10</f>
        <v>101.829956</v>
      </c>
      <c r="I10" s="76">
        <f>'Kharif CC U'!I10</f>
        <v>108.045326</v>
      </c>
      <c r="J10" s="76">
        <f>'Kharif CC U'!J10</f>
        <v>131.269048</v>
      </c>
      <c r="K10" s="76">
        <f>'Kharif CC U'!K10</f>
        <v>151.16976400000004</v>
      </c>
      <c r="L10" s="99">
        <f t="shared" si="1"/>
        <v>2609.2234355080091</v>
      </c>
      <c r="M10" s="99">
        <f t="shared" si="2"/>
        <v>2769.3760130541204</v>
      </c>
      <c r="N10" s="99">
        <f t="shared" si="3"/>
        <v>2883.2077173506964</v>
      </c>
      <c r="O10" s="99">
        <f t="shared" si="4"/>
        <v>3136.8057732747084</v>
      </c>
      <c r="P10" s="99">
        <f t="shared" si="5"/>
        <v>3277.251154421489</v>
      </c>
    </row>
    <row r="11" spans="1:16" ht="20.25" customHeight="1" x14ac:dyDescent="0.2">
      <c r="A11" s="199" t="s">
        <v>40</v>
      </c>
      <c r="B11" s="76">
        <f>'Kharif CC U'!B11+'Rabi CC U'!B10</f>
        <v>745.07099999999991</v>
      </c>
      <c r="C11" s="76">
        <f>'Kharif CC U'!C11+'Rabi CC U'!C10</f>
        <v>702.17399999999998</v>
      </c>
      <c r="D11" s="76">
        <f>'Kharif CC U'!D11+'Rabi CC U'!D10</f>
        <v>699.76800000000003</v>
      </c>
      <c r="E11" s="76">
        <f>'Kharif CC U'!E11+'Rabi CC U'!E10</f>
        <v>689.18099999999993</v>
      </c>
      <c r="F11" s="76">
        <f>'Kharif CC U'!F11+'Rabi CC U'!F10</f>
        <v>667.12900000000002</v>
      </c>
      <c r="G11" s="76">
        <f>'Kharif CC U'!G11+'Rabi CC U'!G10</f>
        <v>2719.09114</v>
      </c>
      <c r="H11" s="76">
        <f>'Kharif CC U'!H11+'Rabi CC U'!H10</f>
        <v>2385.2471579999997</v>
      </c>
      <c r="I11" s="76">
        <f>'Kharif CC U'!I11+'Rabi CC U'!I10</f>
        <v>2525.4468344500001</v>
      </c>
      <c r="J11" s="76">
        <f>'Kharif CC U'!J11+'Rabi CC U'!J10</f>
        <v>2020.881965</v>
      </c>
      <c r="K11" s="76">
        <f>'Kharif CC U'!K11+'Rabi CC U'!K10</f>
        <v>2109.0826510000002</v>
      </c>
      <c r="L11" s="99">
        <f t="shared" si="1"/>
        <v>3649.4389662193271</v>
      </c>
      <c r="M11" s="99">
        <f t="shared" si="2"/>
        <v>3396.9459962915171</v>
      </c>
      <c r="N11" s="99">
        <f t="shared" si="3"/>
        <v>3608.9773102656882</v>
      </c>
      <c r="O11" s="99">
        <f t="shared" si="4"/>
        <v>2932.2949486419388</v>
      </c>
      <c r="P11" s="99">
        <f t="shared" si="5"/>
        <v>3161.4315237382875</v>
      </c>
    </row>
    <row r="12" spans="1:16" ht="20.25" customHeight="1" x14ac:dyDescent="0.2">
      <c r="A12" s="199" t="s">
        <v>47</v>
      </c>
      <c r="B12" s="76">
        <f>'Kharif CC U'!B12+'Rabi CC U'!B11</f>
        <v>222.50000000000003</v>
      </c>
      <c r="C12" s="76">
        <f>'Kharif CC U'!C12+'Rabi CC U'!C11</f>
        <v>233.27</v>
      </c>
      <c r="D12" s="76">
        <f>'Kharif CC U'!D12+'Rabi CC U'!D11</f>
        <v>217.75</v>
      </c>
      <c r="E12" s="76">
        <f>'Kharif CC U'!E12+'Rabi CC U'!E11</f>
        <v>201.85</v>
      </c>
      <c r="F12" s="76">
        <f>'Kharif CC U'!F12+'Rabi CC U'!F11</f>
        <v>207.52</v>
      </c>
      <c r="G12" s="76">
        <f>'Kharif CC U'!G12+'Rabi CC U'!G11</f>
        <v>357.54259999999999</v>
      </c>
      <c r="H12" s="76">
        <f>'Kharif CC U'!H12+'Rabi CC U'!H11</f>
        <v>347.24970999999994</v>
      </c>
      <c r="I12" s="76">
        <f>'Kharif CC U'!I12+'Rabi CC U'!I11</f>
        <v>331.52529000000004</v>
      </c>
      <c r="J12" s="76">
        <f>'Kharif CC U'!J12+'Rabi CC U'!J11</f>
        <v>370.50779999999997</v>
      </c>
      <c r="K12" s="76">
        <f>'Kharif CC U'!K12+'Rabi CC U'!K11</f>
        <v>368.44594000000001</v>
      </c>
      <c r="L12" s="99">
        <f t="shared" si="1"/>
        <v>1606.933033707865</v>
      </c>
      <c r="M12" s="99">
        <f t="shared" si="2"/>
        <v>1488.6170960689326</v>
      </c>
      <c r="N12" s="99">
        <f t="shared" si="3"/>
        <v>1522.5042020665901</v>
      </c>
      <c r="O12" s="99">
        <f t="shared" si="4"/>
        <v>1835.5600693584345</v>
      </c>
      <c r="P12" s="99">
        <f t="shared" si="5"/>
        <v>1775.4719545104085</v>
      </c>
    </row>
    <row r="13" spans="1:16" ht="20.25" hidden="1" customHeight="1" x14ac:dyDescent="0.2">
      <c r="A13" s="199" t="s">
        <v>15</v>
      </c>
      <c r="B13" s="76">
        <f>'Kharif CC U'!B13</f>
        <v>0</v>
      </c>
      <c r="C13" s="76">
        <f>'Kharif CC U'!C13</f>
        <v>0</v>
      </c>
      <c r="D13" s="76">
        <f>'Kharif CC U'!D13</f>
        <v>0</v>
      </c>
      <c r="E13" s="76">
        <v>0</v>
      </c>
      <c r="F13" s="5"/>
      <c r="G13" s="76">
        <f>'Kharif CC U'!G13</f>
        <v>0</v>
      </c>
      <c r="H13" s="76">
        <f>'Kharif CC U'!H13</f>
        <v>0</v>
      </c>
      <c r="I13" s="76">
        <f>'Kharif CC U'!I13</f>
        <v>0</v>
      </c>
      <c r="J13" s="76">
        <v>0</v>
      </c>
      <c r="K13" s="5"/>
      <c r="L13" s="99" t="e">
        <f t="shared" si="1"/>
        <v>#DIV/0!</v>
      </c>
      <c r="M13" s="99" t="e">
        <f t="shared" si="2"/>
        <v>#DIV/0!</v>
      </c>
      <c r="N13" s="99" t="e">
        <f t="shared" si="3"/>
        <v>#DIV/0!</v>
      </c>
      <c r="O13" s="99" t="e">
        <f t="shared" si="4"/>
        <v>#DIV/0!</v>
      </c>
      <c r="P13" s="99" t="e">
        <f t="shared" si="5"/>
        <v>#DIV/0!</v>
      </c>
    </row>
    <row r="14" spans="1:16" ht="20.25" customHeight="1" x14ac:dyDescent="0.2">
      <c r="A14" s="199" t="s">
        <v>4</v>
      </c>
      <c r="B14" s="76">
        <f>'Kharif CC U'!B14+'Rabi CC U'!B12</f>
        <v>1028</v>
      </c>
      <c r="C14" s="76">
        <f>'Kharif CC U'!C14+'Rabi CC U'!C12</f>
        <v>914</v>
      </c>
      <c r="D14" s="76">
        <f>'Kharif CC U'!D14+'Rabi CC U'!D12</f>
        <v>889.59999999999991</v>
      </c>
      <c r="E14" s="76">
        <f>'Kharif CC U'!E14+'Rabi CC U'!E12</f>
        <v>934.43</v>
      </c>
      <c r="F14" s="76">
        <f>'Kharif CC U'!F14+'Rabi CC U'!F12</f>
        <v>909.19</v>
      </c>
      <c r="G14" s="76">
        <f>'Kharif CC U'!G14+'Rabi CC U'!G12</f>
        <v>1937</v>
      </c>
      <c r="H14" s="76">
        <f>'Kharif CC U'!H14+'Rabi CC U'!H12</f>
        <v>1782.1799999999998</v>
      </c>
      <c r="I14" s="76">
        <f>'Kharif CC U'!I14+'Rabi CC U'!I12</f>
        <v>1802.7956799999999</v>
      </c>
      <c r="J14" s="76">
        <f>'Kharif CC U'!J14+'Rabi CC U'!J12</f>
        <v>1786.2822199999998</v>
      </c>
      <c r="K14" s="76">
        <f>'Kharif CC U'!K14+'Rabi CC U'!K12</f>
        <v>1759.5877800000001</v>
      </c>
      <c r="L14" s="99">
        <f t="shared" si="1"/>
        <v>1884.2412451361868</v>
      </c>
      <c r="M14" s="99">
        <f t="shared" si="2"/>
        <v>1949.8687089715534</v>
      </c>
      <c r="N14" s="99">
        <f t="shared" si="3"/>
        <v>2026.5239208633097</v>
      </c>
      <c r="O14" s="99">
        <f t="shared" si="4"/>
        <v>1911.6276446603811</v>
      </c>
      <c r="P14" s="99">
        <f t="shared" si="5"/>
        <v>1935.3356064189002</v>
      </c>
    </row>
    <row r="15" spans="1:16" ht="20.25" customHeight="1" x14ac:dyDescent="0.2">
      <c r="A15" s="199" t="s">
        <v>18</v>
      </c>
      <c r="B15" s="76">
        <f>'Kharif CC U'!B15+'Rabi CC U'!B13</f>
        <v>565</v>
      </c>
      <c r="C15" s="76">
        <f>'Kharif CC U'!C15+'Rabi CC U'!C13</f>
        <v>524</v>
      </c>
      <c r="D15" s="76">
        <f>'Kharif CC U'!D15+'Rabi CC U'!D13</f>
        <v>485.79999999999995</v>
      </c>
      <c r="E15" s="76">
        <f>'Kharif CC U'!E15+'Rabi CC U'!E13</f>
        <v>540.82000000000005</v>
      </c>
      <c r="F15" s="76">
        <f>'Kharif CC U'!F15+'Rabi CC U'!F13</f>
        <v>616.37</v>
      </c>
      <c r="G15" s="76">
        <f>'Kharif CC U'!G15+'Rabi CC U'!G13</f>
        <v>1087</v>
      </c>
      <c r="H15" s="76">
        <f>'Kharif CC U'!H15+'Rabi CC U'!H13</f>
        <v>833.81399999999996</v>
      </c>
      <c r="I15" s="76">
        <f>'Kharif CC U'!I15+'Rabi CC U'!I13</f>
        <v>972.76099999999997</v>
      </c>
      <c r="J15" s="76">
        <f>'Kharif CC U'!J15+'Rabi CC U'!J13</f>
        <v>1098.40004</v>
      </c>
      <c r="K15" s="76">
        <f>'Kharif CC U'!K15+'Rabi CC U'!K13</f>
        <v>1417.5829600000002</v>
      </c>
      <c r="L15" s="99">
        <f t="shared" si="1"/>
        <v>1923.8938053097345</v>
      </c>
      <c r="M15" s="99">
        <f t="shared" si="2"/>
        <v>1591.2480916030534</v>
      </c>
      <c r="N15" s="99">
        <f t="shared" si="3"/>
        <v>2002.3898723754635</v>
      </c>
      <c r="O15" s="99">
        <f t="shared" si="4"/>
        <v>2030.990052143042</v>
      </c>
      <c r="P15" s="99">
        <f t="shared" si="5"/>
        <v>2299.8896117591707</v>
      </c>
    </row>
    <row r="16" spans="1:16" ht="20.25" customHeight="1" x14ac:dyDescent="0.2">
      <c r="A16" s="199" t="s">
        <v>56</v>
      </c>
      <c r="B16" s="76">
        <f>'Kharif CC U'!B16+'Rabi CC U'!B14</f>
        <v>321.84899999999999</v>
      </c>
      <c r="C16" s="76">
        <f>'Kharif CC U'!C16+'Rabi CC U'!C14</f>
        <v>305.96500000000003</v>
      </c>
      <c r="D16" s="76">
        <f>'Kharif CC U'!D16+'Rabi CC U'!D14</f>
        <v>313.95600000000002</v>
      </c>
      <c r="E16" s="76">
        <f>'Kharif CC U'!E16+'Rabi CC U'!E14</f>
        <v>314.92600000000004</v>
      </c>
      <c r="F16" s="76">
        <f>'Kharif CC U'!F16+'Rabi CC U'!F14</f>
        <v>291.37099999999998</v>
      </c>
      <c r="G16" s="76">
        <f>'Kharif CC U'!G16+'Rabi CC U'!G14</f>
        <v>826.42</v>
      </c>
      <c r="H16" s="76">
        <f>'Kharif CC U'!H16+'Rabi CC U'!H14</f>
        <v>750.27400000000011</v>
      </c>
      <c r="I16" s="76">
        <f>'Kharif CC U'!I16+'Rabi CC U'!I14</f>
        <v>767.53067999999996</v>
      </c>
      <c r="J16" s="76">
        <f>'Kharif CC U'!J16+'Rabi CC U'!J14</f>
        <v>767.72308999999996</v>
      </c>
      <c r="K16" s="76">
        <f>'Kharif CC U'!K16+'Rabi CC U'!K14</f>
        <v>764.48514100000011</v>
      </c>
      <c r="L16" s="99">
        <f t="shared" si="1"/>
        <v>2567.7258590208448</v>
      </c>
      <c r="M16" s="99">
        <f t="shared" si="2"/>
        <v>2452.1562923863839</v>
      </c>
      <c r="N16" s="99">
        <f t="shared" si="3"/>
        <v>2444.7077934487634</v>
      </c>
      <c r="O16" s="99">
        <f t="shared" si="4"/>
        <v>2437.7888456335768</v>
      </c>
      <c r="P16" s="99">
        <f t="shared" si="5"/>
        <v>2623.7516465262506</v>
      </c>
    </row>
    <row r="17" spans="1:16" ht="20.25" customHeight="1" x14ac:dyDescent="0.2">
      <c r="A17" s="199" t="s">
        <v>19</v>
      </c>
      <c r="B17" s="76">
        <f>'Kharif CC U'!B17+'Rabi CC U'!B15</f>
        <v>333.20600000000002</v>
      </c>
      <c r="C17" s="76">
        <f>'Kharif CC U'!C17+'Rabi CC U'!C15</f>
        <v>327.14100000000002</v>
      </c>
      <c r="D17" s="76">
        <f>'Kharif CC U'!D17+'Rabi CC U'!D15</f>
        <v>298.73599999999999</v>
      </c>
      <c r="E17" s="76">
        <f>'Kharif CC U'!E17+'Rabi CC U'!E15</f>
        <v>293.85899999999998</v>
      </c>
      <c r="F17" s="76">
        <f>'Kharif CC U'!F17+'Rabi CC U'!F15</f>
        <v>314.41899999999998</v>
      </c>
      <c r="G17" s="76">
        <f>'Kharif CC U'!G17+'Rabi CC U'!G15</f>
        <v>560.96100000000001</v>
      </c>
      <c r="H17" s="76">
        <f>'Kharif CC U'!H17+'Rabi CC U'!H15</f>
        <v>559.92820599999993</v>
      </c>
      <c r="I17" s="76">
        <f>'Kharif CC U'!I17+'Rabi CC U'!I15</f>
        <v>594.15101800000014</v>
      </c>
      <c r="J17" s="76">
        <f>'Kharif CC U'!J17+'Rabi CC U'!J15</f>
        <v>551.67185199999994</v>
      </c>
      <c r="K17" s="76">
        <f>'Kharif CC U'!K17+'Rabi CC U'!K15</f>
        <v>519.56985299999997</v>
      </c>
      <c r="L17" s="99">
        <f t="shared" si="1"/>
        <v>1683.5261069728635</v>
      </c>
      <c r="M17" s="99">
        <f t="shared" si="2"/>
        <v>1711.5806517678918</v>
      </c>
      <c r="N17" s="99">
        <f t="shared" si="3"/>
        <v>1988.8832213057688</v>
      </c>
      <c r="O17" s="99">
        <f t="shared" si="4"/>
        <v>1877.3352253972141</v>
      </c>
      <c r="P17" s="99">
        <f t="shared" si="5"/>
        <v>1652.4760049488102</v>
      </c>
    </row>
    <row r="18" spans="1:16" ht="20.25" customHeight="1" x14ac:dyDescent="0.2">
      <c r="A18" s="199" t="s">
        <v>83</v>
      </c>
      <c r="B18" s="76">
        <f>'Kharif CC U'!B18+'Rabi CC U'!B16</f>
        <v>322.33100000000002</v>
      </c>
      <c r="C18" s="76">
        <f>'Kharif CC U'!C18+'Rabi CC U'!C16</f>
        <v>317.65399999999994</v>
      </c>
      <c r="D18" s="76">
        <f>'Kharif CC U'!D18+'Rabi CC U'!D16</f>
        <v>277.29200000000003</v>
      </c>
      <c r="E18" s="76">
        <f>'Kharif CC U'!E18+'Rabi CC U'!E16</f>
        <v>273.43600000000004</v>
      </c>
      <c r="F18" s="76">
        <f>'Kharif CC U'!F18+'Rabi CC U'!F16</f>
        <v>318.91799999999995</v>
      </c>
      <c r="G18" s="76">
        <f>'Kharif CC U'!G18+'Rabi CC U'!G16</f>
        <v>590.81799999999998</v>
      </c>
      <c r="H18" s="76">
        <f>'Kharif CC U'!H18+'Rabi CC U'!H16</f>
        <v>617.86900400000002</v>
      </c>
      <c r="I18" s="76">
        <f>'Kharif CC U'!I18+'Rabi CC U'!I16</f>
        <v>468.04400500000008</v>
      </c>
      <c r="J18" s="76">
        <f>'Kharif CC U'!J18+'Rabi CC U'!J16</f>
        <v>525.12291700000003</v>
      </c>
      <c r="K18" s="76">
        <f>'Kharif CC U'!K18+'Rabi CC U'!K16</f>
        <v>669.51174800000013</v>
      </c>
      <c r="L18" s="99">
        <f t="shared" si="1"/>
        <v>1832.9543233508409</v>
      </c>
      <c r="M18" s="99">
        <f t="shared" si="2"/>
        <v>1945.1006566893543</v>
      </c>
      <c r="N18" s="99">
        <f t="shared" si="3"/>
        <v>1687.9102354197023</v>
      </c>
      <c r="O18" s="99">
        <f t="shared" si="4"/>
        <v>1920.4600601237582</v>
      </c>
      <c r="P18" s="99">
        <f t="shared" si="5"/>
        <v>2099.3225468615765</v>
      </c>
    </row>
    <row r="19" spans="1:16" ht="20.25" customHeight="1" x14ac:dyDescent="0.2">
      <c r="A19" s="199" t="s">
        <v>5</v>
      </c>
      <c r="B19" s="76">
        <f>'Kharif CC U'!B19+'Rabi CC U'!B17</f>
        <v>3179</v>
      </c>
      <c r="C19" s="76">
        <f>'Kharif CC U'!C19+'Rabi CC U'!C17</f>
        <v>3438</v>
      </c>
      <c r="D19" s="76">
        <f>'Kharif CC U'!D19+'Rabi CC U'!D17</f>
        <v>3013.21</v>
      </c>
      <c r="E19" s="76">
        <f>'Kharif CC U'!E19+'Rabi CC U'!E17</f>
        <v>3262.6</v>
      </c>
      <c r="F19" s="76">
        <f>'Kharif CC U'!F19+'Rabi CC U'!F17</f>
        <v>3509</v>
      </c>
      <c r="G19" s="76">
        <f>'Kharif CC U'!G19+'Rabi CC U'!G17</f>
        <v>5280.9672</v>
      </c>
      <c r="H19" s="76">
        <f>'Kharif CC U'!H19+'Rabi CC U'!H17</f>
        <v>6592.6198999999997</v>
      </c>
      <c r="I19" s="76">
        <f>'Kharif CC U'!I19+'Rabi CC U'!I17</f>
        <v>5519.8729700000004</v>
      </c>
      <c r="J19" s="76">
        <f>'Kharif CC U'!J19+'Rabi CC U'!J17</f>
        <v>6813.6241999999993</v>
      </c>
      <c r="K19" s="76">
        <f>'Kharif CC U'!K19+'Rabi CC U'!K17</f>
        <v>7931.2149999999992</v>
      </c>
      <c r="L19" s="99">
        <f t="shared" si="1"/>
        <v>1661.2039005976721</v>
      </c>
      <c r="M19" s="99">
        <f t="shared" si="2"/>
        <v>1917.5741419429899</v>
      </c>
      <c r="N19" s="99">
        <f t="shared" si="3"/>
        <v>1831.8912289551674</v>
      </c>
      <c r="O19" s="99">
        <f t="shared" si="4"/>
        <v>2088.4031753815971</v>
      </c>
      <c r="P19" s="99">
        <f t="shared" si="5"/>
        <v>2260.2493587916783</v>
      </c>
    </row>
    <row r="20" spans="1:16" ht="20.25" customHeight="1" x14ac:dyDescent="0.2">
      <c r="A20" s="199" t="s">
        <v>17</v>
      </c>
      <c r="B20" s="76">
        <f>'Kharif CC U'!B20+'Rabi CC U'!B18</f>
        <v>0.24700000000000003</v>
      </c>
      <c r="C20" s="76">
        <f>'Kharif CC U'!C20+'Rabi CC U'!C18</f>
        <v>0.35469999999999996</v>
      </c>
      <c r="D20" s="76">
        <f>'Kharif CC U'!D20+'Rabi CC U'!D18</f>
        <v>0.58150000000000002</v>
      </c>
      <c r="E20" s="76">
        <f>'Kharif CC U'!E20+'Rabi CC U'!E18</f>
        <v>0.66799999999999993</v>
      </c>
      <c r="F20" s="76">
        <f>'Kharif CC U'!F20+'Rabi CC U'!F18</f>
        <v>0.61899999999999999</v>
      </c>
      <c r="G20" s="76">
        <f>'Kharif CC U'!G20+'Rabi CC U'!G18</f>
        <v>0.22600000000000001</v>
      </c>
      <c r="H20" s="76">
        <f>'Kharif CC U'!H20+'Rabi CC U'!H18</f>
        <v>0.42495479999999997</v>
      </c>
      <c r="I20" s="76">
        <f>'Kharif CC U'!I20+'Rabi CC U'!I18</f>
        <v>0.61783860000000002</v>
      </c>
      <c r="J20" s="76">
        <f>'Kharif CC U'!J20+'Rabi CC U'!J18</f>
        <v>0.67889299999999997</v>
      </c>
      <c r="K20" s="76">
        <f>'Kharif CC U'!K20+'Rabi CC U'!K18</f>
        <v>0.68721600000000005</v>
      </c>
      <c r="L20" s="99">
        <f t="shared" si="1"/>
        <v>914.9797570850202</v>
      </c>
      <c r="M20" s="99">
        <f t="shared" si="2"/>
        <v>1198.0682266704257</v>
      </c>
      <c r="N20" s="99">
        <f t="shared" si="3"/>
        <v>1062.4911435941531</v>
      </c>
      <c r="O20" s="99">
        <f t="shared" si="4"/>
        <v>1016.3068862275451</v>
      </c>
      <c r="P20" s="99">
        <f t="shared" si="5"/>
        <v>1110.2035541195478</v>
      </c>
    </row>
    <row r="21" spans="1:16" ht="20.25" customHeight="1" x14ac:dyDescent="0.2">
      <c r="A21" s="199" t="s">
        <v>6</v>
      </c>
      <c r="B21" s="76">
        <f>'Kharif CC U'!B21+'Rabi CC U'!B19</f>
        <v>2086.6</v>
      </c>
      <c r="C21" s="76">
        <f>'Kharif CC U'!C21+'Rabi CC U'!C19</f>
        <v>2211</v>
      </c>
      <c r="D21" s="76">
        <f>'Kharif CC U'!D21+'Rabi CC U'!D19</f>
        <v>1841</v>
      </c>
      <c r="E21" s="76">
        <f>'Kharif CC U'!E21+'Rabi CC U'!E19</f>
        <v>1921.8899999999999</v>
      </c>
      <c r="F21" s="76">
        <f>'Kharif CC U'!F21+'Rabi CC U'!F19</f>
        <v>1947</v>
      </c>
      <c r="G21" s="76">
        <f>'Kharif CC U'!G21+'Rabi CC U'!G19</f>
        <v>4766.9333999999999</v>
      </c>
      <c r="H21" s="76">
        <f>'Kharif CC U'!H21+'Rabi CC U'!H19</f>
        <v>5304.1334999999999</v>
      </c>
      <c r="I21" s="76">
        <f>'Kharif CC U'!I21+'Rabi CC U'!I19</f>
        <v>5147.2000000000007</v>
      </c>
      <c r="J21" s="76">
        <f>'Kharif CC U'!J21+'Rabi CC U'!J19</f>
        <v>5029.4269100000001</v>
      </c>
      <c r="K21" s="76">
        <f>'Kharif CC U'!K21+'Rabi CC U'!K19</f>
        <v>4953.6540000000005</v>
      </c>
      <c r="L21" s="99">
        <f t="shared" si="1"/>
        <v>2284.5458640851148</v>
      </c>
      <c r="M21" s="99">
        <f t="shared" si="2"/>
        <v>2398.974898236092</v>
      </c>
      <c r="N21" s="99">
        <f t="shared" si="3"/>
        <v>2795.8718087995658</v>
      </c>
      <c r="O21" s="99">
        <f t="shared" si="4"/>
        <v>2616.9171544677379</v>
      </c>
      <c r="P21" s="99">
        <f t="shared" si="5"/>
        <v>2544.2496147919878</v>
      </c>
    </row>
    <row r="22" spans="1:16" ht="20.25" customHeight="1" x14ac:dyDescent="0.2">
      <c r="A22" s="199" t="s">
        <v>7</v>
      </c>
      <c r="B22" s="76">
        <f>'Kharif CC U'!B22+'Rabi CC U'!B20</f>
        <v>5211.7</v>
      </c>
      <c r="C22" s="76">
        <f>'Kharif CC U'!C22+'Rabi CC U'!C20</f>
        <v>4242.3</v>
      </c>
      <c r="D22" s="76">
        <f>'Kharif CC U'!D22+'Rabi CC U'!D20</f>
        <v>3320.0299999999997</v>
      </c>
      <c r="E22" s="76">
        <f>'Kharif CC U'!E22+'Rabi CC U'!E20</f>
        <v>4223.91</v>
      </c>
      <c r="F22" s="76">
        <f>'Kharif CC U'!F22+'Rabi CC U'!F20</f>
        <v>4130.1899999999996</v>
      </c>
      <c r="G22" s="76">
        <f>'Kharif CC U'!G22+'Rabi CC U'!G20</f>
        <v>6578.9728649999997</v>
      </c>
      <c r="H22" s="76">
        <f>'Kharif CC U'!H22+'Rabi CC U'!H20</f>
        <v>5471.3464999999997</v>
      </c>
      <c r="I22" s="76">
        <f>'Kharif CC U'!I22+'Rabi CC U'!I20</f>
        <v>3096.6887999999999</v>
      </c>
      <c r="J22" s="76">
        <f>'Kharif CC U'!J22+'Rabi CC U'!J20</f>
        <v>4392.5924800000003</v>
      </c>
      <c r="K22" s="76">
        <f>'Kharif CC U'!K22+'Rabi CC U'!K20</f>
        <v>6082.1071600000005</v>
      </c>
      <c r="L22" s="99">
        <f t="shared" si="1"/>
        <v>1262.3468091025959</v>
      </c>
      <c r="M22" s="99">
        <f t="shared" si="2"/>
        <v>1289.7123022888527</v>
      </c>
      <c r="N22" s="99">
        <f t="shared" si="3"/>
        <v>932.72916208588481</v>
      </c>
      <c r="O22" s="99">
        <f t="shared" si="4"/>
        <v>1039.9351501334072</v>
      </c>
      <c r="P22" s="99">
        <f t="shared" si="5"/>
        <v>1472.5974253000468</v>
      </c>
    </row>
    <row r="23" spans="1:16" ht="20.25" customHeight="1" x14ac:dyDescent="0.2">
      <c r="A23" s="199" t="s">
        <v>29</v>
      </c>
      <c r="B23" s="76">
        <f>'Kharif CC U'!B23+'Rabi CC U'!B21</f>
        <v>26.8</v>
      </c>
      <c r="C23" s="76">
        <f>'Kharif CC U'!C23+'Rabi CC U'!C21</f>
        <v>26.93</v>
      </c>
      <c r="D23" s="76">
        <f>'Kharif CC U'!D23+'Rabi CC U'!D21</f>
        <v>26.38</v>
      </c>
      <c r="E23" s="76">
        <f>'Kharif CC U'!E23+'Rabi CC U'!E21</f>
        <v>2.2168000000000001</v>
      </c>
      <c r="F23" s="76">
        <f>'Kharif CC U'!F23+'Rabi CC U'!F21</f>
        <v>25.53</v>
      </c>
      <c r="G23" s="76">
        <f>'Kharif CC U'!G23+'Rabi CC U'!G21</f>
        <v>58.8</v>
      </c>
      <c r="H23" s="76">
        <f>'Kharif CC U'!H23+'Rabi CC U'!H21</f>
        <v>63.096989999999998</v>
      </c>
      <c r="I23" s="76">
        <f>'Kharif CC U'!I23+'Rabi CC U'!I21</f>
        <v>58.167899999999996</v>
      </c>
      <c r="J23" s="76">
        <f>'Kharif CC U'!J23+'Rabi CC U'!J21</f>
        <v>4.9390304000000009</v>
      </c>
      <c r="K23" s="76">
        <f>'Kharif CC U'!K23+'Rabi CC U'!K21</f>
        <v>59.733240000000002</v>
      </c>
      <c r="L23" s="99">
        <f t="shared" si="1"/>
        <v>2194.0298507462685</v>
      </c>
      <c r="M23" s="99">
        <f t="shared" si="2"/>
        <v>2343</v>
      </c>
      <c r="N23" s="99">
        <f t="shared" si="3"/>
        <v>2205</v>
      </c>
      <c r="O23" s="99">
        <f t="shared" si="4"/>
        <v>2228</v>
      </c>
      <c r="P23" s="99">
        <f t="shared" si="5"/>
        <v>2339.7273795534661</v>
      </c>
    </row>
    <row r="24" spans="1:16" ht="20.25" customHeight="1" x14ac:dyDescent="0.2">
      <c r="A24" s="199" t="s">
        <v>26</v>
      </c>
      <c r="B24" s="76">
        <f>'Kharif CC U'!B24</f>
        <v>21.07</v>
      </c>
      <c r="C24" s="76">
        <f>'Kharif CC U'!C24</f>
        <v>21.076000000000001</v>
      </c>
      <c r="D24" s="76">
        <f>'Kharif CC U'!D24</f>
        <v>21.065000000000001</v>
      </c>
      <c r="E24" s="76">
        <f>'Kharif CC U'!E24</f>
        <v>21.060000000000002</v>
      </c>
      <c r="F24" s="76">
        <f>'Kharif CC U'!F24</f>
        <v>21.077999999999999</v>
      </c>
      <c r="G24" s="76">
        <f>'Kharif CC U'!G24</f>
        <v>44.35</v>
      </c>
      <c r="H24" s="76">
        <f>'Kharif CC U'!H24</f>
        <v>44.403259999999996</v>
      </c>
      <c r="I24" s="76">
        <f>'Kharif CC U'!I24</f>
        <v>44.408312000000002</v>
      </c>
      <c r="J24" s="76">
        <f>'Kharif CC U'!J24</f>
        <v>44.474150000000002</v>
      </c>
      <c r="K24" s="76">
        <f>'Kharif CC U'!K24</f>
        <v>44.547812999999998</v>
      </c>
      <c r="L24" s="99">
        <f t="shared" si="1"/>
        <v>2104.8884670147131</v>
      </c>
      <c r="M24" s="99">
        <f t="shared" si="2"/>
        <v>2106.816283924843</v>
      </c>
      <c r="N24" s="99">
        <f t="shared" si="3"/>
        <v>2108.1562781865655</v>
      </c>
      <c r="O24" s="99">
        <f t="shared" si="4"/>
        <v>2111.7830009496674</v>
      </c>
      <c r="P24" s="99">
        <f t="shared" si="5"/>
        <v>2113.4743808710505</v>
      </c>
    </row>
    <row r="25" spans="1:16" ht="20.25" customHeight="1" x14ac:dyDescent="0.2">
      <c r="A25" s="199" t="s">
        <v>30</v>
      </c>
      <c r="B25" s="76">
        <f>'Kharif CC U'!B25+'Rabi CC U'!B22</f>
        <v>5.7789999999999999</v>
      </c>
      <c r="C25" s="76">
        <f>'Kharif CC U'!C25+'Rabi CC U'!C22</f>
        <v>5.9792000000000005</v>
      </c>
      <c r="D25" s="76">
        <f>'Kharif CC U'!D25+'Rabi CC U'!D22</f>
        <v>6.1629999999999994</v>
      </c>
      <c r="E25" s="76">
        <f>'Kharif CC U'!E25+'Rabi CC U'!E22</f>
        <v>6.3530000000000006</v>
      </c>
      <c r="F25" s="76">
        <f>'Kharif CC U'!F25+'Rabi CC U'!F22</f>
        <v>6.9459999999999997</v>
      </c>
      <c r="G25" s="76">
        <f>'Kharif CC U'!G25+'Rabi CC U'!G22</f>
        <v>8.9109999999999996</v>
      </c>
      <c r="H25" s="76">
        <f>'Kharif CC U'!H25+'Rabi CC U'!H22</f>
        <v>9.4702999999999982</v>
      </c>
      <c r="I25" s="76">
        <f>'Kharif CC U'!I25+'Rabi CC U'!I22</f>
        <v>10.97</v>
      </c>
      <c r="J25" s="76">
        <f>'Kharif CC U'!J25+'Rabi CC U'!J22</f>
        <v>10.97</v>
      </c>
      <c r="K25" s="76">
        <f>'Kharif CC U'!K25+'Rabi CC U'!K22</f>
        <v>12.554508</v>
      </c>
      <c r="L25" s="99">
        <f t="shared" si="1"/>
        <v>1541.9622772105902</v>
      </c>
      <c r="M25" s="99">
        <f t="shared" si="2"/>
        <v>1583.8740968691459</v>
      </c>
      <c r="N25" s="99">
        <f t="shared" si="3"/>
        <v>1779.977283790362</v>
      </c>
      <c r="O25" s="99">
        <f t="shared" si="4"/>
        <v>1726.7432708956399</v>
      </c>
      <c r="P25" s="99">
        <f t="shared" si="5"/>
        <v>1807.4442844802766</v>
      </c>
    </row>
    <row r="26" spans="1:16" ht="20.25" customHeight="1" x14ac:dyDescent="0.2">
      <c r="A26" s="199" t="s">
        <v>20</v>
      </c>
      <c r="B26" s="76">
        <f>'Kharif CC U'!B26+'Rabi CC U'!B23</f>
        <v>80.81</v>
      </c>
      <c r="C26" s="76">
        <f>'Kharif CC U'!C26+'Rabi CC U'!C23</f>
        <v>81.39</v>
      </c>
      <c r="D26" s="76">
        <f>'Kharif CC U'!D26+'Rabi CC U'!D23</f>
        <v>79.790000000000006</v>
      </c>
      <c r="E26" s="76">
        <f>'Kharif CC U'!E26+'Rabi CC U'!E23</f>
        <v>79.86</v>
      </c>
      <c r="F26" s="76">
        <f>'Kharif CC U'!F26+'Rabi CC U'!F23</f>
        <v>79.92</v>
      </c>
      <c r="G26" s="76">
        <f>'Kharif CC U'!G26+'Rabi CC U'!G23</f>
        <v>149.5</v>
      </c>
      <c r="H26" s="76">
        <f>'Kharif CC U'!H26+'Rabi CC U'!H23</f>
        <v>150.34224</v>
      </c>
      <c r="I26" s="76">
        <f>'Kharif CC U'!I26+'Rabi CC U'!I23</f>
        <v>148.77856999999997</v>
      </c>
      <c r="J26" s="76">
        <f>'Kharif CC U'!J26+'Rabi CC U'!J23</f>
        <v>149.04707999999999</v>
      </c>
      <c r="K26" s="76">
        <f>'Kharif CC U'!K26+'Rabi CC U'!K23</f>
        <v>149.42123000000004</v>
      </c>
      <c r="L26" s="99">
        <f t="shared" si="1"/>
        <v>1850.018562059151</v>
      </c>
      <c r="M26" s="99">
        <f t="shared" si="2"/>
        <v>1847.183192038334</v>
      </c>
      <c r="N26" s="99">
        <f t="shared" si="3"/>
        <v>1864.6267702719636</v>
      </c>
      <c r="O26" s="99">
        <f t="shared" si="4"/>
        <v>1866.3546205860255</v>
      </c>
      <c r="P26" s="99">
        <f t="shared" si="5"/>
        <v>1869.6350100100105</v>
      </c>
    </row>
    <row r="27" spans="1:16" ht="20.25" customHeight="1" x14ac:dyDescent="0.2">
      <c r="A27" s="199" t="s">
        <v>107</v>
      </c>
      <c r="B27" s="76">
        <f>'Kharif CC U'!B27+'Rabi CC U'!B24</f>
        <v>154.08000000000001</v>
      </c>
      <c r="C27" s="76">
        <f>'Kharif CC U'!C27+'Rabi CC U'!C24</f>
        <v>126.09</v>
      </c>
      <c r="D27" s="76">
        <f>'Kharif CC U'!D27+'Rabi CC U'!D24</f>
        <v>130.85000000000002</v>
      </c>
      <c r="E27" s="76">
        <f>'Kharif CC U'!E27+'Rabi CC U'!E24</f>
        <v>141.51</v>
      </c>
      <c r="F27" s="76">
        <f>'Kharif CC U'!F27+'Rabi CC U'!F24</f>
        <v>161.25</v>
      </c>
      <c r="G27" s="76">
        <f>'Kharif CC U'!G27+'Rabi CC U'!G24</f>
        <v>256.20999999999998</v>
      </c>
      <c r="H27" s="76">
        <f>'Kharif CC U'!H27+'Rabi CC U'!H24</f>
        <v>170.19369999999998</v>
      </c>
      <c r="I27" s="76">
        <f>'Kharif CC U'!I27+'Rabi CC U'!I24</f>
        <v>169.14201999999997</v>
      </c>
      <c r="J27" s="76">
        <f>'Kharif CC U'!J27+'Rabi CC U'!J24</f>
        <v>237.05519999999999</v>
      </c>
      <c r="K27" s="76">
        <f>'Kharif CC U'!K27+'Rabi CC U'!K24</f>
        <v>281.80838</v>
      </c>
      <c r="L27" s="99">
        <f t="shared" si="1"/>
        <v>1662.8374870197297</v>
      </c>
      <c r="M27" s="99">
        <f t="shared" si="2"/>
        <v>1349.7795225632483</v>
      </c>
      <c r="N27" s="99">
        <f t="shared" si="3"/>
        <v>1292.6405808177296</v>
      </c>
      <c r="O27" s="99">
        <f t="shared" si="4"/>
        <v>1675.1833792664829</v>
      </c>
      <c r="P27" s="99">
        <f t="shared" si="5"/>
        <v>1747.6488682170543</v>
      </c>
    </row>
    <row r="28" spans="1:16" ht="20.25" customHeight="1" x14ac:dyDescent="0.2">
      <c r="A28" s="199" t="s">
        <v>21</v>
      </c>
      <c r="B28" s="76">
        <f>'Kharif CC U'!B28+'Rabi CC U'!B25</f>
        <v>125.5</v>
      </c>
      <c r="C28" s="76">
        <f>'Kharif CC U'!C28+'Rabi CC U'!C25</f>
        <v>122.7</v>
      </c>
      <c r="D28" s="76">
        <f>'Kharif CC U'!D28+'Rabi CC U'!D25</f>
        <v>116.89999999999999</v>
      </c>
      <c r="E28" s="76">
        <f>'Kharif CC U'!E28+'Rabi CC U'!E25</f>
        <v>121.3</v>
      </c>
      <c r="F28" s="76">
        <f>'Kharif CC U'!F28+'Rabi CC U'!F25</f>
        <v>114.10000000000001</v>
      </c>
      <c r="G28" s="76">
        <f>'Kharif CC U'!G28+'Rabi CC U'!G25</f>
        <v>477.2</v>
      </c>
      <c r="H28" s="76">
        <f>'Kharif CC U'!H28+'Rabi CC U'!H25</f>
        <v>453.18599999999998</v>
      </c>
      <c r="I28" s="76">
        <f>'Kharif CC U'!I28+'Rabi CC U'!I25</f>
        <v>421.32069999999999</v>
      </c>
      <c r="J28" s="76">
        <f>'Kharif CC U'!J28+'Rabi CC U'!J25</f>
        <v>433.29289999999997</v>
      </c>
      <c r="K28" s="76">
        <f>'Kharif CC U'!K28+'Rabi CC U'!K25</f>
        <v>417.62729999999999</v>
      </c>
      <c r="L28" s="99">
        <f t="shared" si="1"/>
        <v>3802.3904382470118</v>
      </c>
      <c r="M28" s="99">
        <f t="shared" si="2"/>
        <v>3693.4474327628359</v>
      </c>
      <c r="N28" s="99">
        <f t="shared" si="3"/>
        <v>3604.1120615911036</v>
      </c>
      <c r="O28" s="99">
        <f t="shared" si="4"/>
        <v>3572.0766694146746</v>
      </c>
      <c r="P28" s="99">
        <f t="shared" si="5"/>
        <v>3660.1866783523224</v>
      </c>
    </row>
    <row r="29" spans="1:16" ht="20.25" customHeight="1" x14ac:dyDescent="0.2">
      <c r="A29" s="199" t="s">
        <v>22</v>
      </c>
      <c r="B29" s="76">
        <f>'Kharif CC U'!B29+'Rabi CC U'!B26</f>
        <v>5938.9140000000007</v>
      </c>
      <c r="C29" s="76">
        <f>'Kharif CC U'!C29+'Rabi CC U'!C26</f>
        <v>5906.5949999999984</v>
      </c>
      <c r="D29" s="76">
        <f>'Kharif CC U'!D29+'Rabi CC U'!D26</f>
        <v>5825.7680000000009</v>
      </c>
      <c r="E29" s="76">
        <f>'Kharif CC U'!E29+'Rabi CC U'!E26</f>
        <v>6132.48</v>
      </c>
      <c r="F29" s="76">
        <f>'Kharif CC U'!F29+'Rabi CC U'!F26</f>
        <v>6177.43</v>
      </c>
      <c r="G29" s="76">
        <f>'Kharif CC U'!G29+'Rabi CC U'!G26</f>
        <v>6734.5103320000007</v>
      </c>
      <c r="H29" s="76">
        <f>'Kharif CC U'!H29+'Rabi CC U'!H26</f>
        <v>6732.2243850000004</v>
      </c>
      <c r="I29" s="76">
        <f>'Kharif CC U'!I29+'Rabi CC U'!I26</f>
        <v>6993.3218479999996</v>
      </c>
      <c r="J29" s="76">
        <f>'Kharif CC U'!J29+'Rabi CC U'!J26</f>
        <v>7333.28629</v>
      </c>
      <c r="K29" s="76">
        <f>'Kharif CC U'!K29+'Rabi CC U'!K26</f>
        <v>8360.9430338309994</v>
      </c>
      <c r="L29" s="99">
        <f t="shared" si="1"/>
        <v>1133.9632687053559</v>
      </c>
      <c r="M29" s="99">
        <f t="shared" si="2"/>
        <v>1139.7809372404918</v>
      </c>
      <c r="N29" s="99">
        <f t="shared" si="3"/>
        <v>1200.4120054214309</v>
      </c>
      <c r="O29" s="99">
        <f t="shared" si="4"/>
        <v>1195.8108774916511</v>
      </c>
      <c r="P29" s="99">
        <f t="shared" si="5"/>
        <v>1353.4662527670891</v>
      </c>
    </row>
    <row r="30" spans="1:16" ht="20.25" customHeight="1" x14ac:dyDescent="0.2">
      <c r="A30" s="199" t="s">
        <v>84</v>
      </c>
      <c r="B30" s="76">
        <f>'Kharif CC U'!B30+'Rabi CC U'!B27</f>
        <v>46.052</v>
      </c>
      <c r="C30" s="76">
        <f>'Kharif CC U'!C30+'Rabi CC U'!C27</f>
        <v>41.347000000000001</v>
      </c>
      <c r="D30" s="76">
        <f>'Kharif CC U'!D30+'Rabi CC U'!D27</f>
        <v>40.677999999999997</v>
      </c>
      <c r="E30" s="76">
        <f>'Kharif CC U'!E30+'Rabi CC U'!E27</f>
        <v>41.07</v>
      </c>
      <c r="F30" s="76">
        <f>'Kharif CC U'!F30+'Rabi CC U'!F27</f>
        <v>40.79</v>
      </c>
      <c r="G30" s="76">
        <f>'Kharif CC U'!G30+'Rabi CC U'!G27</f>
        <v>75.86</v>
      </c>
      <c r="H30" s="76">
        <f>'Kharif CC U'!H30+'Rabi CC U'!H27</f>
        <v>70.951064999999986</v>
      </c>
      <c r="I30" s="76">
        <f>'Kharif CC U'!I30+'Rabi CC U'!I27</f>
        <v>69.81653</v>
      </c>
      <c r="J30" s="76">
        <f>'Kharif CC U'!J30+'Rabi CC U'!J27</f>
        <v>70.734588000000002</v>
      </c>
      <c r="K30" s="76">
        <f>'Kharif CC U'!K30+'Rabi CC U'!K27</f>
        <v>70.48648</v>
      </c>
      <c r="L30" s="99">
        <f t="shared" si="1"/>
        <v>1647.2683053939027</v>
      </c>
      <c r="M30" s="99">
        <f t="shared" si="2"/>
        <v>1715.9906401915491</v>
      </c>
      <c r="N30" s="99">
        <f t="shared" si="3"/>
        <v>1716.3215988986678</v>
      </c>
      <c r="O30" s="99">
        <f t="shared" si="4"/>
        <v>1722.2933528122717</v>
      </c>
      <c r="P30" s="99">
        <f t="shared" si="5"/>
        <v>1728.033341505271</v>
      </c>
    </row>
    <row r="31" spans="1:16" ht="20.25" customHeight="1" x14ac:dyDescent="0.2">
      <c r="A31" s="199" t="s">
        <v>11</v>
      </c>
      <c r="B31" s="76">
        <f>'Kharif CC U'!B31+'Rabi CC U'!B28</f>
        <v>718</v>
      </c>
      <c r="C31" s="76">
        <f>'Kharif CC U'!C31+'Rabi CC U'!C28</f>
        <v>884.96</v>
      </c>
      <c r="D31" s="76">
        <f>'Kharif CC U'!D31+'Rabi CC U'!D28</f>
        <v>924.1400000000001</v>
      </c>
      <c r="E31" s="76">
        <f>'Kharif CC U'!E31+'Rabi CC U'!E28</f>
        <v>961.43999999999994</v>
      </c>
      <c r="F31" s="76">
        <f>'Kharif CC U'!F31+'Rabi CC U'!F28</f>
        <v>980.43000000000006</v>
      </c>
      <c r="G31" s="76">
        <f>'Kharif CC U'!G31+'Rabi CC U'!G28</f>
        <v>1345.16</v>
      </c>
      <c r="H31" s="76">
        <f>'Kharif CC U'!H31+'Rabi CC U'!H28</f>
        <v>3518.3598499999998</v>
      </c>
      <c r="I31" s="76">
        <f>'Kharif CC U'!I31+'Rabi CC U'!I28</f>
        <v>3707.97489</v>
      </c>
      <c r="J31" s="76">
        <f>'Kharif CC U'!J31+'Rabi CC U'!J28</f>
        <v>3493.2291700000005</v>
      </c>
      <c r="K31" s="76">
        <f>'Kharif CC U'!K31+'Rabi CC U'!K28</f>
        <v>3469.9902200000001</v>
      </c>
      <c r="L31" s="99">
        <f t="shared" si="1"/>
        <v>1873.4818941504179</v>
      </c>
      <c r="M31" s="99">
        <f t="shared" si="2"/>
        <v>3975.7275470077743</v>
      </c>
      <c r="N31" s="99">
        <f t="shared" si="3"/>
        <v>4012.3519055554348</v>
      </c>
      <c r="O31" s="99">
        <f t="shared" si="4"/>
        <v>3633.3303898319195</v>
      </c>
      <c r="P31" s="99">
        <f t="shared" si="5"/>
        <v>3539.2534092184042</v>
      </c>
    </row>
    <row r="32" spans="1:16" ht="20.25" customHeight="1" x14ac:dyDescent="0.2">
      <c r="A32" s="199" t="s">
        <v>109</v>
      </c>
      <c r="B32" s="76">
        <f>'Kharif CC U'!B32+'Rabi CC U'!B29</f>
        <v>911</v>
      </c>
      <c r="C32" s="76">
        <f>'Kharif CC U'!C32+'Rabi CC U'!C29</f>
        <v>707</v>
      </c>
      <c r="D32" s="76">
        <f>'Kharif CC U'!D32+'Rabi CC U'!D29</f>
        <v>608</v>
      </c>
      <c r="E32" s="76">
        <f>'Kharif CC U'!E32+'Rabi CC U'!E29</f>
        <v>661</v>
      </c>
      <c r="F32" s="76">
        <f>'Kharif CC U'!F32+'Rabi CC U'!F29</f>
        <v>361</v>
      </c>
      <c r="G32" s="76">
        <f>'Kharif CC U'!G32+'Rabi CC U'!G29</f>
        <v>2768.19</v>
      </c>
      <c r="H32" s="76">
        <f>'Kharif CC U'!H32+'Rabi CC U'!H29</f>
        <v>2639.30375</v>
      </c>
      <c r="I32" s="76">
        <f>'Kharif CC U'!I32+'Rabi CC U'!I29</f>
        <v>2155.7150000000001</v>
      </c>
      <c r="J32" s="76">
        <f>'Kharif CC U'!J32+'Rabi CC U'!J29</f>
        <v>3138.8852999999999</v>
      </c>
      <c r="K32" s="76">
        <f>'Kharif CC U'!K32+'Rabi CC U'!K29</f>
        <v>1922.9</v>
      </c>
      <c r="L32" s="99">
        <f t="shared" si="1"/>
        <v>3038.6278814489574</v>
      </c>
      <c r="M32" s="99">
        <f t="shared" si="2"/>
        <v>3733.1028995756719</v>
      </c>
      <c r="N32" s="99">
        <f t="shared" si="3"/>
        <v>3545.583881578948</v>
      </c>
      <c r="O32" s="99">
        <f t="shared" si="4"/>
        <v>4748.6918305597583</v>
      </c>
      <c r="P32" s="99">
        <f t="shared" si="5"/>
        <v>5326.5927977839337</v>
      </c>
    </row>
    <row r="33" spans="1:16" ht="20.25" customHeight="1" x14ac:dyDescent="0.2">
      <c r="A33" s="199" t="s">
        <v>85</v>
      </c>
      <c r="B33" s="76">
        <f>'Kharif CC U'!B33+'Rabi CC U'!B30</f>
        <v>15.731</v>
      </c>
      <c r="C33" s="76">
        <f>'Kharif CC U'!C33+'Rabi CC U'!C30</f>
        <v>17.085999999999999</v>
      </c>
      <c r="D33" s="76">
        <f>'Kharif CC U'!D33+'Rabi CC U'!D30</f>
        <v>17.525000000000002</v>
      </c>
      <c r="E33" s="76">
        <f>'Kharif CC U'!E33+'Rabi CC U'!E30</f>
        <v>15.972999999999999</v>
      </c>
      <c r="F33" s="76">
        <f>'Kharif CC U'!F33+'Rabi CC U'!F30</f>
        <v>23.59</v>
      </c>
      <c r="G33" s="76">
        <f>'Kharif CC U'!G33+'Rabi CC U'!G30</f>
        <v>21.323</v>
      </c>
      <c r="H33" s="76">
        <f>'Kharif CC U'!H33+'Rabi CC U'!H30</f>
        <v>23.567330000000002</v>
      </c>
      <c r="I33" s="76">
        <f>'Kharif CC U'!I33+'Rabi CC U'!I30</f>
        <v>23.925536000000005</v>
      </c>
      <c r="J33" s="76">
        <f>'Kharif CC U'!J33+'Rabi CC U'!J30</f>
        <v>24.071035000000002</v>
      </c>
      <c r="K33" s="76">
        <f>'Kharif CC U'!K33+'Rabi CC U'!K30</f>
        <v>44.198609000000005</v>
      </c>
      <c r="L33" s="99">
        <f t="shared" si="1"/>
        <v>1355.4764477782721</v>
      </c>
      <c r="M33" s="99">
        <f t="shared" si="2"/>
        <v>1379.335713449608</v>
      </c>
      <c r="N33" s="99">
        <f t="shared" si="3"/>
        <v>1365.2231669044224</v>
      </c>
      <c r="O33" s="99">
        <f t="shared" si="4"/>
        <v>1506.9827208414201</v>
      </c>
      <c r="P33" s="99">
        <f t="shared" si="5"/>
        <v>1873.6163204747775</v>
      </c>
    </row>
    <row r="34" spans="1:16" ht="20.25" customHeight="1" x14ac:dyDescent="0.2">
      <c r="A34" s="199" t="s">
        <v>12</v>
      </c>
      <c r="B34" s="76">
        <f>'Kharif CC U'!B34+'Rabi CC U'!B31</f>
        <v>2008</v>
      </c>
      <c r="C34" s="76">
        <f>'Kharif CC U'!C34+'Rabi CC U'!C31</f>
        <v>1971</v>
      </c>
      <c r="D34" s="76">
        <f>'Kharif CC U'!D34+'Rabi CC U'!D31</f>
        <v>1914</v>
      </c>
      <c r="E34" s="76">
        <f>'Kharif CC U'!E34+'Rabi CC U'!E31</f>
        <v>1989</v>
      </c>
      <c r="F34" s="76">
        <f>'Kharif CC U'!F34+'Rabi CC U'!F31</f>
        <v>2023</v>
      </c>
      <c r="G34" s="76">
        <f>'Kharif CC U'!G34+'Rabi CC U'!G31</f>
        <v>3909</v>
      </c>
      <c r="H34" s="76">
        <f>'Kharif CC U'!H34+'Rabi CC U'!H31</f>
        <v>4016.8120000000004</v>
      </c>
      <c r="I34" s="76">
        <f>'Kharif CC U'!I34+'Rabi CC U'!I31</f>
        <v>3948.846</v>
      </c>
      <c r="J34" s="76">
        <f>'Kharif CC U'!J34+'Rabi CC U'!J31</f>
        <v>4388.527</v>
      </c>
      <c r="K34" s="76">
        <f>'Kharif CC U'!K34+'Rabi CC U'!K31</f>
        <v>4604.3929999999991</v>
      </c>
      <c r="L34" s="99">
        <f t="shared" si="1"/>
        <v>1946.7131474103585</v>
      </c>
      <c r="M34" s="99">
        <f t="shared" si="2"/>
        <v>2037.9563673262307</v>
      </c>
      <c r="N34" s="99">
        <f t="shared" si="3"/>
        <v>2063.1379310344828</v>
      </c>
      <c r="O34" s="99">
        <f t="shared" si="4"/>
        <v>2206.3986928104573</v>
      </c>
      <c r="P34" s="99">
        <f t="shared" si="5"/>
        <v>2276.022244191794</v>
      </c>
    </row>
    <row r="35" spans="1:16" ht="20.25" customHeight="1" x14ac:dyDescent="0.2">
      <c r="A35" s="199" t="s">
        <v>90</v>
      </c>
      <c r="B35" s="76">
        <f>'Kharif CC U'!B35+'Rabi CC U'!B32</f>
        <v>214</v>
      </c>
      <c r="C35" s="76">
        <f>'Kharif CC U'!C35+'Rabi CC U'!C32</f>
        <v>204</v>
      </c>
      <c r="D35" s="76">
        <f>'Kharif CC U'!D35+'Rabi CC U'!D32</f>
        <v>192</v>
      </c>
      <c r="E35" s="76">
        <f>'Kharif CC U'!E35+'Rabi CC U'!E32</f>
        <v>182</v>
      </c>
      <c r="F35" s="76">
        <f>'Kharif CC U'!F35+'Rabi CC U'!F32</f>
        <v>180</v>
      </c>
      <c r="G35" s="76">
        <f>'Kharif CC U'!G35+'Rabi CC U'!G32</f>
        <v>308</v>
      </c>
      <c r="H35" s="76">
        <f>'Kharif CC U'!H35+'Rabi CC U'!H32</f>
        <v>286.88099999999997</v>
      </c>
      <c r="I35" s="76">
        <f>'Kharif CC U'!I35+'Rabi CC U'!I32</f>
        <v>251.67400000000001</v>
      </c>
      <c r="J35" s="76">
        <f>'Kharif CC U'!J35+'Rabi CC U'!J32</f>
        <v>265.77199999999999</v>
      </c>
      <c r="K35" s="76">
        <f>'Kharif CC U'!K35+'Rabi CC U'!K32</f>
        <v>270.31599999999997</v>
      </c>
      <c r="L35" s="99">
        <f t="shared" si="1"/>
        <v>1439.252336448598</v>
      </c>
      <c r="M35" s="99">
        <f t="shared" si="2"/>
        <v>1406.2794117647056</v>
      </c>
      <c r="N35" s="99">
        <f t="shared" si="3"/>
        <v>1310.8020833333333</v>
      </c>
      <c r="O35" s="99">
        <f t="shared" si="4"/>
        <v>1460.2857142857142</v>
      </c>
      <c r="P35" s="99">
        <f t="shared" si="5"/>
        <v>1501.7555555555555</v>
      </c>
    </row>
    <row r="36" spans="1:16" ht="20.25" customHeight="1" x14ac:dyDescent="0.2">
      <c r="A36" s="199" t="s">
        <v>13</v>
      </c>
      <c r="B36" s="76">
        <f>'Kharif CC U'!B36+'Rabi CC U'!B33</f>
        <v>176.43200000000002</v>
      </c>
      <c r="C36" s="76">
        <f>'Kharif CC U'!C36+'Rabi CC U'!C33</f>
        <v>253.93</v>
      </c>
      <c r="D36" s="76">
        <f>'Kharif CC U'!D36+'Rabi CC U'!D33</f>
        <v>273.79699999999997</v>
      </c>
      <c r="E36" s="76">
        <f>'Kharif CC U'!E36+'Rabi CC U'!E33</f>
        <v>311.50700000000001</v>
      </c>
      <c r="F36" s="76">
        <f>'Kharif CC U'!F36+'Rabi CC U'!F33</f>
        <v>368.10699999999997</v>
      </c>
      <c r="G36" s="76">
        <f>'Kharif CC U'!G36+'Rabi CC U'!G33</f>
        <v>721.601</v>
      </c>
      <c r="H36" s="76">
        <f>'Kharif CC U'!H36+'Rabi CC U'!H33</f>
        <v>1154.7180000000001</v>
      </c>
      <c r="I36" s="76">
        <f>'Kharif CC U'!I36+'Rabi CC U'!I33</f>
        <v>1741.4768029999998</v>
      </c>
      <c r="J36" s="76">
        <f>'Kharif CC U'!J36+'Rabi CC U'!J33</f>
        <v>2018.0520940000001</v>
      </c>
      <c r="K36" s="76">
        <f>'Kharif CC U'!K36+'Rabi CC U'!K33</f>
        <v>2443.595726</v>
      </c>
      <c r="L36" s="99">
        <f t="shared" si="1"/>
        <v>4089.9666727124327</v>
      </c>
      <c r="M36" s="99">
        <f t="shared" si="2"/>
        <v>4547.3870751781997</v>
      </c>
      <c r="N36" s="99">
        <f t="shared" si="3"/>
        <v>6360.4670723200034</v>
      </c>
      <c r="O36" s="99">
        <f t="shared" si="4"/>
        <v>6478.3523131101392</v>
      </c>
      <c r="P36" s="99">
        <f t="shared" si="5"/>
        <v>6638.2756263803731</v>
      </c>
    </row>
    <row r="37" spans="1:16" ht="20.25" customHeight="1" x14ac:dyDescent="0.2">
      <c r="A37" s="199" t="s">
        <v>32</v>
      </c>
      <c r="B37" s="76">
        <f>'Kharif CC U'!B37</f>
        <v>0.10349999999999999</v>
      </c>
      <c r="C37" s="76">
        <f>'Kharif CC U'!C37</f>
        <v>4.36E-2</v>
      </c>
      <c r="D37" s="76">
        <f>'Kharif CC U'!D37</f>
        <v>3.243E-2</v>
      </c>
      <c r="E37" s="76">
        <f>'Kharif CC U'!E37</f>
        <v>0</v>
      </c>
      <c r="F37" s="76">
        <f>'Kharif CC U'!F37</f>
        <v>4.1000000000000002E-2</v>
      </c>
      <c r="G37" s="76">
        <f>'Kharif CC U'!G37</f>
        <v>0.216</v>
      </c>
      <c r="H37" s="76">
        <f>'Kharif CC U'!H37</f>
        <v>3.7583199999999997E-2</v>
      </c>
      <c r="I37" s="76">
        <f>'Kharif CC U'!I37</f>
        <v>4.8969300000000007E-2</v>
      </c>
      <c r="J37" s="76">
        <f>'Kharif CC U'!J37</f>
        <v>0</v>
      </c>
      <c r="K37" s="76">
        <f>'Kharif CC U'!K37</f>
        <v>0.10988000000000001</v>
      </c>
      <c r="L37" s="99">
        <f t="shared" si="1"/>
        <v>2086.9565217391305</v>
      </c>
      <c r="M37" s="99">
        <f t="shared" si="2"/>
        <v>862</v>
      </c>
      <c r="N37" s="99">
        <f t="shared" si="3"/>
        <v>1510.0000000000002</v>
      </c>
      <c r="O37" s="99" t="e">
        <f t="shared" si="4"/>
        <v>#DIV/0!</v>
      </c>
      <c r="P37" s="99">
        <f t="shared" si="5"/>
        <v>2680</v>
      </c>
    </row>
    <row r="38" spans="1:16" ht="20.25" customHeight="1" x14ac:dyDescent="0.2">
      <c r="A38" s="199" t="s">
        <v>51</v>
      </c>
      <c r="B38" s="76">
        <f>'Kharif CC U'!B38+'Rabi CC U'!B34</f>
        <v>0.86899999999999999</v>
      </c>
      <c r="C38" s="76">
        <f>'Kharif CC U'!C38+'Rabi CC U'!C34</f>
        <v>0.85899999999999999</v>
      </c>
      <c r="D38" s="76">
        <f>'Kharif CC U'!D38+'Rabi CC U'!D34</f>
        <v>1.3400000000000003</v>
      </c>
      <c r="E38" s="76">
        <f>'Kharif CC U'!E38+'Rabi CC U'!E34</f>
        <v>0.90900000000000003</v>
      </c>
      <c r="F38" s="76">
        <f>'Kharif CC U'!F38+'Rabi CC U'!F34</f>
        <v>0.84499999999999997</v>
      </c>
      <c r="G38" s="76">
        <f>'Kharif CC U'!G38+'Rabi CC U'!G34</f>
        <v>1.4769999999999999</v>
      </c>
      <c r="H38" s="76">
        <f>'Kharif CC U'!H38+'Rabi CC U'!H34</f>
        <v>1.46</v>
      </c>
      <c r="I38" s="76">
        <f>'Kharif CC U'!I38+'Rabi CC U'!I34</f>
        <v>1.6846000000000001</v>
      </c>
      <c r="J38" s="76">
        <f>'Kharif CC U'!J38+'Rabi CC U'!J34</f>
        <v>1.5</v>
      </c>
      <c r="K38" s="76">
        <f>'Kharif CC U'!K38+'Rabi CC U'!K34</f>
        <v>1.39594</v>
      </c>
      <c r="L38" s="99">
        <f t="shared" si="1"/>
        <v>1699.6547756041425</v>
      </c>
      <c r="M38" s="99">
        <f t="shared" si="2"/>
        <v>1699.6507566938299</v>
      </c>
      <c r="N38" s="99">
        <f t="shared" si="3"/>
        <v>1257.1641791044774</v>
      </c>
      <c r="O38" s="99">
        <f t="shared" si="4"/>
        <v>1650.1650165016501</v>
      </c>
      <c r="P38" s="99">
        <f t="shared" si="5"/>
        <v>1652</v>
      </c>
    </row>
    <row r="39" spans="1:16" ht="20.25" customHeight="1" x14ac:dyDescent="0.2">
      <c r="A39" s="199" t="s">
        <v>52</v>
      </c>
      <c r="B39" s="76">
        <f>'Kharif CC U'!B39+'Rabi CC U'!B36</f>
        <v>4.7880000000000003</v>
      </c>
      <c r="C39" s="76">
        <f>'Kharif CC U'!C39+'Rabi CC U'!C36</f>
        <v>4.7389999999999999</v>
      </c>
      <c r="D39" s="76">
        <f>'Kharif CC U'!D39+'Rabi CC U'!D36</f>
        <v>4.7190000000000003</v>
      </c>
      <c r="E39" s="76">
        <f>'Kharif CC U'!E39+'Rabi CC U'!E36</f>
        <v>4.7049999999999992</v>
      </c>
      <c r="F39" s="76">
        <f>'Kharif CC U'!F39+'Rabi CC U'!F36</f>
        <v>4.3470000000000004</v>
      </c>
      <c r="G39" s="76">
        <f>'Kharif CC U'!G39+'Rabi CC U'!G36</f>
        <v>6.7010000000000005</v>
      </c>
      <c r="H39" s="76">
        <f>'Kharif CC U'!H39+'Rabi CC U'!H36</f>
        <v>6.6455039999999999</v>
      </c>
      <c r="I39" s="76">
        <f>'Kharif CC U'!I39+'Rabi CC U'!I36</f>
        <v>6.5639849999999997</v>
      </c>
      <c r="J39" s="76">
        <f>'Kharif CC U'!J39+'Rabi CC U'!J36</f>
        <v>6.5220000000000002</v>
      </c>
      <c r="K39" s="76">
        <f>'Kharif CC U'!K39+'Rabi CC U'!K36</f>
        <v>8.4131020000000021</v>
      </c>
      <c r="L39" s="99">
        <f t="shared" si="1"/>
        <v>1399.5405179615705</v>
      </c>
      <c r="M39" s="99">
        <f t="shared" si="2"/>
        <v>1402.3009073644228</v>
      </c>
      <c r="N39" s="99">
        <f t="shared" si="3"/>
        <v>1390.9694850603939</v>
      </c>
      <c r="O39" s="99">
        <f t="shared" si="4"/>
        <v>1386.1849096705637</v>
      </c>
      <c r="P39" s="99">
        <f t="shared" si="5"/>
        <v>1935.3811824246609</v>
      </c>
    </row>
    <row r="40" spans="1:16" ht="20.25" customHeight="1" x14ac:dyDescent="0.2">
      <c r="A40" s="199" t="s">
        <v>86</v>
      </c>
      <c r="B40" s="76">
        <f>'Kharif CC U'!B40</f>
        <v>0.434</v>
      </c>
      <c r="C40" s="76">
        <f>'Kharif CC U'!C40</f>
        <v>0.434</v>
      </c>
      <c r="D40" s="76">
        <f>'Kharif CC U'!D40</f>
        <v>0.496</v>
      </c>
      <c r="E40" s="76">
        <f>'Kharif CC U'!E40</f>
        <v>0.32500000000000001</v>
      </c>
      <c r="F40" s="76">
        <f>'Kharif CC U'!F40</f>
        <v>0.496</v>
      </c>
      <c r="G40" s="76">
        <f>'Kharif CC U'!G40</f>
        <v>0.47799999999999998</v>
      </c>
      <c r="H40" s="76">
        <f>'Kharif CC U'!H40</f>
        <v>0.57852200000000009</v>
      </c>
      <c r="I40" s="76">
        <f>'Kharif CC U'!I40</f>
        <v>0.64777599999999991</v>
      </c>
      <c r="J40" s="76">
        <f>'Kharif CC U'!J40</f>
        <v>0.37375000000000003</v>
      </c>
      <c r="K40" s="76">
        <f>'Kharif CC U'!K40</f>
        <v>0.74846399999999991</v>
      </c>
      <c r="L40" s="99">
        <f t="shared" si="1"/>
        <v>1101.3824884792627</v>
      </c>
      <c r="M40" s="99">
        <f t="shared" si="2"/>
        <v>1333.0000000000002</v>
      </c>
      <c r="N40" s="99">
        <f t="shared" si="3"/>
        <v>1305.9999999999998</v>
      </c>
      <c r="O40" s="99">
        <f t="shared" si="4"/>
        <v>1150.0000000000002</v>
      </c>
      <c r="P40" s="99">
        <f t="shared" si="5"/>
        <v>1509</v>
      </c>
    </row>
    <row r="41" spans="1:16" ht="20.25" customHeight="1" x14ac:dyDescent="0.2">
      <c r="A41" s="199" t="s">
        <v>203</v>
      </c>
      <c r="B41" s="76">
        <f>'Kharif CC U'!B41+'Rabi CC U'!B35</f>
        <v>0</v>
      </c>
      <c r="C41" s="76">
        <f>'Kharif CC U'!C41+'Rabi CC U'!C35</f>
        <v>0</v>
      </c>
      <c r="D41" s="76">
        <f>'Kharif CC U'!D41+'Rabi CC U'!D35</f>
        <v>0</v>
      </c>
      <c r="E41" s="76">
        <f>'Kharif CC U'!E41+'Rabi CC U'!E35</f>
        <v>0</v>
      </c>
      <c r="F41" s="76">
        <f>'Kharif CC U'!F41+'Rabi CC U'!F35</f>
        <v>5.9820000000000002</v>
      </c>
      <c r="G41" s="76">
        <f>'Kharif CC U'!G41+'Rabi CC U'!G35</f>
        <v>0</v>
      </c>
      <c r="H41" s="76">
        <f>'Kharif CC U'!H41+'Rabi CC U'!H35</f>
        <v>0</v>
      </c>
      <c r="I41" s="76">
        <f>'Kharif CC U'!I41+'Rabi CC U'!I35</f>
        <v>0</v>
      </c>
      <c r="J41" s="76">
        <f>'Kharif CC U'!J41+'Rabi CC U'!J35</f>
        <v>0</v>
      </c>
      <c r="K41" s="76">
        <f>'Kharif CC U'!K41+'Rabi CC U'!K35</f>
        <v>3.6908940000000001</v>
      </c>
      <c r="L41" s="76" t="e">
        <f>'Kharif CC U'!L41+'Rabi CC U'!L35</f>
        <v>#DIV/0!</v>
      </c>
      <c r="M41" s="76" t="e">
        <f>'Kharif CC U'!M41+'Rabi CC U'!M35</f>
        <v>#DIV/0!</v>
      </c>
      <c r="N41" s="76" t="e">
        <f>'Kharif CC U'!N41+'Rabi CC U'!N35</f>
        <v>#DIV/0!</v>
      </c>
      <c r="O41" s="76" t="e">
        <f>'Kharif CC U'!O41+'Rabi CC U'!O35</f>
        <v>#DIV/0!</v>
      </c>
      <c r="P41" s="99">
        <f>K41/F41*1000</f>
        <v>617</v>
      </c>
    </row>
    <row r="42" spans="1:16" ht="20.25" customHeight="1" x14ac:dyDescent="0.2">
      <c r="A42" s="199" t="s">
        <v>113</v>
      </c>
      <c r="B42" s="76">
        <f>'Kharif CC U'!B42</f>
        <v>6.7000000000000004E-2</v>
      </c>
      <c r="C42" s="76">
        <f>'Kharif CC U'!C42</f>
        <v>0.128</v>
      </c>
      <c r="D42" s="76">
        <f>'Kharif CC U'!D42</f>
        <v>0.11800000000000001</v>
      </c>
      <c r="E42" s="76">
        <f>'Kharif CC U'!E42</f>
        <v>0.17599999999999999</v>
      </c>
      <c r="F42" s="76">
        <f>'Kharif CC U'!F42</f>
        <v>0.11899999999999999</v>
      </c>
      <c r="G42" s="76">
        <f>'Kharif CC U'!G42</f>
        <v>9.3000000000000013E-2</v>
      </c>
      <c r="H42" s="76">
        <f>'Kharif CC U'!H42</f>
        <v>0.36100900000000002</v>
      </c>
      <c r="I42" s="76">
        <f>'Kharif CC U'!I42</f>
        <v>0.27598500000000004</v>
      </c>
      <c r="J42" s="76">
        <f>'Kharif CC U'!J42</f>
        <v>0.41501500000000002</v>
      </c>
      <c r="K42" s="76">
        <f>'Kharif CC U'!K42</f>
        <v>0.28698999999999997</v>
      </c>
      <c r="L42" s="99">
        <f t="shared" si="1"/>
        <v>1388.0597014925372</v>
      </c>
      <c r="M42" s="99">
        <f t="shared" si="2"/>
        <v>2820.3828125</v>
      </c>
      <c r="N42" s="99">
        <f t="shared" si="3"/>
        <v>2338.8559322033902</v>
      </c>
      <c r="O42" s="99">
        <f t="shared" si="4"/>
        <v>2358.039772727273</v>
      </c>
      <c r="P42" s="99">
        <f t="shared" si="5"/>
        <v>2411.6806722689071</v>
      </c>
    </row>
    <row r="43" spans="1:16" ht="20.25" customHeight="1" x14ac:dyDescent="0.2">
      <c r="A43" s="199" t="s">
        <v>111</v>
      </c>
      <c r="B43" s="76">
        <f>'Kharif CC U'!B43</f>
        <v>0</v>
      </c>
      <c r="C43" s="76">
        <f>'Kharif CC U'!C43</f>
        <v>0</v>
      </c>
      <c r="D43" s="76">
        <f>'Kharif CC U'!D43</f>
        <v>0</v>
      </c>
      <c r="E43" s="76">
        <f>'Kharif CC U'!E43</f>
        <v>0.08</v>
      </c>
      <c r="F43" s="76">
        <f>'Kharif CC U'!F43</f>
        <v>8.0000000000000002E-3</v>
      </c>
      <c r="G43" s="76">
        <f>'Kharif CC U'!G43</f>
        <v>0</v>
      </c>
      <c r="H43" s="76">
        <f>'Kharif CC U'!H43</f>
        <v>0</v>
      </c>
      <c r="I43" s="76">
        <f>'Kharif CC U'!I43</f>
        <v>0</v>
      </c>
      <c r="J43" s="76">
        <f>'Kharif CC U'!J43</f>
        <v>0.24</v>
      </c>
      <c r="K43" s="76">
        <f>'Kharif CC U'!K43</f>
        <v>2.4E-2</v>
      </c>
      <c r="L43" s="99" t="e">
        <f t="shared" si="1"/>
        <v>#DIV/0!</v>
      </c>
      <c r="M43" s="99" t="e">
        <f t="shared" si="2"/>
        <v>#DIV/0!</v>
      </c>
      <c r="N43" s="99" t="e">
        <f t="shared" si="3"/>
        <v>#DIV/0!</v>
      </c>
      <c r="O43" s="99">
        <f t="shared" si="4"/>
        <v>3000</v>
      </c>
      <c r="P43" s="99">
        <f t="shared" si="5"/>
        <v>3000</v>
      </c>
    </row>
    <row r="44" spans="1:16" s="8" customFormat="1" ht="20.25" customHeight="1" x14ac:dyDescent="0.2">
      <c r="A44" s="245" t="s">
        <v>46</v>
      </c>
      <c r="B44" s="93">
        <f>'Kharif CC U'!B44+'Rabi CC U'!B37</f>
        <v>25007.596500000003</v>
      </c>
      <c r="C44" s="93">
        <f>'Kharif CC U'!C44+'Rabi CC U'!C37</f>
        <v>24286.477499999997</v>
      </c>
      <c r="D44" s="93">
        <f>'Kharif CC U'!D44+'Rabi CC U'!D37</f>
        <v>22145.733929999995</v>
      </c>
      <c r="E44" s="93">
        <f>'Kharif CC U'!E44+'Rabi CC U'!E37</f>
        <v>23987.898799999995</v>
      </c>
      <c r="F44" s="93">
        <f>'Kharif CC U'!F44+'Rabi CC U'!F37</f>
        <v>24117.845000000001</v>
      </c>
      <c r="G44" s="93">
        <f>'Kharif CC U'!G44+'Rabi CC U'!G37</f>
        <v>43772.138536999992</v>
      </c>
      <c r="H44" s="93">
        <f>'Kharif CC U'!H44+'Rabi CC U'!H37</f>
        <v>46970.188682</v>
      </c>
      <c r="I44" s="93">
        <f>'Kharif CC U'!I44+'Rabi CC U'!I37</f>
        <v>43059.405691350003</v>
      </c>
      <c r="J44" s="93">
        <f>'Kharif CC U'!J44+'Rabi CC U'!J37</f>
        <v>47748.372977400002</v>
      </c>
      <c r="K44" s="93">
        <f>'Kharif CC U'!K44+'Rabi CC U'!K37</f>
        <v>51323.802380830988</v>
      </c>
      <c r="L44" s="285">
        <f t="shared" si="1"/>
        <v>1750.3536790110952</v>
      </c>
      <c r="M44" s="285">
        <f t="shared" si="2"/>
        <v>1934.0058138114102</v>
      </c>
      <c r="N44" s="285">
        <f t="shared" si="3"/>
        <v>1944.3657106806943</v>
      </c>
      <c r="O44" s="285">
        <f t="shared" si="4"/>
        <v>1990.5191936777726</v>
      </c>
      <c r="P44" s="285">
        <f t="shared" si="5"/>
        <v>2128.0426331967465</v>
      </c>
    </row>
    <row r="45" spans="1:16" x14ac:dyDescent="0.2">
      <c r="A45" s="21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6" x14ac:dyDescent="0.2">
      <c r="A46" s="21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6" x14ac:dyDescent="0.2">
      <c r="A47" s="21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6" x14ac:dyDescent="0.2">
      <c r="A48" s="21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2">
      <c r="A49" s="21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2">
      <c r="A50" s="21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2">
      <c r="A51" s="21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2">
      <c r="A52" s="21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2">
      <c r="A53" s="21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2">
      <c r="A54" s="21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2">
      <c r="A55" s="21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2">
      <c r="A56" s="21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2">
      <c r="A57" s="21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2">
      <c r="A58" s="21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2">
      <c r="A59" s="21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2">
      <c r="A60" s="21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2">
      <c r="A61" s="21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2">
      <c r="A62" s="21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2">
      <c r="A63" s="21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2">
      <c r="A64" s="21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2">
      <c r="A65" s="21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2">
      <c r="A66" s="21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2">
      <c r="A67" s="21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2">
      <c r="A68" s="21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2">
      <c r="A69" s="21"/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1" x14ac:dyDescent="0.2">
      <c r="A70" s="21"/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x14ac:dyDescent="0.2">
      <c r="A71" s="21"/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x14ac:dyDescent="0.2">
      <c r="A72" s="21"/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x14ac:dyDescent="0.2">
      <c r="A73" s="21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x14ac:dyDescent="0.2">
      <c r="A74" s="21"/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1:11" x14ac:dyDescent="0.2">
      <c r="A75" s="21"/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1:11" x14ac:dyDescent="0.2">
      <c r="A76" s="21"/>
      <c r="B76" s="9"/>
      <c r="C76" s="9"/>
      <c r="D76" s="9"/>
      <c r="E76" s="9"/>
      <c r="F76" s="9"/>
      <c r="G76" s="9"/>
      <c r="H76" s="9"/>
      <c r="I76" s="9"/>
      <c r="J76" s="9"/>
      <c r="K76" s="9"/>
    </row>
    <row r="77" spans="1:11" x14ac:dyDescent="0.2">
      <c r="A77" s="21"/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2">
      <c r="A78" s="21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2">
      <c r="A79" s="21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2">
      <c r="A80" s="21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 x14ac:dyDescent="0.2">
      <c r="A81" s="21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 x14ac:dyDescent="0.2">
      <c r="A82" s="21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x14ac:dyDescent="0.2">
      <c r="A83" s="21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1:11" x14ac:dyDescent="0.2">
      <c r="A84" s="21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x14ac:dyDescent="0.2">
      <c r="A85" s="21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1:11" x14ac:dyDescent="0.2">
      <c r="A86" s="21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x14ac:dyDescent="0.2">
      <c r="A87" s="21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1:11" x14ac:dyDescent="0.2">
      <c r="A88" s="21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x14ac:dyDescent="0.2">
      <c r="A89" s="21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x14ac:dyDescent="0.2">
      <c r="A90" s="21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x14ac:dyDescent="0.2">
      <c r="A91" s="21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x14ac:dyDescent="0.2">
      <c r="A92" s="21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x14ac:dyDescent="0.2">
      <c r="A93" s="21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x14ac:dyDescent="0.2">
      <c r="A94" s="21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x14ac:dyDescent="0.2">
      <c r="A95" s="21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x14ac:dyDescent="0.2">
      <c r="A96" s="21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x14ac:dyDescent="0.2">
      <c r="A97" s="21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1:11" x14ac:dyDescent="0.2">
      <c r="A98" s="21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x14ac:dyDescent="0.2">
      <c r="A99" s="21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x14ac:dyDescent="0.2">
      <c r="A100" s="21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x14ac:dyDescent="0.2">
      <c r="A101" s="21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11" x14ac:dyDescent="0.2">
      <c r="A102" s="21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x14ac:dyDescent="0.2">
      <c r="A103" s="21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11" x14ac:dyDescent="0.2">
      <c r="A104" s="21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x14ac:dyDescent="0.2">
      <c r="A105" s="21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x14ac:dyDescent="0.2">
      <c r="A106" s="21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x14ac:dyDescent="0.2">
      <c r="A107" s="21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spans="1:11" x14ac:dyDescent="0.2">
      <c r="A108" s="21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x14ac:dyDescent="0.2">
      <c r="A109" s="21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1:11" x14ac:dyDescent="0.2">
      <c r="A110" s="21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x14ac:dyDescent="0.2">
      <c r="A111" s="21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x14ac:dyDescent="0.2">
      <c r="A112" s="21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x14ac:dyDescent="0.2">
      <c r="A113" s="21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1:11" x14ac:dyDescent="0.2">
      <c r="A114" s="21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x14ac:dyDescent="0.2">
      <c r="A115" s="21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x14ac:dyDescent="0.2">
      <c r="A116" s="21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x14ac:dyDescent="0.2">
      <c r="A117" s="21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1:11" x14ac:dyDescent="0.2">
      <c r="A118" s="21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x14ac:dyDescent="0.2">
      <c r="A119" s="21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1:11" x14ac:dyDescent="0.2">
      <c r="A120" s="21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x14ac:dyDescent="0.2">
      <c r="A121" s="21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1:11" x14ac:dyDescent="0.2">
      <c r="A122" s="21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x14ac:dyDescent="0.2">
      <c r="A123" s="21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x14ac:dyDescent="0.2">
      <c r="A124" s="21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x14ac:dyDescent="0.2">
      <c r="A125" s="21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x14ac:dyDescent="0.2">
      <c r="A126" s="21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x14ac:dyDescent="0.2">
      <c r="A127" s="21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x14ac:dyDescent="0.2">
      <c r="A128" s="21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x14ac:dyDescent="0.2">
      <c r="A129" s="21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x14ac:dyDescent="0.2">
      <c r="A130" s="21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x14ac:dyDescent="0.2">
      <c r="A131" s="21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x14ac:dyDescent="0.2">
      <c r="A132" s="21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x14ac:dyDescent="0.2">
      <c r="A133" s="21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x14ac:dyDescent="0.2">
      <c r="A134" s="21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x14ac:dyDescent="0.2">
      <c r="A135" s="21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x14ac:dyDescent="0.2">
      <c r="A136" s="21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x14ac:dyDescent="0.2">
      <c r="A137" s="21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x14ac:dyDescent="0.2">
      <c r="A138" s="21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x14ac:dyDescent="0.2">
      <c r="A139" s="21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 x14ac:dyDescent="0.2">
      <c r="A140" s="21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x14ac:dyDescent="0.2">
      <c r="A141" s="21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1:11" x14ac:dyDescent="0.2">
      <c r="A142" s="21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x14ac:dyDescent="0.2">
      <c r="A143" s="21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1:11" x14ac:dyDescent="0.2">
      <c r="A144" s="21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x14ac:dyDescent="0.2">
      <c r="A145" s="21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1:11" x14ac:dyDescent="0.2">
      <c r="A146" s="21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x14ac:dyDescent="0.2">
      <c r="A147" s="21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x14ac:dyDescent="0.2">
      <c r="A148" s="21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x14ac:dyDescent="0.2">
      <c r="A149" s="21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1:11" x14ac:dyDescent="0.2">
      <c r="A150" s="21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x14ac:dyDescent="0.2">
      <c r="A151" s="21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1:11" x14ac:dyDescent="0.2">
      <c r="A152" s="21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x14ac:dyDescent="0.2">
      <c r="A153" s="21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1:11" x14ac:dyDescent="0.2">
      <c r="A154" s="21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x14ac:dyDescent="0.2">
      <c r="A155" s="21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1:11" x14ac:dyDescent="0.2">
      <c r="A156" s="21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x14ac:dyDescent="0.2">
      <c r="A157" s="21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1:11" x14ac:dyDescent="0.2">
      <c r="A158" s="21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x14ac:dyDescent="0.2">
      <c r="A159" s="21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x14ac:dyDescent="0.2">
      <c r="A160" s="21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x14ac:dyDescent="0.2">
      <c r="A161" s="21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1:11" x14ac:dyDescent="0.2">
      <c r="A162" s="21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x14ac:dyDescent="0.2">
      <c r="A163" s="21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1:11" x14ac:dyDescent="0.2">
      <c r="A164" s="21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x14ac:dyDescent="0.2">
      <c r="A165" s="21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x14ac:dyDescent="0.2">
      <c r="A166" s="21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x14ac:dyDescent="0.2">
      <c r="A167" s="21"/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spans="1:11" x14ac:dyDescent="0.2">
      <c r="A168" s="21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 x14ac:dyDescent="0.2">
      <c r="A169" s="21"/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spans="1:11" x14ac:dyDescent="0.2">
      <c r="A170" s="21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x14ac:dyDescent="0.2">
      <c r="A171" s="21"/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spans="1:11" x14ac:dyDescent="0.2">
      <c r="A172" s="21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x14ac:dyDescent="0.2">
      <c r="A173" s="21"/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spans="1:11" x14ac:dyDescent="0.2">
      <c r="A174" s="21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x14ac:dyDescent="0.2">
      <c r="A175" s="21"/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 spans="1:11" x14ac:dyDescent="0.2">
      <c r="A176" s="21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1:11" x14ac:dyDescent="0.2">
      <c r="A177" s="21"/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 spans="1:11" x14ac:dyDescent="0.2">
      <c r="A178" s="21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1:11" x14ac:dyDescent="0.2">
      <c r="A179" s="21"/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 spans="1:11" x14ac:dyDescent="0.2">
      <c r="A180" s="21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1:11" x14ac:dyDescent="0.2">
      <c r="A181" s="21"/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spans="1:11" x14ac:dyDescent="0.2">
      <c r="A182" s="21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1:11" x14ac:dyDescent="0.2">
      <c r="A183" s="21"/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spans="1:11" x14ac:dyDescent="0.2">
      <c r="A184" s="21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1:11" x14ac:dyDescent="0.2">
      <c r="A185" s="21"/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 spans="1:11" x14ac:dyDescent="0.2">
      <c r="A186" s="21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1:11" x14ac:dyDescent="0.2">
      <c r="A187" s="21"/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 spans="1:11" x14ac:dyDescent="0.2">
      <c r="A188" s="21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1:11" x14ac:dyDescent="0.2">
      <c r="A189" s="21"/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 spans="1:11" x14ac:dyDescent="0.2">
      <c r="A190" s="21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1:11" x14ac:dyDescent="0.2">
      <c r="A191" s="21"/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 spans="1:11" x14ac:dyDescent="0.2">
      <c r="A192" s="21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 x14ac:dyDescent="0.2">
      <c r="A193" s="21"/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 spans="1:11" x14ac:dyDescent="0.2">
      <c r="A194" s="21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x14ac:dyDescent="0.2">
      <c r="A195" s="21"/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spans="1:11" x14ac:dyDescent="0.2">
      <c r="A196" s="21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1:11" x14ac:dyDescent="0.2">
      <c r="A197" s="21"/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spans="1:11" x14ac:dyDescent="0.2">
      <c r="A198" s="21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1:11" x14ac:dyDescent="0.2">
      <c r="A199" s="21"/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 spans="1:11" x14ac:dyDescent="0.2">
      <c r="A200" s="21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1:11" x14ac:dyDescent="0.2">
      <c r="A201" s="21"/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 spans="1:11" x14ac:dyDescent="0.2">
      <c r="A202" s="21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1:11" x14ac:dyDescent="0.2">
      <c r="A203" s="21"/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 spans="1:11" x14ac:dyDescent="0.2">
      <c r="A204" s="21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1:11" x14ac:dyDescent="0.2">
      <c r="A205" s="21"/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 spans="1:11" x14ac:dyDescent="0.2">
      <c r="A206" s="21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1:11" x14ac:dyDescent="0.2">
      <c r="A207" s="21"/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 spans="1:11" x14ac:dyDescent="0.2">
      <c r="A208" s="21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 x14ac:dyDescent="0.2">
      <c r="A209" s="21"/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 spans="1:11" x14ac:dyDescent="0.2">
      <c r="A210" s="21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1:11" x14ac:dyDescent="0.2">
      <c r="A211" s="21"/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 spans="1:11" x14ac:dyDescent="0.2">
      <c r="A212" s="21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1:11" x14ac:dyDescent="0.2">
      <c r="A213" s="21"/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 spans="1:11" x14ac:dyDescent="0.2">
      <c r="A214" s="21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1:11" x14ac:dyDescent="0.2">
      <c r="A215" s="21"/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spans="1:11" x14ac:dyDescent="0.2">
      <c r="A216" s="21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1:11" x14ac:dyDescent="0.2">
      <c r="A217" s="21"/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 spans="1:11" x14ac:dyDescent="0.2">
      <c r="A218" s="21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1:11" x14ac:dyDescent="0.2">
      <c r="A219" s="21"/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 spans="1:11" x14ac:dyDescent="0.2">
      <c r="A220" s="21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1:11" x14ac:dyDescent="0.2">
      <c r="A221" s="21"/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 spans="1:11" x14ac:dyDescent="0.2">
      <c r="A222" s="21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1:11" x14ac:dyDescent="0.2">
      <c r="A223" s="21"/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 spans="1:11" x14ac:dyDescent="0.2">
      <c r="A224" s="21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 x14ac:dyDescent="0.2">
      <c r="A225" s="21"/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 spans="1:11" x14ac:dyDescent="0.2">
      <c r="A226" s="21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1:11" x14ac:dyDescent="0.2">
      <c r="A227" s="21"/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 spans="1:11" x14ac:dyDescent="0.2">
      <c r="A228" s="21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1" x14ac:dyDescent="0.2">
      <c r="A229" s="21"/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 spans="1:11" x14ac:dyDescent="0.2">
      <c r="A230" s="21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1:11" x14ac:dyDescent="0.2">
      <c r="A231" s="21"/>
      <c r="B231" s="9"/>
      <c r="C231" s="9"/>
      <c r="D231" s="9"/>
      <c r="E231" s="9"/>
      <c r="F231" s="9"/>
      <c r="G231" s="9"/>
      <c r="H231" s="9"/>
      <c r="I231" s="9"/>
      <c r="J231" s="9"/>
      <c r="K231" s="9"/>
    </row>
    <row r="232" spans="1:11" x14ac:dyDescent="0.2">
      <c r="A232" s="21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spans="1:11" x14ac:dyDescent="0.2">
      <c r="A233" s="21"/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 spans="1:11" x14ac:dyDescent="0.2">
      <c r="A234" s="21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spans="1:11" x14ac:dyDescent="0.2">
      <c r="A235" s="21"/>
      <c r="B235" s="9"/>
      <c r="C235" s="9"/>
      <c r="D235" s="9"/>
      <c r="E235" s="9"/>
      <c r="F235" s="9"/>
      <c r="G235" s="9"/>
      <c r="H235" s="9"/>
      <c r="I235" s="9"/>
      <c r="J235" s="9"/>
      <c r="K235" s="9"/>
    </row>
    <row r="236" spans="1:11" x14ac:dyDescent="0.2">
      <c r="A236" s="21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spans="1:11" x14ac:dyDescent="0.2">
      <c r="A237" s="21"/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spans="1:11" x14ac:dyDescent="0.2">
      <c r="A238" s="21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11" x14ac:dyDescent="0.2">
      <c r="A239" s="21"/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 spans="1:11" x14ac:dyDescent="0.2">
      <c r="A240" s="21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1:11" x14ac:dyDescent="0.2">
      <c r="A241" s="21"/>
      <c r="B241" s="9"/>
      <c r="C241" s="9"/>
      <c r="D241" s="9"/>
      <c r="E241" s="9"/>
      <c r="F241" s="9"/>
      <c r="G241" s="9"/>
      <c r="H241" s="9"/>
      <c r="I241" s="9"/>
      <c r="J241" s="9"/>
      <c r="K241" s="9"/>
    </row>
    <row r="242" spans="1:11" x14ac:dyDescent="0.2">
      <c r="A242" s="21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 x14ac:dyDescent="0.2">
      <c r="A243" s="21"/>
      <c r="B243" s="9"/>
      <c r="C243" s="9"/>
      <c r="D243" s="9"/>
      <c r="E243" s="9"/>
      <c r="F243" s="9"/>
      <c r="G243" s="9"/>
      <c r="H243" s="9"/>
      <c r="I243" s="9"/>
      <c r="J243" s="9"/>
      <c r="K243" s="9"/>
    </row>
    <row r="244" spans="1:11" x14ac:dyDescent="0.2">
      <c r="A244" s="21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spans="1:11" x14ac:dyDescent="0.2">
      <c r="A245" s="21"/>
      <c r="B245" s="9"/>
      <c r="C245" s="9"/>
      <c r="D245" s="9"/>
      <c r="E245" s="9"/>
      <c r="F245" s="9"/>
      <c r="G245" s="9"/>
      <c r="H245" s="9"/>
      <c r="I245" s="9"/>
      <c r="J245" s="9"/>
      <c r="K245" s="9"/>
    </row>
    <row r="246" spans="1:11" x14ac:dyDescent="0.2">
      <c r="A246" s="21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spans="1:11" x14ac:dyDescent="0.2">
      <c r="A247" s="21"/>
      <c r="B247" s="9"/>
      <c r="C247" s="9"/>
      <c r="D247" s="9"/>
      <c r="E247" s="9"/>
      <c r="F247" s="9"/>
      <c r="G247" s="9"/>
      <c r="H247" s="9"/>
      <c r="I247" s="9"/>
      <c r="J247" s="9"/>
      <c r="K247" s="9"/>
    </row>
    <row r="248" spans="1:11" x14ac:dyDescent="0.2">
      <c r="A248" s="21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1:11" x14ac:dyDescent="0.2">
      <c r="A249" s="21"/>
      <c r="B249" s="9"/>
      <c r="C249" s="9"/>
      <c r="D249" s="9"/>
      <c r="E249" s="9"/>
      <c r="F249" s="9"/>
      <c r="G249" s="9"/>
      <c r="H249" s="9"/>
      <c r="I249" s="9"/>
      <c r="J249" s="9"/>
      <c r="K249" s="9"/>
    </row>
    <row r="250" spans="1:11" x14ac:dyDescent="0.2">
      <c r="A250" s="21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spans="1:11" x14ac:dyDescent="0.2">
      <c r="A251" s="21"/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spans="1:11" x14ac:dyDescent="0.2">
      <c r="A252" s="21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spans="1:11" x14ac:dyDescent="0.2">
      <c r="A253" s="21"/>
      <c r="B253" s="9"/>
      <c r="C253" s="9"/>
      <c r="D253" s="9"/>
      <c r="E253" s="9"/>
      <c r="F253" s="9"/>
      <c r="G253" s="9"/>
      <c r="H253" s="9"/>
      <c r="I253" s="9"/>
      <c r="J253" s="9"/>
      <c r="K253" s="9"/>
    </row>
    <row r="254" spans="1:11" x14ac:dyDescent="0.2">
      <c r="A254" s="21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spans="1:11" x14ac:dyDescent="0.2">
      <c r="A255" s="21"/>
      <c r="B255" s="9"/>
      <c r="C255" s="9"/>
      <c r="D255" s="9"/>
      <c r="E255" s="9"/>
      <c r="F255" s="9"/>
      <c r="G255" s="9"/>
      <c r="H255" s="9"/>
      <c r="I255" s="9"/>
      <c r="J255" s="9"/>
      <c r="K255" s="9"/>
    </row>
    <row r="256" spans="1:11" x14ac:dyDescent="0.2">
      <c r="A256" s="21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spans="1:11" x14ac:dyDescent="0.2">
      <c r="A257" s="21"/>
      <c r="B257" s="9"/>
      <c r="C257" s="9"/>
      <c r="D257" s="9"/>
      <c r="E257" s="9"/>
      <c r="F257" s="9"/>
      <c r="G257" s="9"/>
      <c r="H257" s="9"/>
      <c r="I257" s="9"/>
      <c r="J257" s="9"/>
      <c r="K257" s="9"/>
    </row>
    <row r="258" spans="1:11" x14ac:dyDescent="0.2">
      <c r="A258" s="21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1:11" x14ac:dyDescent="0.2">
      <c r="A259" s="21"/>
      <c r="B259" s="9"/>
      <c r="C259" s="9"/>
      <c r="D259" s="9"/>
      <c r="E259" s="9"/>
      <c r="F259" s="9"/>
      <c r="G259" s="9"/>
      <c r="H259" s="9"/>
      <c r="I259" s="9"/>
      <c r="J259" s="9"/>
      <c r="K259" s="9"/>
    </row>
    <row r="260" spans="1:11" x14ac:dyDescent="0.2">
      <c r="A260" s="21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 x14ac:dyDescent="0.2">
      <c r="A261" s="21"/>
      <c r="B261" s="9"/>
      <c r="C261" s="9"/>
      <c r="D261" s="9"/>
      <c r="E261" s="9"/>
      <c r="F261" s="9"/>
      <c r="G261" s="9"/>
      <c r="H261" s="9"/>
      <c r="I261" s="9"/>
      <c r="J261" s="9"/>
      <c r="K261" s="9"/>
    </row>
    <row r="262" spans="1:11" x14ac:dyDescent="0.2">
      <c r="A262" s="21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spans="1:11" x14ac:dyDescent="0.2">
      <c r="A263" s="21"/>
      <c r="B263" s="9"/>
      <c r="C263" s="9"/>
      <c r="D263" s="9"/>
      <c r="E263" s="9"/>
      <c r="F263" s="9"/>
      <c r="G263" s="9"/>
      <c r="H263" s="9"/>
      <c r="I263" s="9"/>
      <c r="J263" s="9"/>
      <c r="K263" s="9"/>
    </row>
    <row r="264" spans="1:11" x14ac:dyDescent="0.2">
      <c r="A264" s="21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spans="1:11" x14ac:dyDescent="0.2">
      <c r="A265" s="21"/>
      <c r="B265" s="9"/>
      <c r="C265" s="9"/>
      <c r="D265" s="9"/>
      <c r="E265" s="9"/>
      <c r="F265" s="9"/>
      <c r="G265" s="9"/>
      <c r="H265" s="9"/>
      <c r="I265" s="9"/>
      <c r="J265" s="9"/>
      <c r="K265" s="9"/>
    </row>
    <row r="266" spans="1:11" x14ac:dyDescent="0.2">
      <c r="A266" s="21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spans="1:11" x14ac:dyDescent="0.2">
      <c r="A267" s="21"/>
      <c r="B267" s="9"/>
      <c r="C267" s="9"/>
      <c r="D267" s="9"/>
      <c r="E267" s="9"/>
      <c r="F267" s="9"/>
      <c r="G267" s="9"/>
      <c r="H267" s="9"/>
      <c r="I267" s="9"/>
      <c r="J267" s="9"/>
      <c r="K267" s="9"/>
    </row>
    <row r="268" spans="1:11" x14ac:dyDescent="0.2">
      <c r="A268" s="21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1:11" x14ac:dyDescent="0.2">
      <c r="A269" s="21"/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 spans="1:11" x14ac:dyDescent="0.2">
      <c r="A270" s="21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spans="1:11" x14ac:dyDescent="0.2">
      <c r="A271" s="21"/>
      <c r="B271" s="9"/>
      <c r="C271" s="9"/>
      <c r="D271" s="9"/>
      <c r="E271" s="9"/>
      <c r="F271" s="9"/>
      <c r="G271" s="9"/>
      <c r="H271" s="9"/>
      <c r="I271" s="9"/>
      <c r="J271" s="9"/>
      <c r="K271" s="9"/>
    </row>
    <row r="272" spans="1:11" x14ac:dyDescent="0.2">
      <c r="A272" s="21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spans="1:11" x14ac:dyDescent="0.2">
      <c r="A273" s="21"/>
      <c r="B273" s="9"/>
      <c r="C273" s="9"/>
      <c r="D273" s="9"/>
      <c r="E273" s="9"/>
      <c r="F273" s="9"/>
      <c r="G273" s="9"/>
      <c r="H273" s="9"/>
      <c r="I273" s="9"/>
      <c r="J273" s="9"/>
      <c r="K273" s="9"/>
    </row>
    <row r="274" spans="1:11" x14ac:dyDescent="0.2">
      <c r="A274" s="21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spans="1:11" x14ac:dyDescent="0.2">
      <c r="A275" s="21"/>
      <c r="B275" s="9"/>
      <c r="C275" s="9"/>
      <c r="D275" s="9"/>
      <c r="E275" s="9"/>
      <c r="F275" s="9"/>
      <c r="G275" s="9"/>
      <c r="H275" s="9"/>
      <c r="I275" s="9"/>
      <c r="J275" s="9"/>
      <c r="K275" s="9"/>
    </row>
    <row r="276" spans="1:11" x14ac:dyDescent="0.2">
      <c r="A276" s="21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spans="1:11" x14ac:dyDescent="0.2">
      <c r="A277" s="21"/>
      <c r="B277" s="9"/>
      <c r="C277" s="9"/>
      <c r="D277" s="9"/>
      <c r="E277" s="9"/>
      <c r="F277" s="9"/>
      <c r="G277" s="9"/>
      <c r="H277" s="9"/>
      <c r="I277" s="9"/>
      <c r="J277" s="9"/>
      <c r="K277" s="9"/>
    </row>
    <row r="278" spans="1:11" x14ac:dyDescent="0.2">
      <c r="A278" s="21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 x14ac:dyDescent="0.2">
      <c r="A279" s="21"/>
      <c r="B279" s="9"/>
      <c r="C279" s="9"/>
      <c r="D279" s="9"/>
      <c r="E279" s="9"/>
      <c r="F279" s="9"/>
      <c r="G279" s="9"/>
      <c r="H279" s="9"/>
      <c r="I279" s="9"/>
      <c r="J279" s="9"/>
      <c r="K279" s="9"/>
    </row>
    <row r="280" spans="1:11" x14ac:dyDescent="0.2">
      <c r="A280" s="21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spans="1:11" x14ac:dyDescent="0.2">
      <c r="A281" s="21"/>
      <c r="B281" s="9"/>
      <c r="C281" s="9"/>
      <c r="D281" s="9"/>
      <c r="E281" s="9"/>
      <c r="F281" s="9"/>
      <c r="G281" s="9"/>
      <c r="H281" s="9"/>
      <c r="I281" s="9"/>
      <c r="J281" s="9"/>
      <c r="K281" s="9"/>
    </row>
    <row r="282" spans="1:11" x14ac:dyDescent="0.2">
      <c r="A282" s="21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spans="1:11" x14ac:dyDescent="0.2">
      <c r="A283" s="21"/>
      <c r="B283" s="9"/>
      <c r="C283" s="9"/>
      <c r="D283" s="9"/>
      <c r="E283" s="9"/>
      <c r="F283" s="9"/>
      <c r="G283" s="9"/>
      <c r="H283" s="9"/>
      <c r="I283" s="9"/>
      <c r="J283" s="9"/>
      <c r="K283" s="9"/>
    </row>
    <row r="284" spans="1:11" x14ac:dyDescent="0.2">
      <c r="A284" s="21"/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 spans="1:11" x14ac:dyDescent="0.2">
      <c r="A285" s="21"/>
      <c r="B285" s="9"/>
      <c r="C285" s="9"/>
      <c r="D285" s="9"/>
      <c r="E285" s="9"/>
      <c r="F285" s="9"/>
      <c r="G285" s="9"/>
      <c r="H285" s="9"/>
      <c r="I285" s="9"/>
      <c r="J285" s="9"/>
      <c r="K285" s="9"/>
    </row>
    <row r="286" spans="1:11" x14ac:dyDescent="0.2">
      <c r="A286" s="21"/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 spans="1:11" x14ac:dyDescent="0.2">
      <c r="A287" s="21"/>
      <c r="B287" s="9"/>
      <c r="C287" s="9"/>
      <c r="D287" s="9"/>
      <c r="E287" s="9"/>
      <c r="F287" s="9"/>
      <c r="G287" s="9"/>
      <c r="H287" s="9"/>
      <c r="I287" s="9"/>
      <c r="J287" s="9"/>
      <c r="K287" s="9"/>
    </row>
    <row r="288" spans="1:11" x14ac:dyDescent="0.2">
      <c r="A288" s="21"/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 spans="1:11" x14ac:dyDescent="0.2">
      <c r="A289" s="21"/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 spans="1:11" x14ac:dyDescent="0.2">
      <c r="A290" s="21"/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 x14ac:dyDescent="0.2">
      <c r="A291" s="21"/>
      <c r="B291" s="9"/>
      <c r="C291" s="9"/>
      <c r="D291" s="9"/>
      <c r="E291" s="9"/>
      <c r="F291" s="9"/>
      <c r="G291" s="9"/>
      <c r="H291" s="9"/>
      <c r="I291" s="9"/>
      <c r="J291" s="9"/>
      <c r="K291" s="9"/>
    </row>
    <row r="292" spans="1:11" x14ac:dyDescent="0.2">
      <c r="A292" s="21"/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 x14ac:dyDescent="0.2">
      <c r="A293" s="21"/>
      <c r="B293" s="9"/>
      <c r="C293" s="9"/>
      <c r="D293" s="9"/>
      <c r="E293" s="9"/>
      <c r="F293" s="9"/>
      <c r="G293" s="9"/>
      <c r="H293" s="9"/>
      <c r="I293" s="9"/>
      <c r="J293" s="9"/>
      <c r="K293" s="9"/>
    </row>
    <row r="294" spans="1:11" x14ac:dyDescent="0.2">
      <c r="A294" s="21"/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 spans="1:11" x14ac:dyDescent="0.2">
      <c r="A295" s="21"/>
      <c r="B295" s="9"/>
      <c r="C295" s="9"/>
      <c r="D295" s="9"/>
      <c r="E295" s="9"/>
      <c r="F295" s="9"/>
      <c r="G295" s="9"/>
      <c r="H295" s="9"/>
      <c r="I295" s="9"/>
      <c r="J295" s="9"/>
      <c r="K295" s="9"/>
    </row>
    <row r="296" spans="1:11" x14ac:dyDescent="0.2">
      <c r="A296" s="21"/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 spans="1:11" x14ac:dyDescent="0.2">
      <c r="A297" s="21"/>
      <c r="B297" s="9"/>
      <c r="C297" s="9"/>
      <c r="D297" s="9"/>
      <c r="E297" s="9"/>
      <c r="F297" s="9"/>
      <c r="G297" s="9"/>
      <c r="H297" s="9"/>
      <c r="I297" s="9"/>
      <c r="J297" s="9"/>
      <c r="K297" s="9"/>
    </row>
    <row r="298" spans="1:11" x14ac:dyDescent="0.2">
      <c r="A298" s="21"/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spans="1:11" x14ac:dyDescent="0.2">
      <c r="A299" s="21"/>
      <c r="B299" s="9"/>
      <c r="C299" s="9"/>
      <c r="D299" s="9"/>
      <c r="E299" s="9"/>
      <c r="F299" s="9"/>
      <c r="G299" s="9"/>
      <c r="H299" s="9"/>
      <c r="I299" s="9"/>
      <c r="J299" s="9"/>
      <c r="K299" s="9"/>
    </row>
    <row r="300" spans="1:11" x14ac:dyDescent="0.2">
      <c r="A300" s="21"/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 spans="1:11" x14ac:dyDescent="0.2">
      <c r="A301" s="21"/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 spans="1:11" x14ac:dyDescent="0.2">
      <c r="A302" s="21"/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 spans="1:11" x14ac:dyDescent="0.2">
      <c r="A303" s="21"/>
      <c r="B303" s="9"/>
      <c r="C303" s="9"/>
      <c r="D303" s="9"/>
      <c r="E303" s="9"/>
      <c r="F303" s="9"/>
      <c r="G303" s="9"/>
      <c r="H303" s="9"/>
      <c r="I303" s="9"/>
      <c r="J303" s="9"/>
      <c r="K303" s="9"/>
    </row>
    <row r="304" spans="1:11" x14ac:dyDescent="0.2">
      <c r="A304" s="21"/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 spans="1:11" x14ac:dyDescent="0.2">
      <c r="A305" s="21"/>
      <c r="B305" s="9"/>
      <c r="C305" s="9"/>
      <c r="D305" s="9"/>
      <c r="E305" s="9"/>
      <c r="F305" s="9"/>
      <c r="G305" s="9"/>
      <c r="H305" s="9"/>
      <c r="I305" s="9"/>
      <c r="J305" s="9"/>
      <c r="K305" s="9"/>
    </row>
    <row r="306" spans="1:11" x14ac:dyDescent="0.2">
      <c r="A306" s="21"/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 spans="1:11" x14ac:dyDescent="0.2">
      <c r="A307" s="21"/>
      <c r="B307" s="9"/>
      <c r="C307" s="9"/>
      <c r="D307" s="9"/>
      <c r="E307" s="9"/>
      <c r="F307" s="9"/>
      <c r="G307" s="9"/>
      <c r="H307" s="9"/>
      <c r="I307" s="9"/>
      <c r="J307" s="9"/>
      <c r="K307" s="9"/>
    </row>
    <row r="308" spans="1:11" x14ac:dyDescent="0.2">
      <c r="A308" s="21"/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 spans="1:11" x14ac:dyDescent="0.2">
      <c r="A309" s="21"/>
      <c r="B309" s="9"/>
      <c r="C309" s="9"/>
      <c r="D309" s="9"/>
      <c r="E309" s="9"/>
      <c r="F309" s="9"/>
      <c r="G309" s="9"/>
      <c r="H309" s="9"/>
      <c r="I309" s="9"/>
      <c r="J309" s="9"/>
      <c r="K309" s="9"/>
    </row>
    <row r="310" spans="1:11" x14ac:dyDescent="0.2">
      <c r="A310" s="21"/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 x14ac:dyDescent="0.2">
      <c r="A311" s="21"/>
      <c r="B311" s="9"/>
      <c r="C311" s="9"/>
      <c r="D311" s="9"/>
      <c r="E311" s="9"/>
      <c r="F311" s="9"/>
      <c r="G311" s="9"/>
      <c r="H311" s="9"/>
      <c r="I311" s="9"/>
      <c r="J311" s="9"/>
      <c r="K311" s="9"/>
    </row>
    <row r="312" spans="1:11" x14ac:dyDescent="0.2">
      <c r="A312" s="21"/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 spans="1:11" x14ac:dyDescent="0.2">
      <c r="A313" s="21"/>
      <c r="B313" s="9"/>
      <c r="C313" s="9"/>
      <c r="D313" s="9"/>
      <c r="E313" s="9"/>
      <c r="F313" s="9"/>
      <c r="G313" s="9"/>
      <c r="H313" s="9"/>
      <c r="I313" s="9"/>
      <c r="J313" s="9"/>
      <c r="K313" s="9"/>
    </row>
    <row r="314" spans="1:11" x14ac:dyDescent="0.2">
      <c r="A314" s="21"/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 spans="1:11" x14ac:dyDescent="0.2">
      <c r="A315" s="21"/>
      <c r="B315" s="9"/>
      <c r="C315" s="9"/>
      <c r="D315" s="9"/>
      <c r="E315" s="9"/>
      <c r="F315" s="9"/>
      <c r="G315" s="9"/>
      <c r="H315" s="9"/>
      <c r="I315" s="9"/>
      <c r="J315" s="9"/>
      <c r="K315" s="9"/>
    </row>
    <row r="316" spans="1:11" x14ac:dyDescent="0.2">
      <c r="A316" s="21"/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 spans="1:11" x14ac:dyDescent="0.2">
      <c r="A317" s="21"/>
      <c r="B317" s="9"/>
      <c r="C317" s="9"/>
      <c r="D317" s="9"/>
      <c r="E317" s="9"/>
      <c r="F317" s="9"/>
      <c r="G317" s="9"/>
      <c r="H317" s="9"/>
      <c r="I317" s="9"/>
      <c r="J317" s="9"/>
      <c r="K317" s="9"/>
    </row>
    <row r="318" spans="1:11" x14ac:dyDescent="0.2">
      <c r="A318" s="21"/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 spans="1:11" x14ac:dyDescent="0.2">
      <c r="A319" s="21"/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 spans="1:11" x14ac:dyDescent="0.2">
      <c r="A320" s="21"/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 spans="1:11" x14ac:dyDescent="0.2">
      <c r="A321" s="21"/>
      <c r="B321" s="9"/>
      <c r="C321" s="9"/>
      <c r="D321" s="9"/>
      <c r="E321" s="9"/>
      <c r="F321" s="9"/>
      <c r="G321" s="9"/>
      <c r="H321" s="9"/>
      <c r="I321" s="9"/>
      <c r="J321" s="9"/>
      <c r="K321" s="9"/>
    </row>
    <row r="322" spans="1:11" x14ac:dyDescent="0.2">
      <c r="A322" s="21"/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 spans="1:11" x14ac:dyDescent="0.2">
      <c r="A323" s="21"/>
      <c r="B323" s="9"/>
      <c r="C323" s="9"/>
      <c r="D323" s="9"/>
      <c r="E323" s="9"/>
      <c r="F323" s="9"/>
      <c r="G323" s="9"/>
      <c r="H323" s="9"/>
      <c r="I323" s="9"/>
      <c r="J323" s="9"/>
      <c r="K323" s="9"/>
    </row>
    <row r="324" spans="1:11" x14ac:dyDescent="0.2">
      <c r="A324" s="21"/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 spans="1:11" x14ac:dyDescent="0.2">
      <c r="A325" s="21"/>
      <c r="B325" s="9"/>
      <c r="C325" s="9"/>
      <c r="D325" s="9"/>
      <c r="E325" s="9"/>
      <c r="F325" s="9"/>
      <c r="G325" s="9"/>
      <c r="H325" s="9"/>
      <c r="I325" s="9"/>
      <c r="J325" s="9"/>
      <c r="K325" s="9"/>
    </row>
    <row r="326" spans="1:11" x14ac:dyDescent="0.2">
      <c r="A326" s="21"/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 spans="1:11" x14ac:dyDescent="0.2">
      <c r="A327" s="21"/>
      <c r="B327" s="9"/>
      <c r="C327" s="9"/>
      <c r="D327" s="9"/>
      <c r="E327" s="9"/>
      <c r="F327" s="9"/>
      <c r="G327" s="9"/>
      <c r="H327" s="9"/>
      <c r="I327" s="9"/>
      <c r="J327" s="9"/>
      <c r="K327" s="9"/>
    </row>
    <row r="328" spans="1:11" x14ac:dyDescent="0.2">
      <c r="A328" s="21"/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 x14ac:dyDescent="0.2">
      <c r="A329" s="21"/>
      <c r="B329" s="9"/>
      <c r="C329" s="9"/>
      <c r="D329" s="9"/>
      <c r="E329" s="9"/>
      <c r="F329" s="9"/>
      <c r="G329" s="9"/>
      <c r="H329" s="9"/>
      <c r="I329" s="9"/>
      <c r="J329" s="9"/>
      <c r="K329" s="9"/>
    </row>
    <row r="330" spans="1:11" x14ac:dyDescent="0.2">
      <c r="A330" s="21"/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 spans="1:11" x14ac:dyDescent="0.2">
      <c r="A331" s="21"/>
      <c r="B331" s="9"/>
      <c r="C331" s="9"/>
      <c r="D331" s="9"/>
      <c r="E331" s="9"/>
      <c r="F331" s="9"/>
      <c r="G331" s="9"/>
      <c r="H331" s="9"/>
      <c r="I331" s="9"/>
      <c r="J331" s="9"/>
      <c r="K331" s="9"/>
    </row>
    <row r="332" spans="1:11" x14ac:dyDescent="0.2">
      <c r="A332" s="21"/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 spans="1:11" x14ac:dyDescent="0.2">
      <c r="A333" s="21"/>
      <c r="B333" s="9"/>
      <c r="C333" s="9"/>
      <c r="D333" s="9"/>
      <c r="E333" s="9"/>
      <c r="F333" s="9"/>
      <c r="G333" s="9"/>
      <c r="H333" s="9"/>
      <c r="I333" s="9"/>
      <c r="J333" s="9"/>
      <c r="K333" s="9"/>
    </row>
    <row r="334" spans="1:11" x14ac:dyDescent="0.2">
      <c r="A334" s="21"/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 spans="1:11" x14ac:dyDescent="0.2">
      <c r="A335" s="21"/>
      <c r="B335" s="9"/>
      <c r="C335" s="9"/>
      <c r="D335" s="9"/>
      <c r="E335" s="9"/>
      <c r="F335" s="9"/>
      <c r="G335" s="9"/>
      <c r="H335" s="9"/>
      <c r="I335" s="9"/>
      <c r="J335" s="9"/>
      <c r="K335" s="9"/>
    </row>
    <row r="336" spans="1:11" x14ac:dyDescent="0.2">
      <c r="A336" s="21"/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 spans="1:11" x14ac:dyDescent="0.2">
      <c r="A337" s="21"/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 spans="1:11" x14ac:dyDescent="0.2">
      <c r="A338" s="21"/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 spans="1:11" x14ac:dyDescent="0.2">
      <c r="A339" s="21"/>
      <c r="B339" s="9"/>
      <c r="C339" s="9"/>
      <c r="D339" s="9"/>
      <c r="E339" s="9"/>
      <c r="F339" s="9"/>
      <c r="G339" s="9"/>
      <c r="H339" s="9"/>
      <c r="I339" s="9"/>
      <c r="J339" s="9"/>
      <c r="K339" s="9"/>
    </row>
    <row r="340" spans="1:11" x14ac:dyDescent="0.2">
      <c r="A340" s="21"/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 spans="1:11" x14ac:dyDescent="0.2">
      <c r="A341" s="21"/>
      <c r="B341" s="9"/>
      <c r="C341" s="9"/>
      <c r="D341" s="9"/>
      <c r="E341" s="9"/>
      <c r="F341" s="9"/>
      <c r="G341" s="9"/>
      <c r="H341" s="9"/>
      <c r="I341" s="9"/>
      <c r="J341" s="9"/>
      <c r="K341" s="9"/>
    </row>
    <row r="342" spans="1:11" x14ac:dyDescent="0.2">
      <c r="A342" s="21"/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 spans="1:11" x14ac:dyDescent="0.2">
      <c r="A343" s="21"/>
      <c r="B343" s="9"/>
      <c r="C343" s="9"/>
      <c r="D343" s="9"/>
      <c r="E343" s="9"/>
      <c r="F343" s="9"/>
      <c r="G343" s="9"/>
      <c r="H343" s="9"/>
      <c r="I343" s="9"/>
      <c r="J343" s="9"/>
      <c r="K343" s="9"/>
    </row>
    <row r="344" spans="1:11" x14ac:dyDescent="0.2">
      <c r="A344" s="21"/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 spans="1:11" x14ac:dyDescent="0.2">
      <c r="A345" s="21"/>
      <c r="B345" s="9"/>
      <c r="C345" s="9"/>
      <c r="D345" s="9"/>
      <c r="E345" s="9"/>
      <c r="F345" s="9"/>
      <c r="G345" s="9"/>
      <c r="H345" s="9"/>
      <c r="I345" s="9"/>
      <c r="J345" s="9"/>
      <c r="K345" s="9"/>
    </row>
    <row r="346" spans="1:11" x14ac:dyDescent="0.2">
      <c r="A346" s="21"/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 x14ac:dyDescent="0.2">
      <c r="A347" s="21"/>
      <c r="B347" s="9"/>
      <c r="C347" s="9"/>
      <c r="D347" s="9"/>
      <c r="E347" s="9"/>
      <c r="F347" s="9"/>
      <c r="G347" s="9"/>
      <c r="H347" s="9"/>
      <c r="I347" s="9"/>
      <c r="J347" s="9"/>
      <c r="K347" s="9"/>
    </row>
    <row r="348" spans="1:11" x14ac:dyDescent="0.2">
      <c r="A348" s="21"/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 spans="1:11" x14ac:dyDescent="0.2">
      <c r="A349" s="21"/>
      <c r="B349" s="9"/>
      <c r="C349" s="9"/>
      <c r="D349" s="9"/>
      <c r="E349" s="9"/>
      <c r="F349" s="9"/>
      <c r="G349" s="9"/>
      <c r="H349" s="9"/>
      <c r="I349" s="9"/>
      <c r="J349" s="9"/>
      <c r="K349" s="9"/>
    </row>
    <row r="350" spans="1:11" x14ac:dyDescent="0.2">
      <c r="A350" s="21"/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 spans="1:11" x14ac:dyDescent="0.2">
      <c r="A351" s="21"/>
      <c r="B351" s="9"/>
      <c r="C351" s="9"/>
      <c r="D351" s="9"/>
      <c r="E351" s="9"/>
      <c r="F351" s="9"/>
      <c r="G351" s="9"/>
      <c r="H351" s="9"/>
      <c r="I351" s="9"/>
      <c r="J351" s="9"/>
      <c r="K351" s="9"/>
    </row>
    <row r="352" spans="1:11" x14ac:dyDescent="0.2">
      <c r="A352" s="21"/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 spans="1:11" x14ac:dyDescent="0.2">
      <c r="A353" s="21"/>
      <c r="B353" s="9"/>
      <c r="C353" s="9"/>
      <c r="D353" s="9"/>
      <c r="E353" s="9"/>
      <c r="F353" s="9"/>
      <c r="G353" s="9"/>
      <c r="H353" s="9"/>
      <c r="I353" s="9"/>
      <c r="J353" s="9"/>
      <c r="K353" s="9"/>
    </row>
    <row r="354" spans="1:11" x14ac:dyDescent="0.2">
      <c r="A354" s="21"/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 spans="1:11" x14ac:dyDescent="0.2">
      <c r="A355" s="21"/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 spans="1:11" x14ac:dyDescent="0.2">
      <c r="A356" s="21"/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 spans="1:11" x14ac:dyDescent="0.2">
      <c r="A357" s="21"/>
      <c r="B357" s="9"/>
      <c r="C357" s="9"/>
      <c r="D357" s="9"/>
      <c r="E357" s="9"/>
      <c r="F357" s="9"/>
      <c r="G357" s="9"/>
      <c r="H357" s="9"/>
      <c r="I357" s="9"/>
      <c r="J357" s="9"/>
      <c r="K357" s="9"/>
    </row>
    <row r="358" spans="1:11" x14ac:dyDescent="0.2">
      <c r="A358" s="21"/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 spans="1:11" x14ac:dyDescent="0.2">
      <c r="A359" s="21"/>
      <c r="B359" s="9"/>
      <c r="C359" s="9"/>
      <c r="D359" s="9"/>
      <c r="E359" s="9"/>
      <c r="F359" s="9"/>
      <c r="G359" s="9"/>
      <c r="H359" s="9"/>
      <c r="I359" s="9"/>
      <c r="J359" s="9"/>
      <c r="K359" s="9"/>
    </row>
    <row r="360" spans="1:11" x14ac:dyDescent="0.2">
      <c r="A360" s="21"/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 spans="1:11" x14ac:dyDescent="0.2">
      <c r="A361" s="21"/>
      <c r="B361" s="9"/>
      <c r="C361" s="9"/>
      <c r="D361" s="9"/>
      <c r="E361" s="9"/>
      <c r="F361" s="9"/>
      <c r="G361" s="9"/>
      <c r="H361" s="9"/>
      <c r="I361" s="9"/>
      <c r="J361" s="9"/>
      <c r="K361" s="9"/>
    </row>
    <row r="362" spans="1:11" x14ac:dyDescent="0.2">
      <c r="A362" s="21"/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 spans="1:11" x14ac:dyDescent="0.2">
      <c r="A363" s="21"/>
      <c r="B363" s="9"/>
      <c r="C363" s="9"/>
      <c r="D363" s="9"/>
      <c r="E363" s="9"/>
      <c r="F363" s="9"/>
      <c r="G363" s="9"/>
      <c r="H363" s="9"/>
      <c r="I363" s="9"/>
      <c r="J363" s="9"/>
      <c r="K363" s="9"/>
    </row>
    <row r="364" spans="1:11" x14ac:dyDescent="0.2">
      <c r="A364" s="21"/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 x14ac:dyDescent="0.2">
      <c r="A365" s="21"/>
      <c r="B365" s="9"/>
      <c r="C365" s="9"/>
      <c r="D365" s="9"/>
      <c r="E365" s="9"/>
      <c r="F365" s="9"/>
      <c r="G365" s="9"/>
      <c r="H365" s="9"/>
      <c r="I365" s="9"/>
      <c r="J365" s="9"/>
      <c r="K365" s="9"/>
    </row>
    <row r="366" spans="1:11" x14ac:dyDescent="0.2">
      <c r="A366" s="21"/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 spans="1:11" x14ac:dyDescent="0.2">
      <c r="A367" s="21"/>
      <c r="B367" s="9"/>
      <c r="C367" s="9"/>
      <c r="D367" s="9"/>
      <c r="E367" s="9"/>
      <c r="F367" s="9"/>
      <c r="G367" s="9"/>
      <c r="H367" s="9"/>
      <c r="I367" s="9"/>
      <c r="J367" s="9"/>
      <c r="K367" s="9"/>
    </row>
    <row r="368" spans="1:11" x14ac:dyDescent="0.2">
      <c r="A368" s="21"/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 spans="1:11" x14ac:dyDescent="0.2">
      <c r="A369" s="21"/>
      <c r="B369" s="9"/>
      <c r="C369" s="9"/>
      <c r="D369" s="9"/>
      <c r="E369" s="9"/>
      <c r="F369" s="9"/>
      <c r="G369" s="9"/>
      <c r="H369" s="9"/>
      <c r="I369" s="9"/>
      <c r="J369" s="9"/>
      <c r="K369" s="9"/>
    </row>
    <row r="370" spans="1:11" x14ac:dyDescent="0.2">
      <c r="A370" s="21"/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 spans="1:11" x14ac:dyDescent="0.2">
      <c r="A371" s="21"/>
      <c r="B371" s="9"/>
      <c r="C371" s="9"/>
      <c r="D371" s="9"/>
      <c r="E371" s="9"/>
      <c r="F371" s="9"/>
      <c r="G371" s="9"/>
      <c r="H371" s="9"/>
      <c r="I371" s="9"/>
      <c r="J371" s="9"/>
      <c r="K371" s="9"/>
    </row>
    <row r="372" spans="1:11" x14ac:dyDescent="0.2">
      <c r="A372" s="21"/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 spans="1:11" x14ac:dyDescent="0.2">
      <c r="A373" s="21"/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 spans="1:11" x14ac:dyDescent="0.2">
      <c r="A374" s="21"/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 spans="1:11" x14ac:dyDescent="0.2">
      <c r="A375" s="21"/>
      <c r="B375" s="9"/>
      <c r="C375" s="9"/>
      <c r="D375" s="9"/>
      <c r="E375" s="9"/>
      <c r="F375" s="9"/>
      <c r="G375" s="9"/>
      <c r="H375" s="9"/>
      <c r="I375" s="9"/>
      <c r="J375" s="9"/>
      <c r="K375" s="9"/>
    </row>
    <row r="376" spans="1:11" x14ac:dyDescent="0.2">
      <c r="A376" s="21"/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 spans="1:11" x14ac:dyDescent="0.2">
      <c r="A377" s="21"/>
      <c r="B377" s="9"/>
      <c r="C377" s="9"/>
      <c r="D377" s="9"/>
      <c r="E377" s="9"/>
      <c r="F377" s="9"/>
      <c r="G377" s="9"/>
      <c r="H377" s="9"/>
      <c r="I377" s="9"/>
      <c r="J377" s="9"/>
      <c r="K377" s="9"/>
    </row>
    <row r="378" spans="1:11" x14ac:dyDescent="0.2">
      <c r="A378" s="21"/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 spans="1:11" x14ac:dyDescent="0.2">
      <c r="A379" s="21"/>
      <c r="B379" s="9"/>
      <c r="C379" s="9"/>
      <c r="D379" s="9"/>
      <c r="E379" s="9"/>
      <c r="F379" s="9"/>
      <c r="G379" s="9"/>
      <c r="H379" s="9"/>
      <c r="I379" s="9"/>
      <c r="J379" s="9"/>
      <c r="K379" s="9"/>
    </row>
    <row r="380" spans="1:11" x14ac:dyDescent="0.2">
      <c r="A380" s="21"/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 spans="1:11" x14ac:dyDescent="0.2">
      <c r="A381" s="21"/>
      <c r="B381" s="9"/>
      <c r="C381" s="9"/>
      <c r="D381" s="9"/>
      <c r="E381" s="9"/>
      <c r="F381" s="9"/>
      <c r="G381" s="9"/>
      <c r="H381" s="9"/>
      <c r="I381" s="9"/>
      <c r="J381" s="9"/>
      <c r="K381" s="9"/>
    </row>
    <row r="382" spans="1:11" x14ac:dyDescent="0.2">
      <c r="A382" s="21"/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spans="1:11" x14ac:dyDescent="0.2">
      <c r="A383" s="21"/>
      <c r="B383" s="9"/>
      <c r="C383" s="9"/>
      <c r="D383" s="9"/>
      <c r="E383" s="9"/>
      <c r="F383" s="9"/>
      <c r="G383" s="9"/>
      <c r="H383" s="9"/>
      <c r="I383" s="9"/>
      <c r="J383" s="9"/>
      <c r="K383" s="9"/>
    </row>
    <row r="384" spans="1:11" x14ac:dyDescent="0.2">
      <c r="A384" s="21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 x14ac:dyDescent="0.2">
      <c r="A385" s="21"/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spans="1:11" x14ac:dyDescent="0.2">
      <c r="A386" s="21"/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spans="1:11" x14ac:dyDescent="0.2">
      <c r="A387" s="21"/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spans="1:11" x14ac:dyDescent="0.2">
      <c r="A388" s="21"/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spans="1:11" x14ac:dyDescent="0.2">
      <c r="A389" s="21"/>
      <c r="B389" s="9"/>
      <c r="C389" s="9"/>
      <c r="D389" s="9"/>
      <c r="E389" s="9"/>
      <c r="F389" s="9"/>
      <c r="G389" s="9"/>
      <c r="H389" s="9"/>
      <c r="I389" s="9"/>
      <c r="J389" s="9"/>
      <c r="K389" s="9"/>
    </row>
    <row r="390" spans="1:11" x14ac:dyDescent="0.2">
      <c r="A390" s="21"/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spans="1:11" x14ac:dyDescent="0.2">
      <c r="A391" s="21"/>
      <c r="B391" s="9"/>
      <c r="C391" s="9"/>
      <c r="D391" s="9"/>
      <c r="E391" s="9"/>
      <c r="F391" s="9"/>
      <c r="G391" s="9"/>
      <c r="H391" s="9"/>
      <c r="I391" s="9"/>
      <c r="J391" s="9"/>
      <c r="K391" s="9"/>
    </row>
    <row r="392" spans="1:11" x14ac:dyDescent="0.2">
      <c r="A392" s="21"/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spans="1:11" x14ac:dyDescent="0.2">
      <c r="A393" s="21"/>
      <c r="B393" s="9"/>
      <c r="C393" s="9"/>
      <c r="D393" s="9"/>
      <c r="E393" s="9"/>
      <c r="F393" s="9"/>
      <c r="G393" s="9"/>
      <c r="H393" s="9"/>
      <c r="I393" s="9"/>
      <c r="J393" s="9"/>
      <c r="K393" s="9"/>
    </row>
    <row r="394" spans="1:11" x14ac:dyDescent="0.2">
      <c r="A394" s="21"/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spans="1:11" x14ac:dyDescent="0.2">
      <c r="A395" s="21"/>
      <c r="B395" s="9"/>
      <c r="C395" s="9"/>
      <c r="D395" s="9"/>
      <c r="E395" s="9"/>
      <c r="F395" s="9"/>
      <c r="G395" s="9"/>
      <c r="H395" s="9"/>
      <c r="I395" s="9"/>
      <c r="J395" s="9"/>
      <c r="K395" s="9"/>
    </row>
    <row r="396" spans="1:11" x14ac:dyDescent="0.2">
      <c r="A396" s="21"/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 x14ac:dyDescent="0.2">
      <c r="A397" s="21"/>
      <c r="B397" s="9"/>
      <c r="C397" s="9"/>
      <c r="D397" s="9"/>
      <c r="E397" s="9"/>
      <c r="F397" s="9"/>
      <c r="G397" s="9"/>
      <c r="H397" s="9"/>
      <c r="I397" s="9"/>
      <c r="J397" s="9"/>
      <c r="K397" s="9"/>
    </row>
    <row r="398" spans="1:11" x14ac:dyDescent="0.2">
      <c r="A398" s="21"/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1:11" x14ac:dyDescent="0.2">
      <c r="A399" s="21"/>
      <c r="B399" s="9"/>
      <c r="C399" s="9"/>
      <c r="D399" s="9"/>
      <c r="E399" s="9"/>
      <c r="F399" s="9"/>
      <c r="G399" s="9"/>
      <c r="H399" s="9"/>
      <c r="I399" s="9"/>
      <c r="J399" s="9"/>
      <c r="K399" s="9"/>
    </row>
    <row r="400" spans="1:11" x14ac:dyDescent="0.2">
      <c r="A400" s="21"/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1:11" x14ac:dyDescent="0.2">
      <c r="A401" s="21"/>
      <c r="B401" s="9"/>
      <c r="C401" s="9"/>
      <c r="D401" s="9"/>
      <c r="E401" s="9"/>
      <c r="F401" s="9"/>
      <c r="G401" s="9"/>
      <c r="H401" s="9"/>
      <c r="I401" s="9"/>
      <c r="J401" s="9"/>
      <c r="K401" s="9"/>
    </row>
    <row r="402" spans="1:11" x14ac:dyDescent="0.2">
      <c r="A402" s="21"/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1:11" x14ac:dyDescent="0.2">
      <c r="A403" s="21"/>
      <c r="B403" s="9"/>
      <c r="C403" s="9"/>
      <c r="D403" s="9"/>
      <c r="E403" s="9"/>
      <c r="F403" s="9"/>
      <c r="G403" s="9"/>
      <c r="H403" s="9"/>
      <c r="I403" s="9"/>
      <c r="J403" s="9"/>
      <c r="K403" s="9"/>
    </row>
    <row r="404" spans="1:11" x14ac:dyDescent="0.2">
      <c r="A404" s="21"/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1:11" x14ac:dyDescent="0.2">
      <c r="A405" s="21"/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spans="1:11" x14ac:dyDescent="0.2">
      <c r="A406" s="21"/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1:11" x14ac:dyDescent="0.2">
      <c r="A407" s="21"/>
      <c r="B407" s="9"/>
      <c r="C407" s="9"/>
      <c r="D407" s="9"/>
      <c r="E407" s="9"/>
      <c r="F407" s="9"/>
      <c r="G407" s="9"/>
      <c r="H407" s="9"/>
      <c r="I407" s="9"/>
      <c r="J407" s="9"/>
      <c r="K407" s="9"/>
    </row>
    <row r="408" spans="1:11" x14ac:dyDescent="0.2">
      <c r="B408" s="19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x14ac:dyDescent="0.2">
      <c r="G409" s="9"/>
      <c r="H409" s="9"/>
      <c r="I409" s="9"/>
      <c r="J409" s="9"/>
      <c r="K409" s="9"/>
    </row>
    <row r="410" spans="1:11" x14ac:dyDescent="0.2"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spans="1:11" x14ac:dyDescent="0.2"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</sheetData>
  <mergeCells count="20">
    <mergeCell ref="B5:B6"/>
    <mergeCell ref="B4:F4"/>
    <mergeCell ref="E5:E6"/>
    <mergeCell ref="F5:F6"/>
    <mergeCell ref="A2:P2"/>
    <mergeCell ref="O5:O6"/>
    <mergeCell ref="P5:P6"/>
    <mergeCell ref="G4:K4"/>
    <mergeCell ref="L4:P4"/>
    <mergeCell ref="N5:N6"/>
    <mergeCell ref="L5:L6"/>
    <mergeCell ref="G5:G6"/>
    <mergeCell ref="I5:I6"/>
    <mergeCell ref="J5:J6"/>
    <mergeCell ref="A4:A6"/>
    <mergeCell ref="C5:C6"/>
    <mergeCell ref="H5:H6"/>
    <mergeCell ref="M5:M6"/>
    <mergeCell ref="D5:D6"/>
    <mergeCell ref="K5:K6"/>
  </mergeCells>
  <phoneticPr fontId="0" type="noConversion"/>
  <printOptions horizontalCentered="1"/>
  <pageMargins left="0.511811023622047" right="0.23622047244094499" top="0.48622047200000001" bottom="0" header="0.23622047244094499" footer="0.23622047244094499"/>
  <pageSetup paperSize="9" scale="67" orientation="landscape" r:id="rId1"/>
  <headerFooter alignWithMargins="0"/>
  <rowBreaks count="1" manualBreakCount="1">
    <brk id="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P95"/>
  <sheetViews>
    <sheetView tabSelected="1" view="pageBreakPreview" zoomScale="60" workbookViewId="0">
      <pane xSplit="1" ySplit="7" topLeftCell="E8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7.7109375" style="9" customWidth="1"/>
    <col min="2" max="4" width="13" style="9" bestFit="1" customWidth="1"/>
    <col min="5" max="6" width="13" style="9" customWidth="1"/>
    <col min="7" max="9" width="14.7109375" style="9" bestFit="1" customWidth="1"/>
    <col min="10" max="11" width="14.7109375" style="9" customWidth="1"/>
    <col min="12" max="16" width="11.42578125" style="9" customWidth="1"/>
    <col min="17" max="16384" width="9.140625" style="9"/>
  </cols>
  <sheetData>
    <row r="1" spans="1:16" ht="15" customHeight="1" x14ac:dyDescent="0.2"/>
    <row r="2" spans="1:16" ht="18" x14ac:dyDescent="0.2">
      <c r="A2" s="381" t="s">
        <v>172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</row>
    <row r="4" spans="1:16" ht="15.75" customHeight="1" x14ac:dyDescent="0.2">
      <c r="A4" s="382" t="s">
        <v>88</v>
      </c>
      <c r="B4" s="342" t="s">
        <v>174</v>
      </c>
      <c r="C4" s="342"/>
      <c r="D4" s="342"/>
      <c r="E4" s="342"/>
      <c r="F4" s="342"/>
      <c r="G4" s="342" t="s">
        <v>68</v>
      </c>
      <c r="H4" s="342"/>
      <c r="I4" s="342"/>
      <c r="J4" s="342"/>
      <c r="K4" s="342"/>
      <c r="L4" s="342" t="s">
        <v>89</v>
      </c>
      <c r="M4" s="342"/>
      <c r="N4" s="342"/>
      <c r="O4" s="342"/>
      <c r="P4" s="342"/>
    </row>
    <row r="5" spans="1:16" ht="15.75" customHeight="1" x14ac:dyDescent="0.2">
      <c r="A5" s="382"/>
      <c r="B5" s="341" t="s">
        <v>112</v>
      </c>
      <c r="C5" s="341" t="s">
        <v>164</v>
      </c>
      <c r="D5" s="341" t="s">
        <v>199</v>
      </c>
      <c r="E5" s="341" t="s">
        <v>200</v>
      </c>
      <c r="F5" s="341" t="s">
        <v>202</v>
      </c>
      <c r="G5" s="341" t="s">
        <v>112</v>
      </c>
      <c r="H5" s="341" t="s">
        <v>164</v>
      </c>
      <c r="I5" s="341" t="s">
        <v>199</v>
      </c>
      <c r="J5" s="341" t="s">
        <v>200</v>
      </c>
      <c r="K5" s="341" t="s">
        <v>202</v>
      </c>
      <c r="L5" s="341" t="s">
        <v>112</v>
      </c>
      <c r="M5" s="341" t="s">
        <v>164</v>
      </c>
      <c r="N5" s="341" t="s">
        <v>199</v>
      </c>
      <c r="O5" s="341" t="s">
        <v>200</v>
      </c>
      <c r="P5" s="341" t="s">
        <v>202</v>
      </c>
    </row>
    <row r="6" spans="1:16" ht="15.75" customHeight="1" x14ac:dyDescent="0.2">
      <c r="A6" s="382"/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</row>
    <row r="7" spans="1:16" s="14" customFormat="1" ht="15.75" customHeight="1" x14ac:dyDescent="0.2">
      <c r="A7" s="325">
        <v>1</v>
      </c>
      <c r="B7" s="234">
        <v>2</v>
      </c>
      <c r="C7" s="234">
        <v>3</v>
      </c>
      <c r="D7" s="234">
        <v>4</v>
      </c>
      <c r="E7" s="234">
        <v>5</v>
      </c>
      <c r="F7" s="234">
        <v>6</v>
      </c>
      <c r="G7" s="234">
        <v>7</v>
      </c>
      <c r="H7" s="234">
        <v>8</v>
      </c>
      <c r="I7" s="234">
        <v>9</v>
      </c>
      <c r="J7" s="234">
        <v>10</v>
      </c>
      <c r="K7" s="234">
        <v>11</v>
      </c>
      <c r="L7" s="234">
        <v>12</v>
      </c>
      <c r="M7" s="234">
        <v>13</v>
      </c>
      <c r="N7" s="234">
        <v>14</v>
      </c>
      <c r="O7" s="234">
        <v>15</v>
      </c>
      <c r="P7" s="234">
        <v>16</v>
      </c>
    </row>
    <row r="8" spans="1:16" ht="22.5" customHeight="1" x14ac:dyDescent="0.2">
      <c r="A8" s="214" t="s">
        <v>2</v>
      </c>
      <c r="B8" s="76">
        <f>'rice U'!C6+'Kharif CC U'!B8</f>
        <v>1724</v>
      </c>
      <c r="C8" s="76">
        <f>'rice U'!D6+'Kharif CC U'!C8</f>
        <v>1718</v>
      </c>
      <c r="D8" s="76">
        <f>'rice U'!E6+'Kharif CC U'!D8</f>
        <v>1750</v>
      </c>
      <c r="E8" s="76">
        <f>'rice U'!F6+'Kharif CC U'!E8</f>
        <v>1740</v>
      </c>
      <c r="F8" s="76">
        <f>'rice U'!G6+'Kharif CC U'!F8</f>
        <v>1699</v>
      </c>
      <c r="G8" s="76">
        <f>'rice U'!H6+'Kharif CC U'!G8</f>
        <v>5361.0320000000002</v>
      </c>
      <c r="H8" s="76">
        <f>'rice U'!I6+'Kharif CC U'!H8</f>
        <v>5625.6103333333331</v>
      </c>
      <c r="I8" s="76">
        <f>'rice U'!J6+'Kharif CC U'!I8</f>
        <v>5747.0373333333328</v>
      </c>
      <c r="J8" s="76">
        <f>'rice U'!K6+'Kharif CC U'!J8</f>
        <v>5733.4769999999999</v>
      </c>
      <c r="K8" s="76">
        <f>'rice U'!L6+'Kharif CC U'!K8</f>
        <v>4778.4539999999997</v>
      </c>
      <c r="L8" s="99">
        <f>G8/B8*1000</f>
        <v>3109.647331786543</v>
      </c>
      <c r="M8" s="99">
        <f t="shared" ref="M8:P8" si="0">H8/C8*1000</f>
        <v>3274.5112533954211</v>
      </c>
      <c r="N8" s="99">
        <f t="shared" si="0"/>
        <v>3284.0213333333331</v>
      </c>
      <c r="O8" s="99">
        <f t="shared" si="0"/>
        <v>3295.1017241379309</v>
      </c>
      <c r="P8" s="99">
        <f t="shared" si="0"/>
        <v>2812.5097115950557</v>
      </c>
    </row>
    <row r="9" spans="1:16" ht="22.5" customHeight="1" x14ac:dyDescent="0.2">
      <c r="A9" s="214" t="s">
        <v>24</v>
      </c>
      <c r="B9" s="76">
        <f>'rice U'!C9+'Kharif CC U'!B9</f>
        <v>176.489</v>
      </c>
      <c r="C9" s="76">
        <f>'rice U'!D9+'Kharif CC U'!C9</f>
        <v>199.26999999999998</v>
      </c>
      <c r="D9" s="76">
        <f>'rice U'!E9+'Kharif CC U'!D9</f>
        <v>210.97499999999999</v>
      </c>
      <c r="E9" s="76">
        <f>'rice U'!F9+'Kharif CC U'!E9</f>
        <v>201.608</v>
      </c>
      <c r="F9" s="76">
        <f>'rice U'!G9+'Kharif CC U'!F9</f>
        <v>201.315</v>
      </c>
      <c r="G9" s="76">
        <f>'rice U'!H9+'Kharif CC U'!G9</f>
        <v>306.16700000000003</v>
      </c>
      <c r="H9" s="76">
        <f>'rice U'!I9+'Kharif CC U'!H9</f>
        <v>320.78629999999998</v>
      </c>
      <c r="I9" s="76">
        <f>'rice U'!J9+'Kharif CC U'!I9</f>
        <v>345.42082499999998</v>
      </c>
      <c r="J9" s="76">
        <f>'rice U'!K9+'Kharif CC U'!J9</f>
        <v>334.84444000000002</v>
      </c>
      <c r="K9" s="76">
        <f>'rice U'!L9+'Kharif CC U'!K9</f>
        <v>337.32272</v>
      </c>
      <c r="L9" s="99">
        <f t="shared" ref="L9:L44" si="1">G9/B9*1000</f>
        <v>1734.7653394829142</v>
      </c>
      <c r="M9" s="99">
        <f t="shared" ref="M9:M44" si="2">H9/C9*1000</f>
        <v>1609.8072966327095</v>
      </c>
      <c r="N9" s="99">
        <f t="shared" ref="N9:N44" si="3">I9/D9*1000</f>
        <v>1637.2595094205474</v>
      </c>
      <c r="O9" s="99">
        <f t="shared" ref="O9:O44" si="4">J9/E9*1000</f>
        <v>1660.8688147295743</v>
      </c>
      <c r="P9" s="99">
        <f t="shared" ref="P9:P44" si="5">K9/F9*1000</f>
        <v>1675.5965526662196</v>
      </c>
    </row>
    <row r="10" spans="1:16" ht="22.5" customHeight="1" x14ac:dyDescent="0.2">
      <c r="A10" s="214" t="s">
        <v>25</v>
      </c>
      <c r="B10" s="76">
        <f>'rice U'!C12+'Kharif CC U'!B10</f>
        <v>2095.0859999999998</v>
      </c>
      <c r="C10" s="76">
        <f>'rice U'!D12+'Kharif CC U'!C10</f>
        <v>2070.0790000000002</v>
      </c>
      <c r="D10" s="76">
        <f>'rice U'!E12+'Kharif CC U'!D10</f>
        <v>2061.779</v>
      </c>
      <c r="E10" s="76">
        <f>'rice U'!F12+'Kharif CC U'!E10</f>
        <v>1936.848</v>
      </c>
      <c r="F10" s="76">
        <f>'rice U'!G12+'Kharif CC U'!F10</f>
        <v>2026.5719999999999</v>
      </c>
      <c r="G10" s="76">
        <f>'rice U'!H12+'Kharif CC U'!G10</f>
        <v>3689.6490000000003</v>
      </c>
      <c r="H10" s="76">
        <f>'rice U'!I12+'Kharif CC U'!H10</f>
        <v>4194.2989560000005</v>
      </c>
      <c r="I10" s="76">
        <f>'rice U'!J12+'Kharif CC U'!I10</f>
        <v>4182.9712910000007</v>
      </c>
      <c r="J10" s="76">
        <f>'rice U'!K12+'Kharif CC U'!J10</f>
        <v>4090.332865204382</v>
      </c>
      <c r="K10" s="76">
        <f>'rice U'!L12+'Kharif CC U'!K10</f>
        <v>4294.2607040000003</v>
      </c>
      <c r="L10" s="99">
        <f t="shared" si="1"/>
        <v>1761.096680518127</v>
      </c>
      <c r="M10" s="99">
        <f t="shared" si="2"/>
        <v>2026.1540530578786</v>
      </c>
      <c r="N10" s="99">
        <f t="shared" si="3"/>
        <v>2028.8165176772104</v>
      </c>
      <c r="O10" s="99">
        <f t="shared" si="4"/>
        <v>2111.8502149907386</v>
      </c>
      <c r="P10" s="99">
        <f t="shared" si="5"/>
        <v>2118.9776154017723</v>
      </c>
    </row>
    <row r="11" spans="1:16" ht="22.5" customHeight="1" x14ac:dyDescent="0.2">
      <c r="A11" s="214" t="s">
        <v>40</v>
      </c>
      <c r="B11" s="76">
        <f>'rice U'!C15+'Kharif CC U'!B11</f>
        <v>3510.2419999999997</v>
      </c>
      <c r="C11" s="76">
        <f>'rice U'!D15+'Kharif CC U'!C11</f>
        <v>3476.71</v>
      </c>
      <c r="D11" s="76">
        <f>'rice U'!E15+'Kharif CC U'!D11</f>
        <v>3338.6640000000002</v>
      </c>
      <c r="E11" s="76">
        <f>'rice U'!F15+'Kharif CC U'!E11</f>
        <v>3043.9009999999998</v>
      </c>
      <c r="F11" s="76">
        <f>'rice U'!G15+'Kharif CC U'!F11</f>
        <v>3165.7889999999998</v>
      </c>
      <c r="G11" s="76">
        <f>'rice U'!H15+'Kharif CC U'!G11</f>
        <v>8651.7357479999991</v>
      </c>
      <c r="H11" s="76">
        <f>'rice U'!I15+'Kharif CC U'!H11</f>
        <v>8499.0192519999982</v>
      </c>
      <c r="I11" s="76">
        <f>'rice U'!J15+'Kharif CC U'!I11</f>
        <v>6497.6743479999986</v>
      </c>
      <c r="J11" s="76">
        <f>'rice U'!K15+'Kharif CC U'!J11</f>
        <v>6612.0935040000004</v>
      </c>
      <c r="K11" s="76">
        <f>'rice U'!L15+'Kharif CC U'!K11</f>
        <v>6846.2112619999998</v>
      </c>
      <c r="L11" s="99">
        <f t="shared" si="1"/>
        <v>2464.7120477733442</v>
      </c>
      <c r="M11" s="99">
        <f t="shared" si="2"/>
        <v>2444.5580022492527</v>
      </c>
      <c r="N11" s="99">
        <f t="shared" si="3"/>
        <v>1946.1899574200932</v>
      </c>
      <c r="O11" s="99">
        <f t="shared" si="4"/>
        <v>2172.2432838650143</v>
      </c>
      <c r="P11" s="99">
        <f t="shared" si="5"/>
        <v>2162.5608219625506</v>
      </c>
    </row>
    <row r="12" spans="1:16" ht="22.5" customHeight="1" x14ac:dyDescent="0.2">
      <c r="A12" s="214" t="s">
        <v>47</v>
      </c>
      <c r="B12" s="76">
        <f>'rice U'!C18+'Kharif CC U'!B12</f>
        <v>4050.1</v>
      </c>
      <c r="C12" s="76">
        <f>'rice U'!D18+'Kharif CC U'!C12</f>
        <v>3992.4</v>
      </c>
      <c r="D12" s="76">
        <f>'rice U'!E18+'Kharif CC U'!D12</f>
        <v>3821.87</v>
      </c>
      <c r="E12" s="76">
        <f>'rice U'!F18+'Kharif CC U'!E12</f>
        <v>3866.18</v>
      </c>
      <c r="F12" s="76">
        <f>'rice U'!G18+'Kharif CC U'!F12</f>
        <v>3997.09</v>
      </c>
      <c r="G12" s="76">
        <f>'rice U'!H18+'Kharif CC U'!G12</f>
        <v>8403.6425999999992</v>
      </c>
      <c r="H12" s="76">
        <f>'rice U'!I18+'Kharif CC U'!H12</f>
        <v>5275.97937</v>
      </c>
      <c r="I12" s="76">
        <f>'rice U'!J18+'Kharif CC U'!I12</f>
        <v>6856.8963299999996</v>
      </c>
      <c r="J12" s="76">
        <f>'rice U'!K18+'Kharif CC U'!J12</f>
        <v>7144.2587700000004</v>
      </c>
      <c r="K12" s="76">
        <f>'rice U'!L18+'Kharif CC U'!K12</f>
        <v>7528.6525199999996</v>
      </c>
      <c r="L12" s="99">
        <f t="shared" si="1"/>
        <v>2074.9222488333617</v>
      </c>
      <c r="M12" s="99">
        <f t="shared" si="2"/>
        <v>1321.5057033363391</v>
      </c>
      <c r="N12" s="99">
        <f t="shared" si="3"/>
        <v>1794.1207654891452</v>
      </c>
      <c r="O12" s="99">
        <f t="shared" si="4"/>
        <v>1847.8857088909469</v>
      </c>
      <c r="P12" s="99">
        <f t="shared" si="5"/>
        <v>1883.533400548899</v>
      </c>
    </row>
    <row r="13" spans="1:16" ht="22.5" customHeight="1" x14ac:dyDescent="0.2">
      <c r="A13" s="214" t="s">
        <v>15</v>
      </c>
      <c r="B13" s="76">
        <f>'rice U'!C19+'Kharif CC U'!B13</f>
        <v>27.63</v>
      </c>
      <c r="C13" s="76">
        <f>'rice U'!D19+'Kharif CC U'!C13</f>
        <v>27.219000000000001</v>
      </c>
      <c r="D13" s="76">
        <f>'rice U'!E19+'Kharif CC U'!D13</f>
        <v>25.841000000000001</v>
      </c>
      <c r="E13" s="76">
        <f>'rice U'!F19+'Kharif CC U'!E13</f>
        <v>24.411000000000001</v>
      </c>
      <c r="F13" s="76">
        <f>'rice U'!G19+'Kharif CC U'!F13</f>
        <v>23.44</v>
      </c>
      <c r="G13" s="76">
        <f>'rice U'!H19+'Kharif CC U'!G13</f>
        <v>77.108999999999995</v>
      </c>
      <c r="H13" s="76">
        <f>'rice U'!I19+'Kharif CC U'!H13</f>
        <v>71.286561000000006</v>
      </c>
      <c r="I13" s="76">
        <f>'rice U'!J19+'Kharif CC U'!I13</f>
        <v>70.261679000000001</v>
      </c>
      <c r="J13" s="76">
        <f>'rice U'!K19+'Kharif CC U'!J13</f>
        <v>60.563691000000006</v>
      </c>
      <c r="K13" s="76">
        <f>'rice U'!L19+'Kharif CC U'!K13</f>
        <v>61.571957600000005</v>
      </c>
      <c r="L13" s="99">
        <f t="shared" si="1"/>
        <v>2790.7709011943539</v>
      </c>
      <c r="M13" s="99">
        <f t="shared" si="2"/>
        <v>2619</v>
      </c>
      <c r="N13" s="99">
        <f t="shared" si="3"/>
        <v>2719</v>
      </c>
      <c r="O13" s="99">
        <f t="shared" si="4"/>
        <v>2481.0000000000005</v>
      </c>
      <c r="P13" s="99">
        <f t="shared" si="5"/>
        <v>2626.79</v>
      </c>
    </row>
    <row r="14" spans="1:16" ht="22.5" customHeight="1" x14ac:dyDescent="0.2">
      <c r="A14" s="214" t="s">
        <v>4</v>
      </c>
      <c r="B14" s="76">
        <f>'rice U'!C22+'Kharif CC U'!B14</f>
        <v>1652</v>
      </c>
      <c r="C14" s="76">
        <f>'rice U'!D22+'Kharif CC U'!C14</f>
        <v>1595</v>
      </c>
      <c r="D14" s="76">
        <f>'rice U'!E22+'Kharif CC U'!D14</f>
        <v>1563.9</v>
      </c>
      <c r="E14" s="76">
        <f>'rice U'!F22+'Kharif CC U'!E14</f>
        <v>1625.8899999999999</v>
      </c>
      <c r="F14" s="76">
        <f>'rice U'!G22+'Kharif CC U'!F14</f>
        <v>1629.27</v>
      </c>
      <c r="G14" s="76">
        <f>'rice U'!H22+'Kharif CC U'!G14</f>
        <v>3395</v>
      </c>
      <c r="H14" s="76">
        <f>'rice U'!I22+'Kharif CC U'!H14</f>
        <v>3304.2129999999997</v>
      </c>
      <c r="I14" s="76">
        <f>'rice U'!J22+'Kharif CC U'!I14</f>
        <v>3325.06774</v>
      </c>
      <c r="J14" s="76">
        <f>'rice U'!K22+'Kharif CC U'!J14</f>
        <v>3238.2484199999999</v>
      </c>
      <c r="K14" s="76">
        <f>'rice U'!L22+'Kharif CC U'!K14</f>
        <v>3446.6112600000001</v>
      </c>
      <c r="L14" s="99">
        <f t="shared" si="1"/>
        <v>2055.0847457627119</v>
      </c>
      <c r="M14" s="99">
        <f t="shared" si="2"/>
        <v>2071.6068965517238</v>
      </c>
      <c r="N14" s="99">
        <f t="shared" si="3"/>
        <v>2126.1383336530466</v>
      </c>
      <c r="O14" s="99">
        <f t="shared" si="4"/>
        <v>1991.677432052599</v>
      </c>
      <c r="P14" s="99">
        <f t="shared" si="5"/>
        <v>2115.4328380194811</v>
      </c>
    </row>
    <row r="15" spans="1:16" ht="22.5" customHeight="1" x14ac:dyDescent="0.2">
      <c r="A15" s="214" t="s">
        <v>18</v>
      </c>
      <c r="B15" s="76">
        <f>'rice U'!C25+'Kharif CC U'!B15</f>
        <v>1931</v>
      </c>
      <c r="C15" s="76">
        <f>'rice U'!D25+'Kharif CC U'!C15</f>
        <v>1926</v>
      </c>
      <c r="D15" s="76">
        <f>'rice U'!E25+'Kharif CC U'!D15</f>
        <v>1917.9</v>
      </c>
      <c r="E15" s="76">
        <f>'rice U'!F25+'Kharif CC U'!E15</f>
        <v>1975.7</v>
      </c>
      <c r="F15" s="76">
        <f>'rice U'!G25+'Kharif CC U'!F15</f>
        <v>1934.31</v>
      </c>
      <c r="G15" s="76">
        <f>'rice U'!H25+'Kharif CC U'!G15</f>
        <v>5467</v>
      </c>
      <c r="H15" s="76">
        <f>'rice U'!I25+'Kharif CC U'!H15</f>
        <v>5288.1959999999999</v>
      </c>
      <c r="I15" s="76">
        <f>'rice U'!J25+'Kharif CC U'!I15</f>
        <v>5431.2446</v>
      </c>
      <c r="J15" s="76">
        <f>'rice U'!K25+'Kharif CC U'!J15</f>
        <v>5876.1935999999996</v>
      </c>
      <c r="K15" s="76">
        <f>'rice U'!L25+'Kharif CC U'!K15</f>
        <v>5811.5115800000003</v>
      </c>
      <c r="L15" s="99">
        <f t="shared" si="1"/>
        <v>2831.1755567063701</v>
      </c>
      <c r="M15" s="99">
        <f t="shared" si="2"/>
        <v>2745.6884735202493</v>
      </c>
      <c r="N15" s="99">
        <f t="shared" si="3"/>
        <v>2831.8705876218783</v>
      </c>
      <c r="O15" s="99">
        <f t="shared" si="4"/>
        <v>2974.2337399402741</v>
      </c>
      <c r="P15" s="99">
        <f t="shared" si="5"/>
        <v>3004.4365070748745</v>
      </c>
    </row>
    <row r="16" spans="1:16" ht="22.5" customHeight="1" x14ac:dyDescent="0.2">
      <c r="A16" s="214" t="s">
        <v>16</v>
      </c>
      <c r="B16" s="76">
        <f>'rice U'!C26+'Kharif CC U'!B16</f>
        <v>375.89199999999994</v>
      </c>
      <c r="C16" s="76">
        <f>'rice U'!D26+'Kharif CC U'!C16</f>
        <v>358.41800000000001</v>
      </c>
      <c r="D16" s="76">
        <f>'rice U'!E26+'Kharif CC U'!D16</f>
        <v>365.41</v>
      </c>
      <c r="E16" s="76">
        <f>'rice U'!F26+'Kharif CC U'!E16</f>
        <v>367.14200000000005</v>
      </c>
      <c r="F16" s="76">
        <f>'rice U'!G26+'Kharif CC U'!F16</f>
        <v>339.39599999999996</v>
      </c>
      <c r="G16" s="76">
        <f>'rice U'!H26+'Kharif CC U'!G16</f>
        <v>937.18899999999996</v>
      </c>
      <c r="H16" s="76">
        <f>'rice U'!I26+'Kharif CC U'!H16</f>
        <v>831.18100000000004</v>
      </c>
      <c r="I16" s="76">
        <f>'rice U'!J26+'Kharif CC U'!I16</f>
        <v>846.39655999999991</v>
      </c>
      <c r="J16" s="76">
        <f>'rice U'!K26+'Kharif CC U'!J16</f>
        <v>880.70065</v>
      </c>
      <c r="K16" s="76">
        <f>'rice U'!L26+'Kharif CC U'!K16</f>
        <v>872.81841100000008</v>
      </c>
      <c r="L16" s="99">
        <f t="shared" si="1"/>
        <v>2493.2400795973317</v>
      </c>
      <c r="M16" s="99">
        <f t="shared" si="2"/>
        <v>2319.0269461913185</v>
      </c>
      <c r="N16" s="99">
        <f t="shared" si="3"/>
        <v>2316.292821761856</v>
      </c>
      <c r="O16" s="99">
        <f t="shared" si="4"/>
        <v>2398.8011450610384</v>
      </c>
      <c r="P16" s="99">
        <f t="shared" si="5"/>
        <v>2571.6814900588106</v>
      </c>
    </row>
    <row r="17" spans="1:16" ht="22.5" customHeight="1" x14ac:dyDescent="0.2">
      <c r="A17" s="214" t="s">
        <v>19</v>
      </c>
      <c r="B17" s="76">
        <f>'rice U'!C27+'Kharif CC U'!B17</f>
        <v>609.88900000000001</v>
      </c>
      <c r="C17" s="76">
        <f>'rice U'!D27+'Kharif CC U'!C17</f>
        <v>594.96399999999994</v>
      </c>
      <c r="D17" s="76">
        <f>'rice U'!E27+'Kharif CC U'!D17</f>
        <v>553.70900000000006</v>
      </c>
      <c r="E17" s="76">
        <f>'rice U'!F27+'Kharif CC U'!E17</f>
        <v>566.88400000000001</v>
      </c>
      <c r="F17" s="76">
        <f>'rice U'!G27+'Kharif CC U'!F17</f>
        <v>578.01099999999997</v>
      </c>
      <c r="G17" s="76">
        <f>'rice U'!H27+'Kharif CC U'!G17</f>
        <v>1128.9046666666668</v>
      </c>
      <c r="H17" s="76">
        <f>'rice U'!I27+'Kharif CC U'!H17</f>
        <v>1069.7406599999999</v>
      </c>
      <c r="I17" s="76">
        <f>'rice U'!J27+'Kharif CC U'!I17</f>
        <v>1205.3820403333334</v>
      </c>
      <c r="J17" s="76">
        <f>'rice U'!K27+'Kharif CC U'!J17</f>
        <v>1134.2048745799998</v>
      </c>
      <c r="K17" s="76">
        <f>'rice U'!L27+'Kharif CC U'!K17</f>
        <v>1098.7241049999998</v>
      </c>
      <c r="L17" s="99">
        <f t="shared" si="1"/>
        <v>1851.0002093277085</v>
      </c>
      <c r="M17" s="99">
        <f t="shared" si="2"/>
        <v>1797.9922482704837</v>
      </c>
      <c r="N17" s="99">
        <f t="shared" si="3"/>
        <v>2176.9233303654687</v>
      </c>
      <c r="O17" s="99">
        <f t="shared" si="4"/>
        <v>2000.770659570564</v>
      </c>
      <c r="P17" s="99">
        <f t="shared" si="5"/>
        <v>1900.8705803176754</v>
      </c>
    </row>
    <row r="18" spans="1:16" ht="22.5" customHeight="1" x14ac:dyDescent="0.2">
      <c r="A18" s="214" t="s">
        <v>83</v>
      </c>
      <c r="B18" s="76">
        <f>'rice U'!C30+'Kharif CC U'!B18</f>
        <v>2019.058</v>
      </c>
      <c r="C18" s="76">
        <f>'rice U'!D30+'Kharif CC U'!C18</f>
        <v>2042.932</v>
      </c>
      <c r="D18" s="76">
        <f>'rice U'!E30+'Kharif CC U'!D18</f>
        <v>1798.451</v>
      </c>
      <c r="E18" s="76">
        <f>'rice U'!F30+'Kharif CC U'!E18</f>
        <v>1623.52</v>
      </c>
      <c r="F18" s="76">
        <f>'rice U'!G30+'Kharif CC U'!F18</f>
        <v>1717.588</v>
      </c>
      <c r="G18" s="76">
        <f>'rice U'!H30+'Kharif CC U'!G18</f>
        <v>4392.4975999999997</v>
      </c>
      <c r="H18" s="76">
        <f>'rice U'!I30+'Kharif CC U'!H18</f>
        <v>4675.3311899000009</v>
      </c>
      <c r="I18" s="76">
        <f>'rice U'!J30+'Kharif CC U'!I18</f>
        <v>3350.5808700000002</v>
      </c>
      <c r="J18" s="76">
        <f>'rice U'!K30+'Kharif CC U'!J18</f>
        <v>3521.876593</v>
      </c>
      <c r="K18" s="76">
        <f>'rice U'!L30+'Kharif CC U'!K18</f>
        <v>3393.9520979999998</v>
      </c>
      <c r="L18" s="99">
        <f t="shared" si="1"/>
        <v>2175.5182862503207</v>
      </c>
      <c r="M18" s="99">
        <f t="shared" si="2"/>
        <v>2288.5397996115394</v>
      </c>
      <c r="N18" s="99">
        <f t="shared" si="3"/>
        <v>1863.0370635619208</v>
      </c>
      <c r="O18" s="99">
        <f t="shared" si="4"/>
        <v>2169.2843900906669</v>
      </c>
      <c r="P18" s="99">
        <f t="shared" si="5"/>
        <v>1975.998957840879</v>
      </c>
    </row>
    <row r="19" spans="1:16" ht="22.5" customHeight="1" x14ac:dyDescent="0.2">
      <c r="A19" s="214" t="s">
        <v>5</v>
      </c>
      <c r="B19" s="76">
        <f>'rice U'!C33+'Kharif CC U'!B19</f>
        <v>3177</v>
      </c>
      <c r="C19" s="76">
        <f>'rice U'!D33+'Kharif CC U'!C19</f>
        <v>3055</v>
      </c>
      <c r="D19" s="76">
        <f>'rice U'!E33+'Kharif CC U'!D19</f>
        <v>3055.01</v>
      </c>
      <c r="E19" s="76">
        <f>'rice U'!F33+'Kharif CC U'!E19</f>
        <v>3342.6</v>
      </c>
      <c r="F19" s="76">
        <f>'rice U'!G33+'Kharif CC U'!F19</f>
        <v>3691</v>
      </c>
      <c r="G19" s="76">
        <f>'rice U'!H33+'Kharif CC U'!G19</f>
        <v>6581.8153999999995</v>
      </c>
      <c r="H19" s="76">
        <f>'rice U'!I33+'Kharif CC U'!H19</f>
        <v>7385.6659</v>
      </c>
      <c r="I19" s="76">
        <f>'rice U'!J33+'Kharif CC U'!I19</f>
        <v>7363.4363200000007</v>
      </c>
      <c r="J19" s="76">
        <f>'rice U'!K33+'Kharif CC U'!J19</f>
        <v>8261.1041999999998</v>
      </c>
      <c r="K19" s="76">
        <f>'rice U'!L33+'Kharif CC U'!K19</f>
        <v>9661.3549999999996</v>
      </c>
      <c r="L19" s="99">
        <f t="shared" si="1"/>
        <v>2071.7077116776832</v>
      </c>
      <c r="M19" s="99">
        <f t="shared" si="2"/>
        <v>2417.5665793780686</v>
      </c>
      <c r="N19" s="99">
        <f t="shared" si="3"/>
        <v>2410.2822314820573</v>
      </c>
      <c r="O19" s="99">
        <f t="shared" si="4"/>
        <v>2471.4605995332972</v>
      </c>
      <c r="P19" s="99">
        <f t="shared" si="5"/>
        <v>2617.5440260092114</v>
      </c>
    </row>
    <row r="20" spans="1:16" ht="22.5" customHeight="1" x14ac:dyDescent="0.2">
      <c r="A20" s="214" t="s">
        <v>17</v>
      </c>
      <c r="B20" s="76">
        <f>'rice U'!C36+'Kharif CC U'!B20</f>
        <v>132.21700000000001</v>
      </c>
      <c r="C20" s="76">
        <f>'rice U'!D36+'Kharif CC U'!C20</f>
        <v>145.29470000000001</v>
      </c>
      <c r="D20" s="76">
        <f>'rice U'!E36+'Kharif CC U'!D20</f>
        <v>152.41043024130886</v>
      </c>
      <c r="E20" s="76">
        <f>'rice U'!F36+'Kharif CC U'!E20</f>
        <v>152.65078086465857</v>
      </c>
      <c r="F20" s="76">
        <f>'rice U'!G36+'Kharif CC U'!F20</f>
        <v>157.75012623285971</v>
      </c>
      <c r="G20" s="76">
        <f>'rice U'!H36+'Kharif CC U'!G20</f>
        <v>323.68599999999998</v>
      </c>
      <c r="H20" s="76">
        <f>'rice U'!I36+'Kharif CC U'!H20</f>
        <v>387.12487479999999</v>
      </c>
      <c r="I20" s="76">
        <f>'rice U'!J36+'Kharif CC U'!I20</f>
        <v>430.05535223071143</v>
      </c>
      <c r="J20" s="76">
        <f>'rice U'!K36+'Kharif CC U'!J20</f>
        <v>449.18701862573874</v>
      </c>
      <c r="K20" s="76">
        <f>'rice U'!L36+'Kharif CC U'!K20</f>
        <v>470.28463080508618</v>
      </c>
      <c r="L20" s="99">
        <f t="shared" si="1"/>
        <v>2448.142069476693</v>
      </c>
      <c r="M20" s="99">
        <f t="shared" si="2"/>
        <v>2664.4115360023457</v>
      </c>
      <c r="N20" s="99">
        <f t="shared" si="3"/>
        <v>2821.6923969692366</v>
      </c>
      <c r="O20" s="99">
        <f t="shared" si="4"/>
        <v>2942.5792392375092</v>
      </c>
      <c r="P20" s="99">
        <f t="shared" si="5"/>
        <v>2981.199711440388</v>
      </c>
    </row>
    <row r="21" spans="1:16" ht="22.5" customHeight="1" x14ac:dyDescent="0.2">
      <c r="A21" s="214" t="s">
        <v>6</v>
      </c>
      <c r="B21" s="76">
        <f>'rice U'!C39+'Kharif CC U'!B21</f>
        <v>4209.6000000000004</v>
      </c>
      <c r="C21" s="76">
        <f>'rice U'!D39+'Kharif CC U'!C21</f>
        <v>4068</v>
      </c>
      <c r="D21" s="76">
        <f>'rice U'!E39+'Kharif CC U'!D21</f>
        <v>4120</v>
      </c>
      <c r="E21" s="76">
        <f>'rice U'!F39+'Kharif CC U'!E21</f>
        <v>3852.89</v>
      </c>
      <c r="F21" s="76">
        <f>'rice U'!G39+'Kharif CC U'!F21</f>
        <v>3980</v>
      </c>
      <c r="G21" s="76">
        <f>'rice U'!H39+'Kharif CC U'!G21</f>
        <v>8595.5030000000006</v>
      </c>
      <c r="H21" s="76">
        <f>'rice U'!I39+'Kharif CC U'!H21</f>
        <v>8968.1155000000017</v>
      </c>
      <c r="I21" s="76">
        <f>'rice U'!J39+'Kharif CC U'!I21</f>
        <v>9390.7484366499648</v>
      </c>
      <c r="J21" s="76">
        <f>'rice U'!K39+'Kharif CC U'!J21</f>
        <v>9565.6445766666675</v>
      </c>
      <c r="K21" s="76">
        <f>'rice U'!L39+'Kharif CC U'!K21</f>
        <v>9104.5810000000001</v>
      </c>
      <c r="L21" s="99">
        <f t="shared" si="1"/>
        <v>2041.8811763587987</v>
      </c>
      <c r="M21" s="99">
        <f t="shared" si="2"/>
        <v>2204.5514995083581</v>
      </c>
      <c r="N21" s="99">
        <f t="shared" si="3"/>
        <v>2279.3078729732924</v>
      </c>
      <c r="O21" s="99">
        <f t="shared" si="4"/>
        <v>2482.7193552545409</v>
      </c>
      <c r="P21" s="99">
        <f t="shared" si="5"/>
        <v>2287.5831658291459</v>
      </c>
    </row>
    <row r="22" spans="1:16" ht="22.5" customHeight="1" x14ac:dyDescent="0.2">
      <c r="A22" s="214" t="s">
        <v>7</v>
      </c>
      <c r="B22" s="76">
        <f>'rice U'!C42+'Kharif CC U'!B22</f>
        <v>3835.3</v>
      </c>
      <c r="C22" s="76">
        <f>'rice U'!D42+'Kharif CC U'!C22</f>
        <v>3608</v>
      </c>
      <c r="D22" s="76">
        <f>'rice U'!E42+'Kharif CC U'!D22</f>
        <v>3392.2</v>
      </c>
      <c r="E22" s="76">
        <f>'rice U'!F42+'Kharif CC U'!E22</f>
        <v>3354.77</v>
      </c>
      <c r="F22" s="76">
        <f>'rice U'!G42+'Kharif CC U'!F22</f>
        <v>3446.3999999999996</v>
      </c>
      <c r="G22" s="76">
        <f>'rice U'!H42+'Kharif CC U'!G22</f>
        <v>6920.6465649999991</v>
      </c>
      <c r="H22" s="76">
        <f>'rice U'!I42+'Kharif CC U'!H22</f>
        <v>6177.8940000000002</v>
      </c>
      <c r="I22" s="76">
        <f>'rice U'!J42+'Kharif CC U'!I22</f>
        <v>5385.1575300000004</v>
      </c>
      <c r="J22" s="76">
        <f>'rice U'!K42+'Kharif CC U'!J22</f>
        <v>4591.2685299999994</v>
      </c>
      <c r="K22" s="76">
        <f>'rice U'!L42+'Kharif CC U'!K22</f>
        <v>6733.3735999999999</v>
      </c>
      <c r="L22" s="99">
        <f t="shared" si="1"/>
        <v>1804.4602938492421</v>
      </c>
      <c r="M22" s="99">
        <f t="shared" si="2"/>
        <v>1712.2766075388026</v>
      </c>
      <c r="N22" s="99">
        <f t="shared" si="3"/>
        <v>1587.5118006013797</v>
      </c>
      <c r="O22" s="99">
        <f t="shared" si="4"/>
        <v>1368.5792259976092</v>
      </c>
      <c r="P22" s="99">
        <f t="shared" si="5"/>
        <v>1953.7411792014859</v>
      </c>
    </row>
    <row r="23" spans="1:16" ht="22.5" customHeight="1" x14ac:dyDescent="0.2">
      <c r="A23" s="214" t="s">
        <v>29</v>
      </c>
      <c r="B23" s="76">
        <f>'rice U'!C45+'Kharif CC U'!B23</f>
        <v>49</v>
      </c>
      <c r="C23" s="76">
        <f>'rice U'!D45+'Kharif CC U'!C23</f>
        <v>49.65</v>
      </c>
      <c r="D23" s="76">
        <f>'rice U'!E45+'Kharif CC U'!D23</f>
        <v>38.5</v>
      </c>
      <c r="E23" s="76">
        <f>'rice U'!F45+'Kharif CC U'!E23</f>
        <v>33.380046038563933</v>
      </c>
      <c r="F23" s="76">
        <f>'rice U'!G45+'Kharif CC U'!F23</f>
        <v>49.28</v>
      </c>
      <c r="G23" s="76">
        <f>'rice U'!H45+'Kharif CC U'!G23</f>
        <v>188</v>
      </c>
      <c r="H23" s="76">
        <f>'rice U'!I45+'Kharif CC U'!H23</f>
        <v>176.80365</v>
      </c>
      <c r="I23" s="76">
        <f>'rice U'!J45+'Kharif CC U'!I23</f>
        <v>88.779999999999987</v>
      </c>
      <c r="J23" s="76">
        <f>'rice U'!K45+'Kharif CC U'!J23</f>
        <v>122.57910841248111</v>
      </c>
      <c r="K23" s="76">
        <f>'rice U'!L45+'Kharif CC U'!K23</f>
        <v>122.49181999999999</v>
      </c>
      <c r="L23" s="99">
        <f t="shared" si="1"/>
        <v>3836.7346938775509</v>
      </c>
      <c r="M23" s="99">
        <f t="shared" si="2"/>
        <v>3561.0000000000005</v>
      </c>
      <c r="N23" s="99">
        <f t="shared" si="3"/>
        <v>2305.9740259740256</v>
      </c>
      <c r="O23" s="99">
        <f t="shared" si="4"/>
        <v>3672.2270625650303</v>
      </c>
      <c r="P23" s="99">
        <f t="shared" si="5"/>
        <v>2485.6294642857142</v>
      </c>
    </row>
    <row r="24" spans="1:16" ht="22.5" customHeight="1" x14ac:dyDescent="0.2">
      <c r="A24" s="214" t="s">
        <v>26</v>
      </c>
      <c r="B24" s="76">
        <f>'rice U'!C48+'Kharif CC U'!B24</f>
        <v>118.57999999999998</v>
      </c>
      <c r="C24" s="76">
        <f>'rice U'!D48+'Kharif CC U'!C24</f>
        <v>118.53399999999999</v>
      </c>
      <c r="D24" s="76">
        <f>'rice U'!E48+'Kharif CC U'!D24</f>
        <v>118.37299999999999</v>
      </c>
      <c r="E24" s="76">
        <f>'rice U'!F48+'Kharif CC U'!E24</f>
        <v>118.42</v>
      </c>
      <c r="F24" s="76">
        <f>'rice U'!G48+'Kharif CC U'!F24</f>
        <v>115.04600000000001</v>
      </c>
      <c r="G24" s="76">
        <f>'rice U'!H48+'Kharif CC U'!G24</f>
        <v>205.11666666666667</v>
      </c>
      <c r="H24" s="76">
        <f>'rice U'!I48+'Kharif CC U'!H24</f>
        <v>285.52325999999999</v>
      </c>
      <c r="I24" s="76">
        <f>'rice U'!J48+'Kharif CC U'!I24</f>
        <v>204.35764533333335</v>
      </c>
      <c r="J24" s="76">
        <f>'rice U'!K48+'Kharif CC U'!J24</f>
        <v>284.86414999999994</v>
      </c>
      <c r="K24" s="76">
        <f>'rice U'!L48+'Kharif CC U'!K24</f>
        <v>277.30654900000002</v>
      </c>
      <c r="L24" s="99">
        <f t="shared" si="1"/>
        <v>1729.7745544498796</v>
      </c>
      <c r="M24" s="99">
        <f t="shared" si="2"/>
        <v>2408.7878583360052</v>
      </c>
      <c r="N24" s="99">
        <f t="shared" si="3"/>
        <v>1726.3873124220336</v>
      </c>
      <c r="O24" s="99">
        <f t="shared" si="4"/>
        <v>2405.5408714744126</v>
      </c>
      <c r="P24" s="99">
        <f t="shared" si="5"/>
        <v>2410.397136797455</v>
      </c>
    </row>
    <row r="25" spans="1:16" ht="22.5" customHeight="1" x14ac:dyDescent="0.2">
      <c r="A25" s="214" t="s">
        <v>30</v>
      </c>
      <c r="B25" s="76">
        <f>'rice U'!C51+'Kharif CC U'!B25</f>
        <v>41.945</v>
      </c>
      <c r="C25" s="76">
        <f>'rice U'!D51+'Kharif CC U'!C25</f>
        <v>41.101200000000006</v>
      </c>
      <c r="D25" s="76">
        <f>'rice U'!E51+'Kharif CC U'!D25</f>
        <v>40.823</v>
      </c>
      <c r="E25" s="76">
        <f>'rice U'!F51+'Kharif CC U'!E25</f>
        <v>40.602000000000004</v>
      </c>
      <c r="F25" s="76">
        <f>'rice U'!G51+'Kharif CC U'!F25</f>
        <v>41.203999999999994</v>
      </c>
      <c r="G25" s="76">
        <f>'rice U'!H51+'Kharif CC U'!G25</f>
        <v>69.087000000000003</v>
      </c>
      <c r="H25" s="76">
        <f>'rice U'!I51+'Kharif CC U'!H25</f>
        <v>67.393300000000011</v>
      </c>
      <c r="I25" s="76">
        <f>'rice U'!J51+'Kharif CC U'!I25</f>
        <v>69.349999999999994</v>
      </c>
      <c r="J25" s="76">
        <f>'rice U'!K51+'Kharif CC U'!J25</f>
        <v>69.349999999999994</v>
      </c>
      <c r="K25" s="76">
        <f>'rice U'!L51+'Kharif CC U'!K25</f>
        <v>72.930431999999996</v>
      </c>
      <c r="L25" s="99">
        <f t="shared" si="1"/>
        <v>1647.0854690666349</v>
      </c>
      <c r="M25" s="99">
        <f t="shared" si="2"/>
        <v>1639.6917851546912</v>
      </c>
      <c r="N25" s="99">
        <f t="shared" si="3"/>
        <v>1698.7972466501726</v>
      </c>
      <c r="O25" s="99">
        <f t="shared" si="4"/>
        <v>1708.0439387222302</v>
      </c>
      <c r="P25" s="99">
        <f t="shared" si="5"/>
        <v>1769.9842733715175</v>
      </c>
    </row>
    <row r="26" spans="1:16" ht="22.5" customHeight="1" x14ac:dyDescent="0.2">
      <c r="A26" s="214" t="s">
        <v>20</v>
      </c>
      <c r="B26" s="76">
        <f>'rice U'!C54+'Kharif CC U'!B26</f>
        <v>276.83000000000004</v>
      </c>
      <c r="C26" s="76">
        <f>'rice U'!D54+'Kharif CC U'!C26</f>
        <v>282.26</v>
      </c>
      <c r="D26" s="76">
        <f>'rice U'!E54+'Kharif CC U'!D26</f>
        <v>282.86</v>
      </c>
      <c r="E26" s="76">
        <f>'rice U'!F54+'Kharif CC U'!E26</f>
        <v>285.19</v>
      </c>
      <c r="F26" s="76">
        <f>'rice U'!G54+'Kharif CC U'!F26</f>
        <v>286.94</v>
      </c>
      <c r="G26" s="76">
        <f>'rice U'!H54+'Kharif CC U'!G26</f>
        <v>466.21333333333337</v>
      </c>
      <c r="H26" s="76">
        <f>'rice U'!I54+'Kharif CC U'!H26</f>
        <v>478.94037666666662</v>
      </c>
      <c r="I26" s="76">
        <f>'rice U'!J54+'Kharif CC U'!I26</f>
        <v>483.96952999999996</v>
      </c>
      <c r="J26" s="76">
        <f>'rice U'!K54+'Kharif CC U'!J26</f>
        <v>490.38110333333333</v>
      </c>
      <c r="K26" s="76">
        <f>'rice U'!L54+'Kharif CC U'!K26</f>
        <v>494.43137000000002</v>
      </c>
      <c r="L26" s="99">
        <f t="shared" si="1"/>
        <v>1684.1141976423555</v>
      </c>
      <c r="M26" s="99">
        <f t="shared" si="2"/>
        <v>1696.8056992371098</v>
      </c>
      <c r="N26" s="99">
        <f t="shared" si="3"/>
        <v>1710.9861062009472</v>
      </c>
      <c r="O26" s="99">
        <f t="shared" si="4"/>
        <v>1719.4891242095914</v>
      </c>
      <c r="P26" s="99">
        <f t="shared" si="5"/>
        <v>1723.1176204084477</v>
      </c>
    </row>
    <row r="27" spans="1:16" ht="22.5" customHeight="1" x14ac:dyDescent="0.2">
      <c r="A27" s="215" t="s">
        <v>107</v>
      </c>
      <c r="B27" s="76">
        <f>'rice U'!C63+'Kharif CC U'!B27</f>
        <v>3781.49</v>
      </c>
      <c r="C27" s="76">
        <f>'rice U'!D63+'Kharif CC U'!C27</f>
        <v>3668.4100000000003</v>
      </c>
      <c r="D27" s="76">
        <f>'rice U'!E63+'Kharif CC U'!D27</f>
        <v>3713.1800000000003</v>
      </c>
      <c r="E27" s="76">
        <f>'rice U'!F63+'Kharif CC U'!E27</f>
        <v>3785.68</v>
      </c>
      <c r="F27" s="76">
        <f>'rice U'!G63+'Kharif CC U'!F27</f>
        <v>3848.7799999999997</v>
      </c>
      <c r="G27" s="76">
        <f>'rice U'!H63+'Kharif CC U'!G27</f>
        <v>7780.92</v>
      </c>
      <c r="H27" s="76">
        <f>'rice U'!I63+'Kharif CC U'!H27</f>
        <v>6020.3679700000002</v>
      </c>
      <c r="I27" s="76">
        <f>'rice U'!J63+'Kharif CC U'!I27</f>
        <v>6969.5774199999987</v>
      </c>
      <c r="J27" s="76">
        <f>'rice U'!K63+'Kharif CC U'!J27</f>
        <v>7651.4881099999993</v>
      </c>
      <c r="K27" s="76">
        <f>'rice U'!L63+'Kharif CC U'!K27</f>
        <v>7932.0263400000003</v>
      </c>
      <c r="L27" s="99">
        <f t="shared" si="1"/>
        <v>2057.6333667416816</v>
      </c>
      <c r="M27" s="99">
        <f t="shared" si="2"/>
        <v>1641.1382506317452</v>
      </c>
      <c r="N27" s="99">
        <f t="shared" si="3"/>
        <v>1876.9834535357827</v>
      </c>
      <c r="O27" s="99">
        <f t="shared" si="4"/>
        <v>2021.1661075421059</v>
      </c>
      <c r="P27" s="99">
        <f t="shared" si="5"/>
        <v>2060.9196524612998</v>
      </c>
    </row>
    <row r="28" spans="1:16" ht="22.5" customHeight="1" x14ac:dyDescent="0.2">
      <c r="A28" s="214" t="s">
        <v>21</v>
      </c>
      <c r="B28" s="76">
        <f>'rice U'!C66+'Kharif CC U'!B28</f>
        <v>3015.2</v>
      </c>
      <c r="C28" s="76">
        <f>'rice U'!D66+'Kharif CC U'!C28</f>
        <v>3180</v>
      </c>
      <c r="D28" s="76">
        <f>'rice U'!E66+'Kharif CC U'!D28</f>
        <v>3213.1</v>
      </c>
      <c r="E28" s="76">
        <f>'rice U'!F66+'Kharif CC U'!E28</f>
        <v>3035.1</v>
      </c>
      <c r="F28" s="76">
        <f>'rice U'!G66+'Kharif CC U'!F28</f>
        <v>3036.2</v>
      </c>
      <c r="G28" s="76">
        <f>'rice U'!H66+'Kharif CC U'!G28</f>
        <v>12031.904</v>
      </c>
      <c r="H28" s="76">
        <f>'rice U'!I66+'Kharif CC U'!H28</f>
        <v>13805.1</v>
      </c>
      <c r="I28" s="76">
        <f>'rice U'!J66+'Kharif CC U'!I28</f>
        <v>13217.437099999999</v>
      </c>
      <c r="J28" s="76">
        <f>'rice U'!K66+'Kharif CC U'!J28</f>
        <v>12189.980100000001</v>
      </c>
      <c r="K28" s="76">
        <f>'rice U'!L66+'Kharif CC U'!K28</f>
        <v>13178.991</v>
      </c>
      <c r="L28" s="99">
        <f t="shared" si="1"/>
        <v>3990.4165561156806</v>
      </c>
      <c r="M28" s="99">
        <f t="shared" si="2"/>
        <v>4341.2264150943402</v>
      </c>
      <c r="N28" s="99">
        <f t="shared" si="3"/>
        <v>4113.6090068780932</v>
      </c>
      <c r="O28" s="99">
        <f t="shared" si="4"/>
        <v>4016.3355737866959</v>
      </c>
      <c r="P28" s="99">
        <f t="shared" si="5"/>
        <v>4340.6201831236422</v>
      </c>
    </row>
    <row r="29" spans="1:16" ht="22.5" customHeight="1" x14ac:dyDescent="0.2">
      <c r="A29" s="214" t="s">
        <v>22</v>
      </c>
      <c r="B29" s="76">
        <f>'rice U'!C67+'Kharif CC U'!B29</f>
        <v>5860.7260000000006</v>
      </c>
      <c r="C29" s="76">
        <f>'rice U'!D67+'Kharif CC U'!C29</f>
        <v>5809.342999999998</v>
      </c>
      <c r="D29" s="76">
        <f>'rice U'!E67+'Kharif CC U'!D29</f>
        <v>5797.670000000001</v>
      </c>
      <c r="E29" s="76">
        <f>'rice U'!F67+'Kharif CC U'!E29</f>
        <v>6034.81</v>
      </c>
      <c r="F29" s="76">
        <f>'rice U'!G67+'Kharif CC U'!F29</f>
        <v>6122.2489999999998</v>
      </c>
      <c r="G29" s="76">
        <f>'rice U'!H67+'Kharif CC U'!G29</f>
        <v>6346.6730000000007</v>
      </c>
      <c r="H29" s="76">
        <f>'rice U'!I67+'Kharif CC U'!H29</f>
        <v>6252.4484130000001</v>
      </c>
      <c r="I29" s="76">
        <f>'rice U'!J67+'Kharif CC U'!I29</f>
        <v>6633.9926159999995</v>
      </c>
      <c r="J29" s="76">
        <f>'rice U'!K67+'Kharif CC U'!J29</f>
        <v>6762.5043299999998</v>
      </c>
      <c r="K29" s="76">
        <f>'rice U'!L67+'Kharif CC U'!K29</f>
        <v>7976.343476</v>
      </c>
      <c r="L29" s="99">
        <f t="shared" si="1"/>
        <v>1082.9158367069201</v>
      </c>
      <c r="M29" s="99">
        <f t="shared" si="2"/>
        <v>1076.2746171124691</v>
      </c>
      <c r="N29" s="99">
        <f t="shared" si="3"/>
        <v>1144.2515037937651</v>
      </c>
      <c r="O29" s="99">
        <f t="shared" si="4"/>
        <v>1120.5828070809187</v>
      </c>
      <c r="P29" s="99">
        <f t="shared" si="5"/>
        <v>1302.8453230177342</v>
      </c>
    </row>
    <row r="30" spans="1:16" ht="22.5" customHeight="1" x14ac:dyDescent="0.2">
      <c r="A30" s="214" t="s">
        <v>84</v>
      </c>
      <c r="B30" s="76">
        <f>'rice U'!C68+'Kharif CC U'!B30</f>
        <v>56.262</v>
      </c>
      <c r="C30" s="76">
        <f>'rice U'!D68+'Kharif CC U'!C30</f>
        <v>50.427999999999997</v>
      </c>
      <c r="D30" s="76">
        <f>'rice U'!E68+'Kharif CC U'!D30</f>
        <v>49.147999999999996</v>
      </c>
      <c r="E30" s="76">
        <f>'rice U'!F68+'Kharif CC U'!E30</f>
        <v>49.353999999999999</v>
      </c>
      <c r="F30" s="76">
        <f>'rice U'!G68+'Kharif CC U'!F30</f>
        <v>49.146000000000001</v>
      </c>
      <c r="G30" s="76">
        <f>'rice U'!H68+'Kharif CC U'!G30</f>
        <v>95.06</v>
      </c>
      <c r="H30" s="76">
        <f>'rice U'!I68+'Kharif CC U'!H30</f>
        <v>88.134681</v>
      </c>
      <c r="I30" s="76">
        <f>'rice U'!J68+'Kharif CC U'!I30</f>
        <v>86.152287999999999</v>
      </c>
      <c r="J30" s="76">
        <f>'rice U'!K68+'Kharif CC U'!J30</f>
        <v>86.409767000000002</v>
      </c>
      <c r="K30" s="76">
        <f>'rice U'!L68+'Kharif CC U'!K30</f>
        <v>86.276774000000003</v>
      </c>
      <c r="L30" s="99">
        <f t="shared" si="1"/>
        <v>1689.5951085990544</v>
      </c>
      <c r="M30" s="99">
        <f t="shared" si="2"/>
        <v>1747.7330253034029</v>
      </c>
      <c r="N30" s="99">
        <f t="shared" si="3"/>
        <v>1752.9154390819565</v>
      </c>
      <c r="O30" s="99">
        <f t="shared" si="4"/>
        <v>1750.8158811849091</v>
      </c>
      <c r="P30" s="99">
        <f t="shared" si="5"/>
        <v>1755.519757457372</v>
      </c>
    </row>
    <row r="31" spans="1:16" ht="22.5" customHeight="1" x14ac:dyDescent="0.2">
      <c r="A31" s="214" t="s">
        <v>11</v>
      </c>
      <c r="B31" s="76">
        <f>'rice U'!C69+'Kharif CC U'!B31</f>
        <v>1745.05</v>
      </c>
      <c r="C31" s="76">
        <f>'rice U'!D69+'Kharif CC U'!C31</f>
        <v>2253.6073900000001</v>
      </c>
      <c r="D31" s="76">
        <f>'rice U'!E69+'Kharif CC U'!D31</f>
        <v>2071.9288468977043</v>
      </c>
      <c r="E31" s="76">
        <f>'rice U'!F69+'Kharif CC U'!E31</f>
        <v>2320.7370926503827</v>
      </c>
      <c r="F31" s="76">
        <f>'rice U'!G69+'Kharif CC U'!F31</f>
        <v>2471.9095924512985</v>
      </c>
      <c r="G31" s="76">
        <f>'rice U'!H69+'Kharif CC U'!G31</f>
        <v>3228.62</v>
      </c>
      <c r="H31" s="76">
        <f>'rice U'!I69+'Kharif CC U'!H31</f>
        <v>8226.1050401600005</v>
      </c>
      <c r="I31" s="76">
        <f>'rice U'!J69+'Kharif CC U'!I31</f>
        <v>7372.2245995102148</v>
      </c>
      <c r="J31" s="76">
        <f>'rice U'!K69+'Kharif CC U'!J31</f>
        <v>8529.5844916563037</v>
      </c>
      <c r="K31" s="76">
        <f>'rice U'!L69+'Kharif CC U'!K31</f>
        <v>8496.9312350892833</v>
      </c>
      <c r="L31" s="99">
        <f t="shared" si="1"/>
        <v>1850.1590212314834</v>
      </c>
      <c r="M31" s="99">
        <f t="shared" si="2"/>
        <v>3650.1943846394647</v>
      </c>
      <c r="N31" s="99">
        <f t="shared" si="3"/>
        <v>3558.1456431520969</v>
      </c>
      <c r="O31" s="99">
        <f t="shared" si="4"/>
        <v>3675.3773267419738</v>
      </c>
      <c r="P31" s="99">
        <f t="shared" si="5"/>
        <v>3437.395631716126</v>
      </c>
    </row>
    <row r="32" spans="1:16" ht="22.5" customHeight="1" x14ac:dyDescent="0.2">
      <c r="A32" s="214" t="s">
        <v>109</v>
      </c>
      <c r="B32" s="76">
        <f>'rice U'!C72+'Kharif CC U'!B32</f>
        <v>1606</v>
      </c>
      <c r="C32" s="76">
        <f>'rice U'!D72+'Kharif CC U'!C32</f>
        <v>1563</v>
      </c>
      <c r="D32" s="76">
        <f>'rice U'!E72+'Kharif CC U'!D32</f>
        <v>1659</v>
      </c>
      <c r="E32" s="76">
        <f>'rice U'!F72+'Kharif CC U'!E32</f>
        <v>1556</v>
      </c>
      <c r="F32" s="76">
        <f>'rice U'!G72+'Kharif CC U'!F32</f>
        <v>1940</v>
      </c>
      <c r="G32" s="76">
        <f>'rice U'!H72+'Kharif CC U'!G32</f>
        <v>4487.8879999999999</v>
      </c>
      <c r="H32" s="76">
        <f>'rice U'!I72+'Kharif CC U'!H32</f>
        <v>4594.8499999999995</v>
      </c>
      <c r="I32" s="76">
        <f>'rice U'!J72+'Kharif CC U'!I32</f>
        <v>5494.4210000000003</v>
      </c>
      <c r="J32" s="76">
        <f>'rice U'!K72+'Kharif CC U'!J32</f>
        <v>5998.402</v>
      </c>
      <c r="K32" s="76">
        <f>'rice U'!L72+'Kharif CC U'!K32</f>
        <v>5884.6720000000005</v>
      </c>
      <c r="L32" s="99">
        <f t="shared" si="1"/>
        <v>2794.450809464508</v>
      </c>
      <c r="M32" s="99">
        <f t="shared" si="2"/>
        <v>2939.763275751759</v>
      </c>
      <c r="N32" s="99">
        <f t="shared" si="3"/>
        <v>3311.8872814948768</v>
      </c>
      <c r="O32" s="99">
        <f t="shared" si="4"/>
        <v>3855.0141388174807</v>
      </c>
      <c r="P32" s="99">
        <f t="shared" si="5"/>
        <v>3033.3360824742272</v>
      </c>
    </row>
    <row r="33" spans="1:16" ht="22.5" customHeight="1" x14ac:dyDescent="0.2">
      <c r="A33" s="214" t="s">
        <v>85</v>
      </c>
      <c r="B33" s="76">
        <f>'rice U'!C75+'Kharif CC U'!B33</f>
        <v>218.45999999999998</v>
      </c>
      <c r="C33" s="76">
        <f>'rice U'!D75+'Kharif CC U'!C33</f>
        <v>216.79</v>
      </c>
      <c r="D33" s="76">
        <f>'rice U'!E75+'Kharif CC U'!D33</f>
        <v>213.309</v>
      </c>
      <c r="E33" s="76">
        <f>'rice U'!F75+'Kharif CC U'!E33</f>
        <v>210.24599999999998</v>
      </c>
      <c r="F33" s="76">
        <f>'rice U'!G75+'Kharif CC U'!F33</f>
        <v>214.42000000000002</v>
      </c>
      <c r="G33" s="76">
        <f>'rice U'!H75+'Kharif CC U'!G33</f>
        <v>600.57100000000003</v>
      </c>
      <c r="H33" s="76">
        <f>'rice U'!I75+'Kharif CC U'!H33</f>
        <v>597.20807000000002</v>
      </c>
      <c r="I33" s="76">
        <f>'rice U'!J75+'Kharif CC U'!I33</f>
        <v>578.99064499999997</v>
      </c>
      <c r="J33" s="76">
        <f>'rice U'!K75+'Kharif CC U'!J33</f>
        <v>600.7239800000001</v>
      </c>
      <c r="K33" s="76">
        <f>'rice U'!L75+'Kharif CC U'!K33</f>
        <v>611.12176700000009</v>
      </c>
      <c r="L33" s="99">
        <f t="shared" si="1"/>
        <v>2749.1119655772227</v>
      </c>
      <c r="M33" s="99">
        <f t="shared" si="2"/>
        <v>2754.7768347248489</v>
      </c>
      <c r="N33" s="99">
        <f t="shared" si="3"/>
        <v>2714.3282515036867</v>
      </c>
      <c r="O33" s="99">
        <f t="shared" si="4"/>
        <v>2857.2433244865547</v>
      </c>
      <c r="P33" s="99">
        <f t="shared" si="5"/>
        <v>2850.1155069489791</v>
      </c>
    </row>
    <row r="34" spans="1:16" ht="22.5" customHeight="1" x14ac:dyDescent="0.2">
      <c r="A34" s="214" t="s">
        <v>12</v>
      </c>
      <c r="B34" s="76">
        <f>'rice U'!C78+'Kharif CC U'!B34</f>
        <v>7792</v>
      </c>
      <c r="C34" s="76">
        <f>'rice U'!D78+'Kharif CC U'!C34</f>
        <v>7555</v>
      </c>
      <c r="D34" s="76">
        <f>'rice U'!E78+'Kharif CC U'!D34</f>
        <v>7423</v>
      </c>
      <c r="E34" s="76">
        <f>'rice U'!F78+'Kharif CC U'!E34</f>
        <v>7469</v>
      </c>
      <c r="F34" s="76">
        <f>'rice U'!G78+'Kharif CC U'!F34</f>
        <v>7454</v>
      </c>
      <c r="G34" s="76">
        <f>'rice U'!H78+'Kharif CC U'!G34</f>
        <v>16968.038</v>
      </c>
      <c r="H34" s="76">
        <f>'rice U'!I78+'Kharif CC U'!H34</f>
        <v>16667.108</v>
      </c>
      <c r="I34" s="76">
        <f>'rice U'!J78+'Kharif CC U'!I34</f>
        <v>18818.886999999999</v>
      </c>
      <c r="J34" s="76">
        <f>'rice U'!K78+'Kharif CC U'!J34</f>
        <v>19139.308000000001</v>
      </c>
      <c r="K34" s="76">
        <f>'rice U'!L78+'Kharif CC U'!K34</f>
        <v>19365.239999999998</v>
      </c>
      <c r="L34" s="99">
        <f t="shared" si="1"/>
        <v>2177.6229466119098</v>
      </c>
      <c r="M34" s="99">
        <f t="shared" si="2"/>
        <v>2206.1029781601587</v>
      </c>
      <c r="N34" s="99">
        <f t="shared" si="3"/>
        <v>2535.213121379496</v>
      </c>
      <c r="O34" s="99">
        <f t="shared" si="4"/>
        <v>2562.4993975097068</v>
      </c>
      <c r="P34" s="99">
        <f t="shared" si="5"/>
        <v>2597.9661926482422</v>
      </c>
    </row>
    <row r="35" spans="1:16" ht="22.5" customHeight="1" x14ac:dyDescent="0.2">
      <c r="A35" s="214" t="s">
        <v>90</v>
      </c>
      <c r="B35" s="76">
        <f>'rice U'!C81+'Kharif CC U'!B35</f>
        <v>438</v>
      </c>
      <c r="C35" s="76">
        <f>'rice U'!D81+'Kharif CC U'!C35</f>
        <v>423</v>
      </c>
      <c r="D35" s="76">
        <f>'rice U'!E81+'Kharif CC U'!D35</f>
        <v>408</v>
      </c>
      <c r="E35" s="76">
        <f>'rice U'!F81+'Kharif CC U'!E35</f>
        <v>388</v>
      </c>
      <c r="F35" s="76">
        <f>'rice U'!G81+'Kharif CC U'!F35</f>
        <v>396</v>
      </c>
      <c r="G35" s="76">
        <f>'rice U'!H81+'Kharif CC U'!G35</f>
        <v>855</v>
      </c>
      <c r="H35" s="76">
        <f>'rice U'!I81+'Kharif CC U'!H35</f>
        <v>865.05</v>
      </c>
      <c r="I35" s="76">
        <f>'rice U'!J81+'Kharif CC U'!I35</f>
        <v>780.572</v>
      </c>
      <c r="J35" s="76">
        <f>'rice U'!K81+'Kharif CC U'!J35</f>
        <v>829.19799999999998</v>
      </c>
      <c r="K35" s="76">
        <f>'rice U'!L81+'Kharif CC U'!K35</f>
        <v>899.68799999999999</v>
      </c>
      <c r="L35" s="99">
        <f t="shared" si="1"/>
        <v>1952.0547945205481</v>
      </c>
      <c r="M35" s="99">
        <f t="shared" si="2"/>
        <v>2045.0354609929077</v>
      </c>
      <c r="N35" s="99">
        <f t="shared" si="3"/>
        <v>1913.1666666666667</v>
      </c>
      <c r="O35" s="99">
        <f t="shared" si="4"/>
        <v>2137.1082474226805</v>
      </c>
      <c r="P35" s="99">
        <f t="shared" si="5"/>
        <v>2271.9393939393935</v>
      </c>
    </row>
    <row r="36" spans="1:16" ht="22.5" customHeight="1" x14ac:dyDescent="0.2">
      <c r="A36" s="214" t="s">
        <v>13</v>
      </c>
      <c r="B36" s="76">
        <f>'rice U'!C84+'Kharif CC U'!B36</f>
        <v>4270.3590000000004</v>
      </c>
      <c r="C36" s="76">
        <f>'rice U'!D84+'Kharif CC U'!C36</f>
        <v>3929.13</v>
      </c>
      <c r="D36" s="76">
        <f>'rice U'!E84+'Kharif CC U'!D36</f>
        <v>4295.5619999999999</v>
      </c>
      <c r="E36" s="76">
        <f>'rice U'!F84+'Kharif CC U'!E36</f>
        <v>4278.4320000000007</v>
      </c>
      <c r="F36" s="76">
        <f>'rice U'!G84+'Kharif CC U'!F36</f>
        <v>4359.1820000000007</v>
      </c>
      <c r="G36" s="76">
        <f>'rice U'!H84+'Kharif CC U'!G36</f>
        <v>11080.44572225</v>
      </c>
      <c r="H36" s="76">
        <f>'rice U'!I84+'Kharif CC U'!H36</f>
        <v>10857.896000000001</v>
      </c>
      <c r="I36" s="76">
        <f>'rice U'!J84+'Kharif CC U'!I36</f>
        <v>12081.730997999999</v>
      </c>
      <c r="J36" s="76">
        <f>'rice U'!K84+'Kharif CC U'!J36</f>
        <v>11521.338668000002</v>
      </c>
      <c r="K36" s="76">
        <f>'rice U'!L84+'Kharif CC U'!K36</f>
        <v>12025.341659000002</v>
      </c>
      <c r="L36" s="99">
        <f t="shared" si="1"/>
        <v>2594.7340076677392</v>
      </c>
      <c r="M36" s="99">
        <f t="shared" si="2"/>
        <v>2763.4351624914425</v>
      </c>
      <c r="N36" s="99">
        <f t="shared" si="3"/>
        <v>2812.607756098038</v>
      </c>
      <c r="O36" s="99">
        <f t="shared" si="4"/>
        <v>2692.8881113454649</v>
      </c>
      <c r="P36" s="99">
        <f t="shared" si="5"/>
        <v>2758.6234433432692</v>
      </c>
    </row>
    <row r="37" spans="1:16" ht="22.5" customHeight="1" x14ac:dyDescent="0.2">
      <c r="A37" s="214" t="s">
        <v>32</v>
      </c>
      <c r="B37" s="76">
        <f>'rice U'!C87+'Kharif CC U'!B37</f>
        <v>4.9800000000000004</v>
      </c>
      <c r="C37" s="76">
        <f>'rice U'!D87+'Kharif CC U'!C37</f>
        <v>5.38415</v>
      </c>
      <c r="D37" s="76">
        <f>'rice U'!E87+'Kharif CC U'!D37</f>
        <v>5.42354</v>
      </c>
      <c r="E37" s="76">
        <f>'rice U'!F87+'Kharif CC U'!E37</f>
        <v>5.7011000000000003</v>
      </c>
      <c r="F37" s="76">
        <f>'rice U'!G87+'Kharif CC U'!F37</f>
        <v>6.2970000000000006</v>
      </c>
      <c r="G37" s="76">
        <f>'rice U'!H87+'Kharif CC U'!G37</f>
        <v>12.809699999999999</v>
      </c>
      <c r="H37" s="76">
        <f>'rice U'!I87+'Kharif CC U'!H37</f>
        <v>16.881677900000003</v>
      </c>
      <c r="I37" s="76">
        <f>'rice U'!J87+'Kharif CC U'!I37</f>
        <v>11.489342633333333</v>
      </c>
      <c r="J37" s="76">
        <f>'rice U'!K87+'Kharif CC U'!J37</f>
        <v>17.981269400000002</v>
      </c>
      <c r="K37" s="76">
        <f>'rice U'!L87+'Kharif CC U'!K37</f>
        <v>13.453928000000001</v>
      </c>
      <c r="L37" s="99">
        <f t="shared" si="1"/>
        <v>2572.2289156626503</v>
      </c>
      <c r="M37" s="99">
        <f t="shared" si="2"/>
        <v>3135.4397444350552</v>
      </c>
      <c r="N37" s="99">
        <f t="shared" si="3"/>
        <v>2118.4212955621852</v>
      </c>
      <c r="O37" s="99">
        <f t="shared" si="4"/>
        <v>3154.0000000000005</v>
      </c>
      <c r="P37" s="99">
        <f t="shared" si="5"/>
        <v>2136.5615372399557</v>
      </c>
    </row>
    <row r="38" spans="1:16" ht="22.5" customHeight="1" x14ac:dyDescent="0.2">
      <c r="A38" s="214" t="s">
        <v>42</v>
      </c>
      <c r="B38" s="76">
        <f>'rice U'!C89+'Kharif CC U'!B38</f>
        <v>15.102</v>
      </c>
      <c r="C38" s="76">
        <f>'rice U'!D89+'Kharif CC U'!C38</f>
        <v>15.109</v>
      </c>
      <c r="D38" s="76">
        <f>'rice U'!E89+'Kharif CC U'!D38</f>
        <v>15.44</v>
      </c>
      <c r="E38" s="76">
        <f>'rice U'!F89+'Kharif CC U'!E38</f>
        <v>14.359</v>
      </c>
      <c r="F38" s="76">
        <f>'rice U'!G89+'Kharif CC U'!F38</f>
        <v>16.698</v>
      </c>
      <c r="G38" s="76">
        <f>'rice U'!H89+'Kharif CC U'!G38</f>
        <v>32.789666666666669</v>
      </c>
      <c r="H38" s="76">
        <f>'rice U'!I89+'Kharif CC U'!H38</f>
        <v>32.81</v>
      </c>
      <c r="I38" s="76">
        <f>'rice U'!J89+'Kharif CC U'!I38</f>
        <v>31.509799999999998</v>
      </c>
      <c r="J38" s="76">
        <f>'rice U'!K89+'Kharif CC U'!J38</f>
        <v>29.296666666666663</v>
      </c>
      <c r="K38" s="76">
        <f>'rice U'!L89+'Kharif CC U'!K38</f>
        <v>34.338474000000005</v>
      </c>
      <c r="L38" s="99">
        <f t="shared" si="1"/>
        <v>2171.2135258023218</v>
      </c>
      <c r="M38" s="99">
        <f t="shared" si="2"/>
        <v>2171.5533787808595</v>
      </c>
      <c r="N38" s="99">
        <f t="shared" si="3"/>
        <v>2040.7901554404145</v>
      </c>
      <c r="O38" s="99">
        <f t="shared" si="4"/>
        <v>2040.2999280358424</v>
      </c>
      <c r="P38" s="99">
        <f t="shared" si="5"/>
        <v>2056.4423284225659</v>
      </c>
    </row>
    <row r="39" spans="1:16" ht="22.5" customHeight="1" x14ac:dyDescent="0.2">
      <c r="A39" s="214" t="s">
        <v>23</v>
      </c>
      <c r="B39" s="76">
        <f>'rice U'!C92+'Kharif CC U'!B39</f>
        <v>10.693000000000001</v>
      </c>
      <c r="C39" s="76">
        <f>'rice U'!D92+'Kharif CC U'!C39</f>
        <v>10.530999999999999</v>
      </c>
      <c r="D39" s="76">
        <f>'rice U'!E92+'Kharif CC U'!D39</f>
        <v>10.51</v>
      </c>
      <c r="E39" s="76">
        <f>'rice U'!F92+'Kharif CC U'!E39</f>
        <v>10.484999999999999</v>
      </c>
      <c r="F39" s="76">
        <f>'rice U'!G92+'Kharif CC U'!F39</f>
        <v>10.468</v>
      </c>
      <c r="G39" s="76">
        <f>'rice U'!H92+'Kharif CC U'!G39</f>
        <v>23.777666666666665</v>
      </c>
      <c r="H39" s="76">
        <f>'rice U'!I92+'Kharif CC U'!H39</f>
        <v>23.300629999999998</v>
      </c>
      <c r="I39" s="76">
        <f>'rice U'!J92+'Kharif CC U'!I39</f>
        <v>23.22442134062927</v>
      </c>
      <c r="J39" s="76">
        <f>'rice U'!K92+'Kharif CC U'!J39</f>
        <v>23.142000000000003</v>
      </c>
      <c r="K39" s="76">
        <f>'rice U'!L92+'Kharif CC U'!K39</f>
        <v>28.010302000000003</v>
      </c>
      <c r="L39" s="99">
        <f t="shared" si="1"/>
        <v>2223.6665731475414</v>
      </c>
      <c r="M39" s="99">
        <f t="shared" si="2"/>
        <v>2212.5752540119647</v>
      </c>
      <c r="N39" s="99">
        <f t="shared" si="3"/>
        <v>2209.7451323148689</v>
      </c>
      <c r="O39" s="99">
        <f t="shared" si="4"/>
        <v>2207.153075822604</v>
      </c>
      <c r="P39" s="99">
        <f t="shared" si="5"/>
        <v>2675.802636606802</v>
      </c>
    </row>
    <row r="40" spans="1:16" ht="22.5" customHeight="1" x14ac:dyDescent="0.2">
      <c r="A40" s="214" t="s">
        <v>86</v>
      </c>
      <c r="B40" s="76">
        <f>'rice U'!C93+'Kharif CC U'!B40</f>
        <v>2.2170000000000001</v>
      </c>
      <c r="C40" s="76">
        <f>'rice U'!D93+'Kharif CC U'!C40</f>
        <v>2.2170000000000001</v>
      </c>
      <c r="D40" s="76">
        <f>'rice U'!E93+'Kharif CC U'!D40</f>
        <v>1.9279999999999999</v>
      </c>
      <c r="E40" s="76">
        <f>'rice U'!F93+'Kharif CC U'!E40</f>
        <v>1.2749999999999999</v>
      </c>
      <c r="F40" s="76">
        <f>'rice U'!G93+'Kharif CC U'!F40</f>
        <v>1.93</v>
      </c>
      <c r="G40" s="76">
        <f>'rice U'!H93+'Kharif CC U'!G40</f>
        <v>2.5086666666666666</v>
      </c>
      <c r="H40" s="76">
        <f>'rice U'!I93+'Kharif CC U'!H40</f>
        <v>2.7573479999999999</v>
      </c>
      <c r="I40" s="76">
        <f>'rice U'!J93+'Kharif CC U'!I40</f>
        <v>2.4704426666666666</v>
      </c>
      <c r="J40" s="76">
        <f>'rice U'!K93+'Kharif CC U'!J40</f>
        <v>2.4004166666666666</v>
      </c>
      <c r="K40" s="76">
        <f>'rice U'!L93+'Kharif CC U'!K40</f>
        <v>3.5533679999999999</v>
      </c>
      <c r="L40" s="99">
        <f t="shared" ref="L40" si="6">G40/B40*1000</f>
        <v>1131.5591640354835</v>
      </c>
      <c r="M40" s="99">
        <f t="shared" ref="M40" si="7">H40/C40*1000</f>
        <v>1243.7293640054127</v>
      </c>
      <c r="N40" s="99">
        <f t="shared" ref="N40" si="8">I40/D40*1000</f>
        <v>1281.3499308437069</v>
      </c>
      <c r="O40" s="99">
        <f t="shared" ref="O40" si="9">J40/E40*1000</f>
        <v>1882.6797385620916</v>
      </c>
      <c r="P40" s="99">
        <f t="shared" ref="P40" si="10">K40/F40*1000</f>
        <v>1841.1233160621759</v>
      </c>
    </row>
    <row r="41" spans="1:16" ht="22.5" hidden="1" customHeight="1" x14ac:dyDescent="0.2">
      <c r="A41" s="214" t="s">
        <v>203</v>
      </c>
      <c r="B41" s="76">
        <f>'Kharif CC U'!B41</f>
        <v>0</v>
      </c>
      <c r="C41" s="76">
        <f>'Kharif CC U'!C41</f>
        <v>0</v>
      </c>
      <c r="D41" s="76">
        <f>'Kharif CC U'!D41</f>
        <v>0</v>
      </c>
      <c r="E41" s="76">
        <f>'Kharif CC U'!E41</f>
        <v>0</v>
      </c>
      <c r="F41" s="76">
        <f>'Kharif CC U'!F41</f>
        <v>0</v>
      </c>
      <c r="G41" s="76">
        <f>'Kharif CC U'!G41</f>
        <v>0</v>
      </c>
      <c r="H41" s="76">
        <f>'Kharif CC U'!H41</f>
        <v>0</v>
      </c>
      <c r="I41" s="76">
        <f>'Kharif CC U'!I41</f>
        <v>0</v>
      </c>
      <c r="J41" s="76">
        <f>'Kharif CC U'!J41</f>
        <v>0</v>
      </c>
      <c r="K41" s="76">
        <f>'Kharif CC U'!K41</f>
        <v>0</v>
      </c>
      <c r="L41" s="106">
        <f>'Kharif CC U'!L41</f>
        <v>0</v>
      </c>
      <c r="M41" s="106">
        <f>'Kharif CC U'!M41</f>
        <v>0</v>
      </c>
      <c r="N41" s="106">
        <f>'Kharif CC U'!N41</f>
        <v>0</v>
      </c>
      <c r="O41" s="106">
        <f>'Kharif CC U'!O41</f>
        <v>0</v>
      </c>
      <c r="P41" s="106">
        <f>'Kharif CC U'!P41</f>
        <v>0</v>
      </c>
    </row>
    <row r="42" spans="1:16" ht="22.5" customHeight="1" x14ac:dyDescent="0.2">
      <c r="A42" s="214" t="s">
        <v>113</v>
      </c>
      <c r="B42" s="76">
        <f>'rice U'!C96+'Kharif CC U'!B42</f>
        <v>12.172000000000001</v>
      </c>
      <c r="C42" s="76">
        <f>'rice U'!D96+'Kharif CC U'!C42</f>
        <v>13.202000000000002</v>
      </c>
      <c r="D42" s="76">
        <f>'rice U'!E96+'Kharif CC U'!D42</f>
        <v>13.464</v>
      </c>
      <c r="E42" s="76">
        <f>'rice U'!F96+'Kharif CC U'!E42</f>
        <v>13.896000000000001</v>
      </c>
      <c r="F42" s="76">
        <f>'rice U'!G96+'Kharif CC U'!F42</f>
        <v>4.4369999999999994</v>
      </c>
      <c r="G42" s="76">
        <f>'rice U'!H96+'Kharif CC U'!G42</f>
        <v>36.268000000000001</v>
      </c>
      <c r="H42" s="76">
        <f>'rice U'!I96+'Kharif CC U'!H42</f>
        <v>27.340342333333332</v>
      </c>
      <c r="I42" s="76">
        <f>'rice U'!J96+'Kharif CC U'!I42</f>
        <v>46.992984999999997</v>
      </c>
      <c r="J42" s="76">
        <f>'rice U'!K96+'Kharif CC U'!J42</f>
        <v>43.700014999999993</v>
      </c>
      <c r="K42" s="76">
        <f>'rice U'!L96+'Kharif CC U'!K42</f>
        <v>14.739336</v>
      </c>
      <c r="L42" s="99">
        <f t="shared" si="1"/>
        <v>2979.6253697009529</v>
      </c>
      <c r="M42" s="99">
        <f t="shared" si="2"/>
        <v>2070.9242791496235</v>
      </c>
      <c r="N42" s="99">
        <f t="shared" si="3"/>
        <v>3490.2692364824716</v>
      </c>
      <c r="O42" s="99">
        <f t="shared" si="4"/>
        <v>3144.7909470351174</v>
      </c>
      <c r="P42" s="99">
        <f t="shared" si="5"/>
        <v>3321.9148073022316</v>
      </c>
    </row>
    <row r="43" spans="1:16" ht="22.5" customHeight="1" x14ac:dyDescent="0.2">
      <c r="A43" s="214" t="s">
        <v>111</v>
      </c>
      <c r="B43" s="76">
        <f>'rice U'!C88+'Kharif CC U'!B43</f>
        <v>8.0000000000000004E-4</v>
      </c>
      <c r="C43" s="76">
        <f>'rice U'!D88+'Kharif CC U'!C43</f>
        <v>1E-3</v>
      </c>
      <c r="D43" s="76">
        <f>'rice U'!E88+'Kharif CC U'!D43</f>
        <v>1E-3</v>
      </c>
      <c r="E43" s="76">
        <f>'rice U'!F88+'Kharif CC U'!E43</f>
        <v>0.88</v>
      </c>
      <c r="F43" s="76">
        <f>'rice U'!G88+'Kharif CC U'!F43</f>
        <v>8.7999999999999995E-2</v>
      </c>
      <c r="G43" s="76">
        <f>'rice U'!H88+'Kharif CC U'!G43</f>
        <v>2.8E-3</v>
      </c>
      <c r="H43" s="76">
        <f>'rice U'!I88+'Kharif CC U'!H43</f>
        <v>7.3333333333333334E-4</v>
      </c>
      <c r="I43" s="76">
        <f>'rice U'!J88+'Kharif CC U'!I43</f>
        <v>3.5333333333333332E-3</v>
      </c>
      <c r="J43" s="76">
        <f>'rice U'!K88+'Kharif CC U'!J43</f>
        <v>4.6400000000000006</v>
      </c>
      <c r="K43" s="76">
        <f>'rice U'!L88+'Kharif CC U'!K43</f>
        <v>0.46400000000000002</v>
      </c>
      <c r="L43" s="99">
        <f t="shared" si="1"/>
        <v>3500</v>
      </c>
      <c r="M43" s="99">
        <f t="shared" si="2"/>
        <v>733.33333333333326</v>
      </c>
      <c r="N43" s="99">
        <f t="shared" si="3"/>
        <v>3533.333333333333</v>
      </c>
      <c r="O43" s="99">
        <f t="shared" si="4"/>
        <v>5272.727272727273</v>
      </c>
      <c r="P43" s="99">
        <f t="shared" si="5"/>
        <v>5272.727272727273</v>
      </c>
    </row>
    <row r="44" spans="1:16" s="31" customFormat="1" ht="22.5" customHeight="1" x14ac:dyDescent="0.2">
      <c r="A44" s="214" t="s">
        <v>46</v>
      </c>
      <c r="B44" s="103">
        <f>'rice U'!C99+'Kharif CC U'!B44</f>
        <v>58840.569799999997</v>
      </c>
      <c r="C44" s="103">
        <f>'rice U'!D99+'Kharif CC U'!C44</f>
        <v>58063.98444</v>
      </c>
      <c r="D44" s="103">
        <f>'rice U'!E99+'Kharif CC U'!D44</f>
        <v>57499.339817139007</v>
      </c>
      <c r="E44" s="103">
        <f>'rice U'!F99+'Kharif CC U'!E44</f>
        <v>57326.542019553599</v>
      </c>
      <c r="F44" s="103">
        <f>'rice U'!G99+'Kharif CC U'!F44</f>
        <v>59011.20571868417</v>
      </c>
      <c r="G44" s="103">
        <f>'rice U'!H99+'Kharif CC U'!G44</f>
        <v>128743.27080191666</v>
      </c>
      <c r="H44" s="103">
        <f>'rice U'!I99+'Kharif CC U'!H44</f>
        <v>131160.46238942671</v>
      </c>
      <c r="I44" s="103">
        <f>'rice U'!J99+'Kharif CC U'!I44</f>
        <v>133424.46462236485</v>
      </c>
      <c r="J44" s="103">
        <f>'rice U'!K99+'Kharif CC U'!J44</f>
        <v>135891.27090921224</v>
      </c>
      <c r="K44" s="103">
        <f>'rice U'!L99+'Kharif CC U'!K44</f>
        <v>141958.03667849436</v>
      </c>
      <c r="L44" s="285">
        <f t="shared" si="1"/>
        <v>2188.0017688393741</v>
      </c>
      <c r="M44" s="285">
        <f t="shared" si="2"/>
        <v>2258.8953144433353</v>
      </c>
      <c r="N44" s="285">
        <f t="shared" si="3"/>
        <v>2320.4521138274808</v>
      </c>
      <c r="O44" s="285">
        <f t="shared" si="4"/>
        <v>2370.477376131651</v>
      </c>
      <c r="P44" s="285">
        <f t="shared" si="5"/>
        <v>2405.61152665192</v>
      </c>
    </row>
    <row r="45" spans="1:16" x14ac:dyDescent="0.2">
      <c r="A45" s="21"/>
    </row>
    <row r="46" spans="1:16" x14ac:dyDescent="0.2">
      <c r="A46" s="21"/>
    </row>
    <row r="47" spans="1:16" x14ac:dyDescent="0.2">
      <c r="A47" s="21"/>
    </row>
    <row r="48" spans="1:16" x14ac:dyDescent="0.2">
      <c r="A48" s="21"/>
    </row>
    <row r="49" spans="1:1" x14ac:dyDescent="0.2">
      <c r="A49" s="21"/>
    </row>
    <row r="50" spans="1:1" x14ac:dyDescent="0.2">
      <c r="A50" s="21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 s="21"/>
    </row>
    <row r="58" spans="1:1" x14ac:dyDescent="0.2">
      <c r="A58" s="21"/>
    </row>
    <row r="59" spans="1:1" x14ac:dyDescent="0.2">
      <c r="A59" s="21"/>
    </row>
    <row r="60" spans="1:1" x14ac:dyDescent="0.2">
      <c r="A60" s="21"/>
    </row>
    <row r="61" spans="1:1" x14ac:dyDescent="0.2">
      <c r="A61" s="21"/>
    </row>
    <row r="62" spans="1:1" x14ac:dyDescent="0.2">
      <c r="A62" s="21"/>
    </row>
    <row r="63" spans="1:1" x14ac:dyDescent="0.2">
      <c r="A63" s="21"/>
    </row>
    <row r="64" spans="1:1" x14ac:dyDescent="0.2">
      <c r="A64" s="21"/>
    </row>
    <row r="65" spans="1:1" x14ac:dyDescent="0.2">
      <c r="A65" s="21"/>
    </row>
    <row r="66" spans="1:1" x14ac:dyDescent="0.2">
      <c r="A66" s="21"/>
    </row>
    <row r="67" spans="1:1" x14ac:dyDescent="0.2">
      <c r="A67" s="21"/>
    </row>
    <row r="68" spans="1:1" x14ac:dyDescent="0.2">
      <c r="A68" s="21"/>
    </row>
    <row r="69" spans="1:1" x14ac:dyDescent="0.2">
      <c r="A69" s="21"/>
    </row>
    <row r="70" spans="1:1" x14ac:dyDescent="0.2">
      <c r="A70" s="21"/>
    </row>
    <row r="71" spans="1:1" x14ac:dyDescent="0.2">
      <c r="A71" s="21"/>
    </row>
    <row r="72" spans="1:1" x14ac:dyDescent="0.2">
      <c r="A72" s="21"/>
    </row>
    <row r="73" spans="1:1" x14ac:dyDescent="0.2">
      <c r="A73" s="21"/>
    </row>
    <row r="74" spans="1:1" x14ac:dyDescent="0.2">
      <c r="A74" s="21"/>
    </row>
    <row r="75" spans="1:1" x14ac:dyDescent="0.2">
      <c r="A75" s="21"/>
    </row>
    <row r="76" spans="1:1" x14ac:dyDescent="0.2">
      <c r="A76" s="21"/>
    </row>
    <row r="77" spans="1:1" x14ac:dyDescent="0.2">
      <c r="A77" s="21"/>
    </row>
    <row r="78" spans="1:1" x14ac:dyDescent="0.2">
      <c r="A78" s="21"/>
    </row>
    <row r="79" spans="1:1" x14ac:dyDescent="0.2">
      <c r="A79" s="21"/>
    </row>
    <row r="80" spans="1:1" x14ac:dyDescent="0.2">
      <c r="A80" s="21"/>
    </row>
    <row r="81" spans="1:11" x14ac:dyDescent="0.2">
      <c r="A81" s="21"/>
    </row>
    <row r="82" spans="1:11" x14ac:dyDescent="0.2">
      <c r="A82" s="21"/>
    </row>
    <row r="83" spans="1:11" x14ac:dyDescent="0.2">
      <c r="A83" s="21"/>
    </row>
    <row r="84" spans="1:11" x14ac:dyDescent="0.2">
      <c r="A84" s="21"/>
    </row>
    <row r="85" spans="1:11" x14ac:dyDescent="0.2">
      <c r="A85" s="21"/>
    </row>
    <row r="86" spans="1:11" x14ac:dyDescent="0.2">
      <c r="A86" s="21"/>
    </row>
    <row r="87" spans="1:11" x14ac:dyDescent="0.2">
      <c r="A87" s="21"/>
    </row>
    <row r="88" spans="1:11" x14ac:dyDescent="0.2">
      <c r="A88" s="21"/>
    </row>
    <row r="89" spans="1:11" x14ac:dyDescent="0.2">
      <c r="A89" s="21"/>
    </row>
    <row r="90" spans="1:11" x14ac:dyDescent="0.2">
      <c r="A90" s="21"/>
    </row>
    <row r="91" spans="1:11" x14ac:dyDescent="0.2">
      <c r="A91" s="21"/>
    </row>
    <row r="92" spans="1:11" x14ac:dyDescent="0.2">
      <c r="A92" s="21"/>
    </row>
    <row r="93" spans="1:11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</row>
    <row r="95" spans="1:11" x14ac:dyDescent="0.2">
      <c r="B95" s="20"/>
      <c r="C95" s="20"/>
      <c r="D95" s="20"/>
      <c r="E95" s="20"/>
      <c r="F95" s="20"/>
      <c r="G95" s="20"/>
      <c r="H95" s="20"/>
      <c r="I95" s="20"/>
      <c r="J95" s="20"/>
      <c r="K95" s="20"/>
    </row>
  </sheetData>
  <mergeCells count="20">
    <mergeCell ref="A2:P2"/>
    <mergeCell ref="C5:C6"/>
    <mergeCell ref="L5:L6"/>
    <mergeCell ref="D5:D6"/>
    <mergeCell ref="H5:H6"/>
    <mergeCell ref="M5:M6"/>
    <mergeCell ref="A4:A6"/>
    <mergeCell ref="B5:B6"/>
    <mergeCell ref="P5:P6"/>
    <mergeCell ref="L4:P4"/>
    <mergeCell ref="O5:O6"/>
    <mergeCell ref="F5:F6"/>
    <mergeCell ref="K5:K6"/>
    <mergeCell ref="G4:K4"/>
    <mergeCell ref="B4:F4"/>
    <mergeCell ref="G5:G6"/>
    <mergeCell ref="I5:I6"/>
    <mergeCell ref="N5:N6"/>
    <mergeCell ref="E5:E6"/>
    <mergeCell ref="J5:J6"/>
  </mergeCells>
  <phoneticPr fontId="0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56" orientation="landscape" r:id="rId1"/>
  <headerFooter alignWithMargins="0"/>
  <rowBreaks count="1" manualBreakCount="1">
    <brk id="4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P228"/>
  <sheetViews>
    <sheetView tabSelected="1" view="pageBreakPreview" zoomScale="60" workbookViewId="0">
      <pane xSplit="1" ySplit="7" topLeftCell="G26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8.85546875" style="4" customWidth="1"/>
    <col min="2" max="6" width="12.5703125" style="4" customWidth="1"/>
    <col min="7" max="11" width="13.42578125" style="4" customWidth="1"/>
    <col min="12" max="16" width="11.140625" style="3" customWidth="1"/>
    <col min="17" max="16384" width="9.140625" style="3"/>
  </cols>
  <sheetData>
    <row r="2" spans="1:16" ht="18" x14ac:dyDescent="0.2">
      <c r="A2" s="344" t="s">
        <v>173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6" ht="18" x14ac:dyDescent="0.2">
      <c r="A3" s="17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17"/>
      <c r="N3" s="17"/>
      <c r="O3" s="17"/>
      <c r="P3" s="17"/>
    </row>
    <row r="4" spans="1:16" ht="18" x14ac:dyDescent="0.2">
      <c r="A4" s="340" t="s">
        <v>88</v>
      </c>
      <c r="B4" s="342" t="s">
        <v>174</v>
      </c>
      <c r="C4" s="342"/>
      <c r="D4" s="342"/>
      <c r="E4" s="342"/>
      <c r="F4" s="342"/>
      <c r="G4" s="342" t="s">
        <v>68</v>
      </c>
      <c r="H4" s="342"/>
      <c r="I4" s="342"/>
      <c r="J4" s="342"/>
      <c r="K4" s="342"/>
      <c r="L4" s="342" t="s">
        <v>89</v>
      </c>
      <c r="M4" s="342"/>
      <c r="N4" s="342"/>
      <c r="O4" s="342"/>
      <c r="P4" s="342"/>
    </row>
    <row r="5" spans="1:16" ht="15" customHeight="1" x14ac:dyDescent="0.2">
      <c r="A5" s="340"/>
      <c r="B5" s="341" t="s">
        <v>112</v>
      </c>
      <c r="C5" s="341" t="s">
        <v>164</v>
      </c>
      <c r="D5" s="341" t="s">
        <v>199</v>
      </c>
      <c r="E5" s="341" t="s">
        <v>200</v>
      </c>
      <c r="F5" s="341" t="s">
        <v>202</v>
      </c>
      <c r="G5" s="341" t="s">
        <v>112</v>
      </c>
      <c r="H5" s="341" t="s">
        <v>164</v>
      </c>
      <c r="I5" s="341" t="s">
        <v>199</v>
      </c>
      <c r="J5" s="341" t="s">
        <v>200</v>
      </c>
      <c r="K5" s="341" t="s">
        <v>202</v>
      </c>
      <c r="L5" s="341" t="s">
        <v>112</v>
      </c>
      <c r="M5" s="341" t="s">
        <v>164</v>
      </c>
      <c r="N5" s="341" t="s">
        <v>199</v>
      </c>
      <c r="O5" s="341" t="s">
        <v>200</v>
      </c>
      <c r="P5" s="341" t="s">
        <v>202</v>
      </c>
    </row>
    <row r="6" spans="1:16" ht="15.75" customHeight="1" x14ac:dyDescent="0.2">
      <c r="A6" s="340"/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</row>
    <row r="7" spans="1:16" s="14" customFormat="1" ht="15.75" customHeight="1" x14ac:dyDescent="0.2">
      <c r="A7" s="187">
        <v>1</v>
      </c>
      <c r="B7" s="237">
        <v>2</v>
      </c>
      <c r="C7" s="237">
        <v>3</v>
      </c>
      <c r="D7" s="237">
        <v>4</v>
      </c>
      <c r="E7" s="237">
        <v>5</v>
      </c>
      <c r="F7" s="237">
        <v>6</v>
      </c>
      <c r="G7" s="237">
        <v>7</v>
      </c>
      <c r="H7" s="237">
        <v>8</v>
      </c>
      <c r="I7" s="237">
        <v>9</v>
      </c>
      <c r="J7" s="237">
        <v>10</v>
      </c>
      <c r="K7" s="237">
        <v>11</v>
      </c>
      <c r="L7" s="237">
        <v>12</v>
      </c>
      <c r="M7" s="237">
        <v>13</v>
      </c>
      <c r="N7" s="237">
        <v>14</v>
      </c>
      <c r="O7" s="237">
        <v>15</v>
      </c>
      <c r="P7" s="237">
        <v>16</v>
      </c>
    </row>
    <row r="8" spans="1:16" ht="19.5" customHeight="1" x14ac:dyDescent="0.2">
      <c r="A8" s="199" t="s">
        <v>2</v>
      </c>
      <c r="B8" s="96">
        <f>'rice U'!C7+'Wheat U'!C7+'Rabi CC U'!B8</f>
        <v>833</v>
      </c>
      <c r="C8" s="96">
        <f>'rice U'!D7+'Wheat U'!D7+'Rabi CC U'!C8</f>
        <v>1018</v>
      </c>
      <c r="D8" s="96">
        <f>'rice U'!E7+'Wheat U'!E7+'Rabi CC U'!D8</f>
        <v>947</v>
      </c>
      <c r="E8" s="96">
        <f>'rice U'!F7+'Wheat U'!F7+'Rabi CC U'!E8</f>
        <v>1097.0999999999999</v>
      </c>
      <c r="F8" s="96">
        <f>'rice U'!G7+'Wheat U'!G7+'Rabi CC U'!F8</f>
        <v>1131.5</v>
      </c>
      <c r="G8" s="96">
        <f>'rice U'!H7+'Wheat U'!H7+'Rabi CC U'!G8</f>
        <v>4073.4</v>
      </c>
      <c r="H8" s="96">
        <f>'rice U'!I7+'Wheat U'!I7+'Rabi CC U'!H8</f>
        <v>5316.7321961313537</v>
      </c>
      <c r="I8" s="96">
        <f>'rice U'!J7+'Wheat U'!J7+'Rabi CC U'!I8</f>
        <v>4352.1753333333336</v>
      </c>
      <c r="J8" s="96">
        <f>'rice U'!K7+'Wheat U'!K7+'Rabi CC U'!J8</f>
        <v>5456.5809879518074</v>
      </c>
      <c r="K8" s="96">
        <f>'rice U'!L7++'Rabi CC U'!K8</f>
        <v>5425.9724999999999</v>
      </c>
      <c r="L8" s="99">
        <f>G8/B8*1000</f>
        <v>4890.0360144057622</v>
      </c>
      <c r="M8" s="99">
        <f t="shared" ref="M8:P8" si="0">H8/C8*1000</f>
        <v>5222.7231789109564</v>
      </c>
      <c r="N8" s="99">
        <f t="shared" si="0"/>
        <v>4595.750087997184</v>
      </c>
      <c r="O8" s="99">
        <f t="shared" si="0"/>
        <v>4973.640495808776</v>
      </c>
      <c r="P8" s="99">
        <f t="shared" si="0"/>
        <v>4795.3800265134778</v>
      </c>
    </row>
    <row r="9" spans="1:16" ht="19.5" customHeight="1" x14ac:dyDescent="0.2">
      <c r="A9" s="199" t="s">
        <v>24</v>
      </c>
      <c r="B9" s="96">
        <f>'rice U'!C10+'Wheat U'!B8+'Rabi CC U'!B9</f>
        <v>14.001999999999999</v>
      </c>
      <c r="C9" s="96">
        <f>'rice U'!D10+'Wheat U'!C8+'Rabi CC U'!C9</f>
        <v>14.222000000000001</v>
      </c>
      <c r="D9" s="96">
        <f>'rice U'!E10+'Wheat U'!D8+'Rabi CC U'!D9</f>
        <v>3.93</v>
      </c>
      <c r="E9" s="96">
        <f>'rice U'!F10+'Wheat U'!E8+'Rabi CC U'!E9</f>
        <v>13.798</v>
      </c>
      <c r="F9" s="96">
        <f>'rice U'!G10+'Wheat U'!F8+'Rabi CC U'!F9</f>
        <v>14.363</v>
      </c>
      <c r="G9" s="96">
        <f>'rice U'!H10+'Wheat U'!G8+'Rabi CC U'!G9</f>
        <v>24.012999999999998</v>
      </c>
      <c r="H9" s="96">
        <f>'rice U'!I10+'Wheat U'!H8+'Rabi CC U'!H9</f>
        <v>24.827438333333337</v>
      </c>
      <c r="I9" s="96">
        <f>'rice U'!J10+'Wheat U'!I8+'Rabi CC U'!I9</f>
        <v>7.7421000000000006</v>
      </c>
      <c r="J9" s="96">
        <f>'rice U'!K10+'Wheat U'!J8+'Rabi CC U'!J9</f>
        <v>24.193304000000001</v>
      </c>
      <c r="K9" s="96">
        <f>'rice U'!L10+'Wheat U'!K8+'Rabi CC U'!K9</f>
        <v>25.448267999999999</v>
      </c>
      <c r="L9" s="99">
        <f t="shared" ref="L9:L42" si="1">G9/B9*1000</f>
        <v>1714.9692901014141</v>
      </c>
      <c r="M9" s="99">
        <f t="shared" ref="M9:M42" si="2">H9/C9*1000</f>
        <v>1745.7065344771013</v>
      </c>
      <c r="N9" s="99">
        <f t="shared" ref="N9:N42" si="3">I9/D9*1000</f>
        <v>1970.0000000000002</v>
      </c>
      <c r="O9" s="99">
        <f t="shared" ref="O9:O42" si="4">J9/E9*1000</f>
        <v>1753.3920858095378</v>
      </c>
      <c r="P9" s="99">
        <f t="shared" ref="P9:P42" si="5">K9/F9*1000</f>
        <v>1771.7933579335795</v>
      </c>
    </row>
    <row r="10" spans="1:16" ht="19.5" customHeight="1" x14ac:dyDescent="0.2">
      <c r="A10" s="199" t="s">
        <v>25</v>
      </c>
      <c r="B10" s="96">
        <f>'rice U'!C13+'Wheat U'!B9</f>
        <v>425.584</v>
      </c>
      <c r="C10" s="96">
        <f>'rice U'!D13+'Wheat U'!C9</f>
        <v>418.18799999999999</v>
      </c>
      <c r="D10" s="96">
        <f>'rice U'!E13+'Wheat U'!D9</f>
        <v>417.81799999999998</v>
      </c>
      <c r="E10" s="96">
        <f>'rice U'!F13+'Wheat U'!E9</f>
        <v>406.851</v>
      </c>
      <c r="F10" s="96">
        <f>'rice U'!G13+'Wheat U'!F9</f>
        <v>389.36699999999996</v>
      </c>
      <c r="G10" s="96">
        <f>'rice U'!H13+'Wheat U'!G9</f>
        <v>1155.326</v>
      </c>
      <c r="H10" s="96">
        <f>'rice U'!I13+'Wheat U'!H9</f>
        <v>1215.847346</v>
      </c>
      <c r="I10" s="96">
        <f>'rice U'!J13+'Wheat U'!I9</f>
        <v>1169.3841440000001</v>
      </c>
      <c r="J10" s="96">
        <f>'rice U'!K13+'Wheat U'!J9</f>
        <v>1040.001123</v>
      </c>
      <c r="K10" s="96">
        <f>'rice U'!L13+'Wheat U'!K9</f>
        <v>1084.553118</v>
      </c>
      <c r="L10" s="99">
        <f t="shared" si="1"/>
        <v>2714.6838227001012</v>
      </c>
      <c r="M10" s="99">
        <f t="shared" si="2"/>
        <v>2907.4180655590308</v>
      </c>
      <c r="N10" s="99">
        <f t="shared" si="3"/>
        <v>2798.7883336763857</v>
      </c>
      <c r="O10" s="99">
        <f t="shared" si="4"/>
        <v>2556.22113009431</v>
      </c>
      <c r="P10" s="99">
        <f t="shared" si="5"/>
        <v>2785.4263920671247</v>
      </c>
    </row>
    <row r="11" spans="1:16" ht="19.5" customHeight="1" x14ac:dyDescent="0.2">
      <c r="A11" s="199" t="s">
        <v>40</v>
      </c>
      <c r="B11" s="96">
        <f>'rice U'!C16+'Wheat U'!B10+'Rabi CC U'!B10</f>
        <v>2680.4169999999999</v>
      </c>
      <c r="C11" s="96">
        <f>'rice U'!D16+'Wheat U'!C10+'Rabi CC U'!C10</f>
        <v>2633.7579999999998</v>
      </c>
      <c r="D11" s="96">
        <f>'rice U'!E16+'Wheat U'!D10+'Rabi CC U'!D10</f>
        <v>2677.4780000000001</v>
      </c>
      <c r="E11" s="96">
        <f>'rice U'!F16+'Wheat U'!E10+'Rabi CC U'!E10</f>
        <v>2681.8589999999995</v>
      </c>
      <c r="F11" s="96">
        <f>'rice U'!G16+'Wheat U'!F10+'Rabi CC U'!F10</f>
        <v>2744.7030000000004</v>
      </c>
      <c r="G11" s="96">
        <f>'rice U'!H16+'Wheat U'!G10+'Rabi CC U'!G10</f>
        <v>7417.4154369999997</v>
      </c>
      <c r="H11" s="96">
        <f>'rice U'!I16+'Wheat U'!H10+'Rabi CC U'!H10</f>
        <v>8083.6712960000004</v>
      </c>
      <c r="I11" s="96">
        <f>'rice U'!J16+'Wheat U'!I10+'Rabi CC U'!I10</f>
        <v>8648.9255824499996</v>
      </c>
      <c r="J11" s="96">
        <f>'rice U'!K16+'Wheat U'!J10+'Rabi CC U'!J10</f>
        <v>7286.4946280000004</v>
      </c>
      <c r="K11" s="96">
        <f>'rice U'!L16+'Wheat U'!K10+'Rabi CC U'!K10</f>
        <v>8159.5262849999999</v>
      </c>
      <c r="L11" s="99">
        <f t="shared" si="1"/>
        <v>2767.2617495710556</v>
      </c>
      <c r="M11" s="99">
        <f t="shared" si="2"/>
        <v>3069.2536277061145</v>
      </c>
      <c r="N11" s="99">
        <f t="shared" si="3"/>
        <v>3230.250848914538</v>
      </c>
      <c r="O11" s="99">
        <f t="shared" si="4"/>
        <v>2716.9566438802344</v>
      </c>
      <c r="P11" s="99">
        <f t="shared" si="5"/>
        <v>2972.826671956856</v>
      </c>
    </row>
    <row r="12" spans="1:16" ht="19.5" customHeight="1" x14ac:dyDescent="0.2">
      <c r="A12" s="199" t="s">
        <v>47</v>
      </c>
      <c r="B12" s="76">
        <f>'Wheat U'!B11+'Rabi CC U'!B11</f>
        <v>117.10000000000001</v>
      </c>
      <c r="C12" s="76">
        <f>'Wheat U'!C11+'Rabi CC U'!C11</f>
        <v>103.33</v>
      </c>
      <c r="D12" s="76">
        <f>'Wheat U'!D11+'Rabi CC U'!D11</f>
        <v>107</v>
      </c>
      <c r="E12" s="76">
        <f>'Wheat U'!E11+'Rabi CC U'!E11</f>
        <v>111.47</v>
      </c>
      <c r="F12" s="76">
        <f>'Wheat U'!F11+'Rabi CC U'!F11</f>
        <v>161.56</v>
      </c>
      <c r="G12" s="76">
        <f>'Wheat U'!G11+'Rabi CC U'!G11</f>
        <v>161.80000000000001</v>
      </c>
      <c r="H12" s="76">
        <f>'Wheat U'!H11+'Rabi CC U'!H11</f>
        <v>132.72548</v>
      </c>
      <c r="I12" s="76">
        <f>'Wheat U'!I11+'Rabi CC U'!I11</f>
        <v>164.21472</v>
      </c>
      <c r="J12" s="76">
        <f>'Wheat U'!J11+'Rabi CC U'!J11</f>
        <v>116.30703000000001</v>
      </c>
      <c r="K12" s="76">
        <f>'Wheat U'!K11+'Rabi CC U'!K11</f>
        <v>249.35405</v>
      </c>
      <c r="L12" s="99">
        <f t="shared" si="1"/>
        <v>1381.7250213492741</v>
      </c>
      <c r="M12" s="99">
        <f t="shared" si="2"/>
        <v>1284.4815639214169</v>
      </c>
      <c r="N12" s="99">
        <f t="shared" si="3"/>
        <v>1534.7170093457944</v>
      </c>
      <c r="O12" s="99">
        <f t="shared" si="4"/>
        <v>1043.39311025388</v>
      </c>
      <c r="P12" s="99">
        <f t="shared" si="5"/>
        <v>1543.4145209210199</v>
      </c>
    </row>
    <row r="13" spans="1:16" ht="19.5" customHeight="1" x14ac:dyDescent="0.2">
      <c r="A13" s="199" t="s">
        <v>15</v>
      </c>
      <c r="B13" s="76">
        <f>'rice U'!C20</f>
        <v>13.193</v>
      </c>
      <c r="C13" s="76">
        <f>'rice U'!D20</f>
        <v>11.301</v>
      </c>
      <c r="D13" s="76">
        <f>'rice U'!E20</f>
        <v>10.542999999999999</v>
      </c>
      <c r="E13" s="76">
        <f>'rice U'!F20</f>
        <v>10.287000000000001</v>
      </c>
      <c r="F13" s="76">
        <f>'rice U'!G20</f>
        <v>9.2370000000000001</v>
      </c>
      <c r="G13" s="76">
        <f>'rice U'!H20</f>
        <v>36.118000000000002</v>
      </c>
      <c r="H13" s="76">
        <f>'rice U'!I20</f>
        <v>31.721906999999998</v>
      </c>
      <c r="I13" s="76">
        <f>'rice U'!J20</f>
        <v>28.582072999999998</v>
      </c>
      <c r="J13" s="76">
        <f>'rice U'!K20</f>
        <v>29.822013000000002</v>
      </c>
      <c r="K13" s="76">
        <f>'rice U'!L20</f>
        <v>25.768920749999999</v>
      </c>
      <c r="L13" s="99">
        <f t="shared" si="1"/>
        <v>2737.6639126809673</v>
      </c>
      <c r="M13" s="99">
        <f t="shared" si="2"/>
        <v>2807</v>
      </c>
      <c r="N13" s="99">
        <f t="shared" si="3"/>
        <v>2711</v>
      </c>
      <c r="O13" s="99">
        <f t="shared" si="4"/>
        <v>2899</v>
      </c>
      <c r="P13" s="99">
        <f t="shared" si="5"/>
        <v>2789.7499999999995</v>
      </c>
    </row>
    <row r="14" spans="1:16" ht="19.5" customHeight="1" x14ac:dyDescent="0.2">
      <c r="A14" s="199" t="s">
        <v>4</v>
      </c>
      <c r="B14" s="96">
        <f>'rice U'!C23+'Wheat U'!B13+'Rabi CC U'!B12</f>
        <v>1208</v>
      </c>
      <c r="C14" s="96">
        <f>'rice U'!D23+'Wheat U'!C13+'Rabi CC U'!C12</f>
        <v>1234</v>
      </c>
      <c r="D14" s="96">
        <f>'rice U'!E23+'Wheat U'!D13+'Rabi CC U'!D12</f>
        <v>961.81</v>
      </c>
      <c r="E14" s="96">
        <f>'rice U'!F23+'Wheat U'!E13+'Rabi CC U'!E12</f>
        <v>1230.8900000000001</v>
      </c>
      <c r="F14" s="96">
        <f>'rice U'!G23+'Wheat U'!F13+'Rabi CC U'!F12</f>
        <v>1203.55</v>
      </c>
      <c r="G14" s="96">
        <f>'rice U'!H23+'Wheat U'!G13+'Rabi CC U'!G12</f>
        <v>3209</v>
      </c>
      <c r="H14" s="96">
        <f>'rice U'!I23+'Wheat U'!H13+'Rabi CC U'!H12</f>
        <v>3437.8780000000002</v>
      </c>
      <c r="I14" s="96">
        <f>'rice U'!J23+'Wheat U'!I13+'Rabi CC U'!I12</f>
        <v>2797.2298799999994</v>
      </c>
      <c r="J14" s="96">
        <f>'rice U'!K23+'Wheat U'!J13+'Rabi CC U'!J12</f>
        <v>3857.9126999999999</v>
      </c>
      <c r="K14" s="96">
        <f>'rice U'!L23+'Wheat U'!K13+'Rabi CC U'!K12</f>
        <v>3718.1615400000001</v>
      </c>
      <c r="L14" s="99">
        <f t="shared" si="1"/>
        <v>2656.4569536423842</v>
      </c>
      <c r="M14" s="99">
        <f t="shared" si="2"/>
        <v>2785.9627228525123</v>
      </c>
      <c r="N14" s="99">
        <f t="shared" si="3"/>
        <v>2908.2977719092123</v>
      </c>
      <c r="O14" s="99">
        <f t="shared" si="4"/>
        <v>3134.2465208101453</v>
      </c>
      <c r="P14" s="99">
        <f t="shared" si="5"/>
        <v>3089.32868597067</v>
      </c>
    </row>
    <row r="15" spans="1:16" ht="19.5" customHeight="1" x14ac:dyDescent="0.2">
      <c r="A15" s="199" t="s">
        <v>18</v>
      </c>
      <c r="B15" s="96">
        <f>'Wheat U'!B14+'Rabi CC U'!B13</f>
        <v>2578</v>
      </c>
      <c r="C15" s="96">
        <f>'Wheat U'!C14+'Rabi CC U'!C13</f>
        <v>2460</v>
      </c>
      <c r="D15" s="96">
        <f>'Wheat U'!D14+'Rabi CC U'!D13</f>
        <v>2568</v>
      </c>
      <c r="E15" s="96">
        <f>'Wheat U'!E14+'Rabi CC U'!E13</f>
        <v>2546.02</v>
      </c>
      <c r="F15" s="96">
        <f>'Wheat U'!F14+'Rabi CC U'!F13</f>
        <v>2573.2600000000002</v>
      </c>
      <c r="G15" s="96">
        <f>'Wheat U'!G14+'Rabi CC U'!G13</f>
        <v>11619.812</v>
      </c>
      <c r="H15" s="96">
        <f>'Wheat U'!H14+'Rabi CC U'!H13</f>
        <v>10834.28</v>
      </c>
      <c r="I15" s="96">
        <f>'Wheat U'!I14+'Rabi CC U'!I13</f>
        <v>12631.6209</v>
      </c>
      <c r="J15" s="96">
        <f>'Wheat U'!J14+'Rabi CC U'!J13</f>
        <v>11922.893740000001</v>
      </c>
      <c r="K15" s="96">
        <f>'Wheat U'!K14+'Rabi CC U'!K13</f>
        <v>12425.332179999999</v>
      </c>
      <c r="L15" s="99">
        <f t="shared" si="1"/>
        <v>4507.2971295577972</v>
      </c>
      <c r="M15" s="99">
        <f t="shared" si="2"/>
        <v>4404.1788617886177</v>
      </c>
      <c r="N15" s="99">
        <f t="shared" si="3"/>
        <v>4918.8554906542058</v>
      </c>
      <c r="O15" s="99">
        <f t="shared" si="4"/>
        <v>4682.953684574356</v>
      </c>
      <c r="P15" s="99">
        <f t="shared" si="5"/>
        <v>4828.634564715574</v>
      </c>
    </row>
    <row r="16" spans="1:16" ht="19.5" customHeight="1" x14ac:dyDescent="0.2">
      <c r="A16" s="199" t="s">
        <v>16</v>
      </c>
      <c r="B16" s="96">
        <f>'Wheat U'!B15+'Rabi CC U'!B14</f>
        <v>366.82</v>
      </c>
      <c r="C16" s="96">
        <f>'Wheat U'!C15+'Rabi CC U'!C14</f>
        <v>338.03400000000005</v>
      </c>
      <c r="D16" s="96">
        <f>'Wheat U'!D15+'Rabi CC U'!D14</f>
        <v>339.35599999999999</v>
      </c>
      <c r="E16" s="96">
        <f>'Wheat U'!E15+'Rabi CC U'!E14</f>
        <v>306.404</v>
      </c>
      <c r="F16" s="96">
        <f>'Wheat U'!F15+'Rabi CC U'!F14</f>
        <v>353.57800000000003</v>
      </c>
      <c r="G16" s="96">
        <f>'Wheat U'!G15+'Rabi CC U'!G14</f>
        <v>740.02800000000002</v>
      </c>
      <c r="H16" s="96">
        <f>'Wheat U'!H15+'Rabi CC U'!H14</f>
        <v>599.61400000000003</v>
      </c>
      <c r="I16" s="96">
        <f>'Wheat U'!I15+'Rabi CC U'!I14</f>
        <v>600.66012000000001</v>
      </c>
      <c r="J16" s="96">
        <f>'Wheat U'!J15+'Rabi CC U'!J14</f>
        <v>594.23003999999992</v>
      </c>
      <c r="K16" s="96">
        <f>'Wheat U'!K15+'Rabi CC U'!K14</f>
        <v>602.48576600000001</v>
      </c>
      <c r="L16" s="99">
        <f t="shared" si="1"/>
        <v>2017.4145357395998</v>
      </c>
      <c r="M16" s="99">
        <f t="shared" si="2"/>
        <v>1773.8274848092201</v>
      </c>
      <c r="N16" s="99">
        <f t="shared" si="3"/>
        <v>1770</v>
      </c>
      <c r="O16" s="99">
        <f t="shared" si="4"/>
        <v>1939.3677628229393</v>
      </c>
      <c r="P16" s="99">
        <f t="shared" si="5"/>
        <v>1703.9684765454863</v>
      </c>
    </row>
    <row r="17" spans="1:16" ht="19.5" customHeight="1" x14ac:dyDescent="0.2">
      <c r="A17" s="199" t="s">
        <v>19</v>
      </c>
      <c r="B17" s="96">
        <f>'Wheat U'!B16+'Rabi CC U'!B15</f>
        <v>297.06099999999998</v>
      </c>
      <c r="C17" s="96">
        <f>'Wheat U'!C16+'Rabi CC U'!C15</f>
        <v>305.11700000000002</v>
      </c>
      <c r="D17" s="96">
        <f>'Wheat U'!D16+'Rabi CC U'!D15</f>
        <v>295.42599999999999</v>
      </c>
      <c r="E17" s="96">
        <f>'Wheat U'!E16+'Rabi CC U'!E15</f>
        <v>251.41800000000001</v>
      </c>
      <c r="F17" s="96">
        <f>'Wheat U'!F16+'Rabi CC U'!F15</f>
        <v>247.74199999999999</v>
      </c>
      <c r="G17" s="96">
        <f>'Wheat U'!G16+'Rabi CC U'!G15</f>
        <v>479.782038</v>
      </c>
      <c r="H17" s="96">
        <f>'Wheat U'!H16+'Rabi CC U'!H15</f>
        <v>490.68562600000001</v>
      </c>
      <c r="I17" s="96">
        <f>'Wheat U'!I16+'Rabi CC U'!I15</f>
        <v>676.51002099999994</v>
      </c>
      <c r="J17" s="96">
        <f>'Wheat U'!J16+'Rabi CC U'!J15</f>
        <v>492.83317199999999</v>
      </c>
      <c r="K17" s="96">
        <f>'Wheat U'!K16+'Rabi CC U'!K15</f>
        <v>486.14877799999999</v>
      </c>
      <c r="L17" s="99">
        <f t="shared" si="1"/>
        <v>1615.0960173163089</v>
      </c>
      <c r="M17" s="99">
        <f t="shared" si="2"/>
        <v>1608.1884195243135</v>
      </c>
      <c r="N17" s="99">
        <f t="shared" si="3"/>
        <v>2289.947469078551</v>
      </c>
      <c r="O17" s="99">
        <f t="shared" si="4"/>
        <v>1960.2143521943535</v>
      </c>
      <c r="P17" s="99">
        <f t="shared" si="5"/>
        <v>1962.3187751774024</v>
      </c>
    </row>
    <row r="18" spans="1:16" ht="19.5" customHeight="1" x14ac:dyDescent="0.2">
      <c r="A18" s="199" t="s">
        <v>83</v>
      </c>
      <c r="B18" s="76">
        <f>'rice U'!C31+'Wheat U'!B17+'Rabi CC U'!B16</f>
        <v>229.072</v>
      </c>
      <c r="C18" s="76">
        <f>'rice U'!D31+'Wheat U'!C17+'Rabi CC U'!C16</f>
        <v>231.096</v>
      </c>
      <c r="D18" s="76">
        <f>'rice U'!E31+'Wheat U'!D17+'Rabi CC U'!D16</f>
        <v>169.791</v>
      </c>
      <c r="E18" s="76">
        <f>'rice U'!F31+'Wheat U'!E17+'Rabi CC U'!E16</f>
        <v>222.42400000000001</v>
      </c>
      <c r="F18" s="76">
        <f>'rice U'!G31+'Wheat U'!F17+'Rabi CC U'!F16</f>
        <v>245.09200000000001</v>
      </c>
      <c r="G18" s="76">
        <f>'rice U'!H31+'Wheat U'!G17+'Rabi CC U'!G16</f>
        <v>465.37200000000007</v>
      </c>
      <c r="H18" s="76">
        <f>'rice U'!I31+'Wheat U'!H17+'Rabi CC U'!H16</f>
        <v>489.24264599999998</v>
      </c>
      <c r="I18" s="76">
        <f>'rice U'!J31+'Wheat U'!I17+'Rabi CC U'!I16</f>
        <v>313.94872900000007</v>
      </c>
      <c r="J18" s="76">
        <f>'rice U'!K31+'Wheat U'!J17+'Rabi CC U'!J16</f>
        <v>455.48463600000002</v>
      </c>
      <c r="K18" s="76">
        <f>'rice U'!L31+'Wheat U'!K17+'Rabi CC U'!K16</f>
        <v>572.38544400000001</v>
      </c>
      <c r="L18" s="99">
        <f t="shared" si="1"/>
        <v>2031.5533980582527</v>
      </c>
      <c r="M18" s="99">
        <f t="shared" si="2"/>
        <v>2117.0537179354033</v>
      </c>
      <c r="N18" s="99">
        <f t="shared" si="3"/>
        <v>1849.0304491993102</v>
      </c>
      <c r="O18" s="99">
        <f t="shared" si="4"/>
        <v>2047.8214401323598</v>
      </c>
      <c r="P18" s="99">
        <f t="shared" si="5"/>
        <v>2335.3901555334323</v>
      </c>
    </row>
    <row r="19" spans="1:16" ht="19.5" customHeight="1" x14ac:dyDescent="0.2">
      <c r="A19" s="199" t="s">
        <v>5</v>
      </c>
      <c r="B19" s="96">
        <f>'rice U'!C34+'Wheat U'!B18+'Rabi CC U'!B17</f>
        <v>1204</v>
      </c>
      <c r="C19" s="96">
        <f>'rice U'!D34+'Wheat U'!C18+'Rabi CC U'!C17</f>
        <v>1569</v>
      </c>
      <c r="D19" s="96">
        <f>'rice U'!E34+'Wheat U'!D18+'Rabi CC U'!D17</f>
        <v>1247.3499999999999</v>
      </c>
      <c r="E19" s="96">
        <f>'rice U'!F34+'Wheat U'!E18+'Rabi CC U'!E17</f>
        <v>1255</v>
      </c>
      <c r="F19" s="96">
        <f>'rice U'!G34+'Wheat U'!F18+'Rabi CC U'!F17</f>
        <v>1418.1</v>
      </c>
      <c r="G19" s="96">
        <f>'rice U'!H34+'Wheat U'!G18+'Rabi CC U'!G17</f>
        <v>1475</v>
      </c>
      <c r="H19" s="96">
        <f>'rice U'!I34+'Wheat U'!H18+'Rabi CC U'!H17</f>
        <v>2454.3130000000001</v>
      </c>
      <c r="I19" s="96">
        <f>'rice U'!J34+'Wheat U'!I18+'Rabi CC U'!I17</f>
        <v>1751.059</v>
      </c>
      <c r="J19" s="96">
        <f>'rice U'!K34+'Wheat U'!J18+'Rabi CC U'!J17</f>
        <v>2366.6999999999998</v>
      </c>
      <c r="K19" s="96">
        <f>'rice U'!L34+'Wheat U'!K18+'Rabi CC U'!K17</f>
        <v>2823.6793000000002</v>
      </c>
      <c r="L19" s="99">
        <f t="shared" si="1"/>
        <v>1225.0830564784053</v>
      </c>
      <c r="M19" s="99">
        <f t="shared" si="2"/>
        <v>1564.2530274059911</v>
      </c>
      <c r="N19" s="99">
        <f t="shared" si="3"/>
        <v>1403.8233054074637</v>
      </c>
      <c r="O19" s="99">
        <f t="shared" si="4"/>
        <v>1885.8167330677288</v>
      </c>
      <c r="P19" s="99">
        <f t="shared" si="5"/>
        <v>1991.1707919046614</v>
      </c>
    </row>
    <row r="20" spans="1:16" ht="19.5" customHeight="1" x14ac:dyDescent="0.2">
      <c r="A20" s="199" t="s">
        <v>17</v>
      </c>
      <c r="B20" s="96">
        <f>'rice U'!C37+'Rabi CC U'!B18</f>
        <v>39.42</v>
      </c>
      <c r="C20" s="96">
        <f>'rice U'!D37+'Rabi CC U'!C18</f>
        <v>44.158999999999999</v>
      </c>
      <c r="D20" s="96">
        <f>'rice U'!E37+'Rabi CC U'!D18</f>
        <v>46.196569758691204</v>
      </c>
      <c r="E20" s="96">
        <f>'rice U'!F37+'Rabi CC U'!E18</f>
        <v>46.197219135341442</v>
      </c>
      <c r="F20" s="96">
        <f>'rice U'!G37+'Rabi CC U'!F18</f>
        <v>47.908873767140292</v>
      </c>
      <c r="G20" s="96">
        <f>'rice U'!H37+'Rabi CC U'!G18</f>
        <v>113.64</v>
      </c>
      <c r="H20" s="96">
        <f>'rice U'!I37+'Rabi CC U'!H18</f>
        <v>134.59663199999997</v>
      </c>
      <c r="I20" s="96">
        <f>'rice U'!J37+'Rabi CC U'!I18</f>
        <v>148.82000836928873</v>
      </c>
      <c r="J20" s="96">
        <f>'rice U'!K37+'Rabi CC U'!J18</f>
        <v>157.06029437426128</v>
      </c>
      <c r="K20" s="96">
        <f>'rice U'!L37+'Rabi CC U'!K18</f>
        <v>164.16985563272974</v>
      </c>
      <c r="L20" s="99">
        <f t="shared" si="1"/>
        <v>2882.8006088280058</v>
      </c>
      <c r="M20" s="99">
        <f t="shared" si="2"/>
        <v>3047.9999999999995</v>
      </c>
      <c r="N20" s="99">
        <f t="shared" si="3"/>
        <v>3221.451487559646</v>
      </c>
      <c r="O20" s="99">
        <f t="shared" si="4"/>
        <v>3399.7781103258708</v>
      </c>
      <c r="P20" s="99">
        <f t="shared" si="5"/>
        <v>3426.7108099988454</v>
      </c>
    </row>
    <row r="21" spans="1:16" ht="19.5" customHeight="1" x14ac:dyDescent="0.2">
      <c r="A21" s="199" t="s">
        <v>6</v>
      </c>
      <c r="B21" s="96">
        <f>'rice U'!C40+'Wheat U'!B20+'Rabi CC U'!B19</f>
        <v>6194</v>
      </c>
      <c r="C21" s="96">
        <f>'rice U'!D40+'Wheat U'!C20+'Rabi CC U'!C19</f>
        <v>5494</v>
      </c>
      <c r="D21" s="96">
        <f>'rice U'!E40+'Wheat U'!D20+'Rabi CC U'!D19</f>
        <v>5632</v>
      </c>
      <c r="E21" s="96">
        <f>'rice U'!F40+'Wheat U'!E20+'Rabi CC U'!E19</f>
        <v>6636</v>
      </c>
      <c r="F21" s="96">
        <f>'rice U'!G40+'Wheat U'!F20+'Rabi CC U'!F19</f>
        <v>6167</v>
      </c>
      <c r="G21" s="96">
        <f>'rice U'!H40+'Wheat U'!G20+'Rabi CC U'!G19</f>
        <v>18337.587733333334</v>
      </c>
      <c r="H21" s="96">
        <f>'rice U'!I40+'Wheat U'!H20+'Rabi CC U'!H19</f>
        <v>16370.691333333334</v>
      </c>
      <c r="I21" s="96">
        <f>'rice U'!J40+'Wheat U'!I20+'Rabi CC U'!I19</f>
        <v>16772.556</v>
      </c>
      <c r="J21" s="96">
        <f>'rice U'!K40+'Wheat U'!J20+'Rabi CC U'!J19</f>
        <v>19849.073333333334</v>
      </c>
      <c r="K21" s="96">
        <f>'rice U'!L40+'Wheat U'!K20+'Rabi CC U'!K19</f>
        <v>18444.95</v>
      </c>
      <c r="L21" s="99">
        <f t="shared" si="1"/>
        <v>2960.5404800344418</v>
      </c>
      <c r="M21" s="99">
        <f t="shared" si="2"/>
        <v>2979.7399587428713</v>
      </c>
      <c r="N21" s="99">
        <f t="shared" si="3"/>
        <v>2978.081676136364</v>
      </c>
      <c r="O21" s="99">
        <f t="shared" si="4"/>
        <v>2991.1201527024314</v>
      </c>
      <c r="P21" s="99">
        <f t="shared" si="5"/>
        <v>2990.9113020917789</v>
      </c>
    </row>
    <row r="22" spans="1:16" ht="19.5" customHeight="1" x14ac:dyDescent="0.2">
      <c r="A22" s="199" t="s">
        <v>7</v>
      </c>
      <c r="B22" s="96">
        <f>'rice U'!C43+'Wheat U'!B21+'Rabi CC U'!B20</f>
        <v>4183.7999999999993</v>
      </c>
      <c r="C22" s="96">
        <f>'rice U'!D43+'Wheat U'!C21+'Rabi CC U'!C20</f>
        <v>3109.3</v>
      </c>
      <c r="D22" s="96">
        <f>'rice U'!E43+'Wheat U'!D21+'Rabi CC U'!D20</f>
        <v>2227.17</v>
      </c>
      <c r="E22" s="96">
        <f>'rice U'!F43+'Wheat U'!E21+'Rabi CC U'!E20</f>
        <v>3479.0999999999995</v>
      </c>
      <c r="F22" s="96">
        <f>'rice U'!G43+'Wheat U'!F21+'Rabi CC U'!F20</f>
        <v>3370.56</v>
      </c>
      <c r="G22" s="96">
        <f>'rice U'!H43+'Wheat U'!G21+'Rabi CC U'!G20</f>
        <v>4642.9243999999999</v>
      </c>
      <c r="H22" s="96">
        <f>'rice U'!I43+'Wheat U'!H21+'Rabi CC U'!H20</f>
        <v>3721.0215000000003</v>
      </c>
      <c r="I22" s="96">
        <f>'rice U'!J43+'Wheat U'!I21+'Rabi CC U'!I20</f>
        <v>2236.4053199999998</v>
      </c>
      <c r="J22" s="96">
        <f>'rice U'!K43+'Wheat U'!J21+'Rabi CC U'!J20</f>
        <v>4492.5893599999999</v>
      </c>
      <c r="K22" s="96">
        <f>'rice U'!L43+'Wheat U'!K21+'Rabi CC U'!K20</f>
        <v>4711.4789300000002</v>
      </c>
      <c r="L22" s="99">
        <f t="shared" si="1"/>
        <v>1109.738610832258</v>
      </c>
      <c r="M22" s="99">
        <f t="shared" si="2"/>
        <v>1196.7392982343292</v>
      </c>
      <c r="N22" s="99">
        <f t="shared" si="3"/>
        <v>1004.146661458263</v>
      </c>
      <c r="O22" s="99">
        <f t="shared" si="4"/>
        <v>1291.3079129659973</v>
      </c>
      <c r="P22" s="99">
        <f t="shared" si="5"/>
        <v>1397.8326835896705</v>
      </c>
    </row>
    <row r="23" spans="1:16" ht="19.5" customHeight="1" x14ac:dyDescent="0.2">
      <c r="A23" s="199" t="s">
        <v>29</v>
      </c>
      <c r="B23" s="96">
        <f>'rice U'!C46+'Wheat U'!B22+'Rabi CC U'!B21</f>
        <v>224.05</v>
      </c>
      <c r="C23" s="96">
        <f>'rice U'!D46+'Wheat U'!C22+'Rabi CC U'!C21</f>
        <v>216.24</v>
      </c>
      <c r="D23" s="96">
        <f>'rice U'!E46+'Wheat U'!D22+'Rabi CC U'!D21</f>
        <v>223.67</v>
      </c>
      <c r="E23" s="96">
        <f>'rice U'!F46+'Wheat U'!E22+'Rabi CC U'!E21</f>
        <v>146.73675396143605</v>
      </c>
      <c r="F23" s="96">
        <f>'rice U'!G46+'Wheat U'!F22+'Rabi CC U'!F21</f>
        <v>204.32000000000002</v>
      </c>
      <c r="G23" s="96">
        <f>'rice U'!H46+'Wheat U'!G22+'Rabi CC U'!G21</f>
        <v>306.82</v>
      </c>
      <c r="H23" s="96">
        <f>'rice U'!I46+'Wheat U'!H22+'Rabi CC U'!H21</f>
        <v>499.70373000000001</v>
      </c>
      <c r="I23" s="96">
        <f>'rice U'!J46+'Wheat U'!I22+'Rabi CC U'!I21</f>
        <v>376.73747999999989</v>
      </c>
      <c r="J23" s="96">
        <f>'rice U'!K46+'Wheat U'!J22+'Rabi CC U'!J21</f>
        <v>273.61452198751886</v>
      </c>
      <c r="K23" s="96">
        <f>'rice U'!L46+'Wheat U'!K22+'Rabi CC U'!K21</f>
        <v>545.22311999999999</v>
      </c>
      <c r="L23" s="99">
        <f t="shared" si="1"/>
        <v>1369.4264673064047</v>
      </c>
      <c r="M23" s="99">
        <f t="shared" si="2"/>
        <v>2310.8755549389566</v>
      </c>
      <c r="N23" s="99">
        <f t="shared" si="3"/>
        <v>1684.345151339026</v>
      </c>
      <c r="O23" s="99">
        <f t="shared" si="4"/>
        <v>1864.6624966191334</v>
      </c>
      <c r="P23" s="99">
        <f t="shared" si="5"/>
        <v>2668.4765074393108</v>
      </c>
    </row>
    <row r="24" spans="1:16" ht="19.5" customHeight="1" x14ac:dyDescent="0.2">
      <c r="A24" s="199" t="s">
        <v>26</v>
      </c>
      <c r="B24" s="96">
        <f>'rice U'!C49+'Wheat U'!B23</f>
        <v>14.13</v>
      </c>
      <c r="C24" s="96">
        <f>'rice U'!D49+'Wheat U'!C23</f>
        <v>14.143000000000001</v>
      </c>
      <c r="D24" s="96">
        <f>'rice U'!E49+'Wheat U'!D23</f>
        <v>14.086</v>
      </c>
      <c r="E24" s="96">
        <f>'rice U'!F49+'Wheat U'!E23</f>
        <v>14.084</v>
      </c>
      <c r="F24" s="96">
        <f>'rice U'!G49+'Wheat U'!F23</f>
        <v>14.093</v>
      </c>
      <c r="G24" s="96">
        <f>'rice U'!H49+'Wheat U'!G23</f>
        <v>43.126666666666665</v>
      </c>
      <c r="H24" s="96">
        <f>'rice U'!I49+'Wheat U'!H23</f>
        <v>64.321268000000003</v>
      </c>
      <c r="I24" s="96">
        <f>'rice U'!J49+'Wheat U'!I23</f>
        <v>42.925455333333332</v>
      </c>
      <c r="J24" s="96">
        <f>'rice U'!K49+'Wheat U'!J23</f>
        <v>63.94482</v>
      </c>
      <c r="K24" s="96">
        <f>'rice U'!L49+'Wheat U'!K23</f>
        <v>63.986480999999998</v>
      </c>
      <c r="L24" s="99">
        <f t="shared" si="1"/>
        <v>3052.1349374852557</v>
      </c>
      <c r="M24" s="99">
        <f t="shared" si="2"/>
        <v>4547.922505833275</v>
      </c>
      <c r="N24" s="99">
        <f t="shared" si="3"/>
        <v>3047.3843059302376</v>
      </c>
      <c r="O24" s="99">
        <f t="shared" si="4"/>
        <v>4540.2456688440789</v>
      </c>
      <c r="P24" s="99">
        <f t="shared" si="5"/>
        <v>4540.3023486837437</v>
      </c>
    </row>
    <row r="25" spans="1:16" ht="19.5" customHeight="1" x14ac:dyDescent="0.2">
      <c r="A25" s="199" t="s">
        <v>30</v>
      </c>
      <c r="B25" s="96">
        <f>'rice U'!C52+'Rabi CC U'!B22</f>
        <v>0.69199999999999995</v>
      </c>
      <c r="C25" s="96">
        <f>'rice U'!D52+'Rabi CC U'!C22</f>
        <v>0.99219999999999997</v>
      </c>
      <c r="D25" s="96">
        <f>'rice U'!E52+'Rabi CC U'!D22</f>
        <v>0.89</v>
      </c>
      <c r="E25" s="96">
        <f>'rice U'!F52+'Rabi CC U'!E22</f>
        <v>0.96100000000000008</v>
      </c>
      <c r="F25" s="96">
        <f>'rice U'!G52+'Rabi CC U'!F22</f>
        <v>0.98799999999999999</v>
      </c>
      <c r="G25" s="96">
        <f>'rice U'!H52+'Rabi CC U'!G22</f>
        <v>1.34</v>
      </c>
      <c r="H25" s="96">
        <f>'rice U'!I52+'Rabi CC U'!H22</f>
        <v>1.6827000000000001</v>
      </c>
      <c r="I25" s="96">
        <f>'rice U'!J52+'Rabi CC U'!I22</f>
        <v>1.63</v>
      </c>
      <c r="J25" s="96">
        <f>'rice U'!K52+'Rabi CC U'!J22</f>
        <v>1.63</v>
      </c>
      <c r="K25" s="96">
        <f>'rice U'!L52+'Rabi CC U'!K22</f>
        <v>1.811666</v>
      </c>
      <c r="L25" s="99">
        <f t="shared" si="1"/>
        <v>1936.4161849710986</v>
      </c>
      <c r="M25" s="99">
        <f t="shared" si="2"/>
        <v>1695.9282402741385</v>
      </c>
      <c r="N25" s="99">
        <f t="shared" si="3"/>
        <v>1831.4606741573032</v>
      </c>
      <c r="O25" s="99">
        <f t="shared" si="4"/>
        <v>1696.1498439125908</v>
      </c>
      <c r="P25" s="99">
        <f t="shared" si="5"/>
        <v>1833.67004048583</v>
      </c>
    </row>
    <row r="26" spans="1:16" ht="19.5" customHeight="1" x14ac:dyDescent="0.2">
      <c r="A26" s="199" t="s">
        <v>20</v>
      </c>
      <c r="B26" s="96">
        <f>'rice U'!C55+'Wheat U'!B24+'Rabi CC U'!B23</f>
        <v>14.02</v>
      </c>
      <c r="C26" s="96">
        <f>'rice U'!D55+'Wheat U'!C24+'Rabi CC U'!C23</f>
        <v>14.54</v>
      </c>
      <c r="D26" s="96">
        <f>'rice U'!E55+'Wheat U'!D24+'Rabi CC U'!D23</f>
        <v>14.799999999999999</v>
      </c>
      <c r="E26" s="96">
        <f>'rice U'!F55+'Wheat U'!E24+'Rabi CC U'!E23</f>
        <v>15.049999999999999</v>
      </c>
      <c r="F26" s="96">
        <f>'rice U'!G55+'Wheat U'!F24+'Rabi CC U'!F23</f>
        <v>15.22</v>
      </c>
      <c r="G26" s="96">
        <f>'rice U'!H55+'Wheat U'!G24+'Rabi CC U'!G23</f>
        <v>26.213333333333331</v>
      </c>
      <c r="H26" s="96">
        <f>'rice U'!I55+'Wheat U'!H24+'Rabi CC U'!H23</f>
        <v>27.290790000000001</v>
      </c>
      <c r="I26" s="96">
        <f>'rice U'!J55+'Wheat U'!I24+'Rabi CC U'!I23</f>
        <v>27.760973333333332</v>
      </c>
      <c r="J26" s="96">
        <f>'rice U'!K55+'Wheat U'!J24+'Rabi CC U'!J23</f>
        <v>28.259639999999997</v>
      </c>
      <c r="K26" s="96">
        <f>'rice U'!L55+'Wheat U'!K24+'Rabi CC U'!K23</f>
        <v>28.668479999999999</v>
      </c>
      <c r="L26" s="99">
        <f t="shared" si="1"/>
        <v>1869.7099381835471</v>
      </c>
      <c r="M26" s="99">
        <f t="shared" si="2"/>
        <v>1876.9456671251721</v>
      </c>
      <c r="N26" s="99">
        <f t="shared" si="3"/>
        <v>1875.7414414414416</v>
      </c>
      <c r="O26" s="99">
        <f t="shared" si="4"/>
        <v>1877.7169435215947</v>
      </c>
      <c r="P26" s="99">
        <f t="shared" si="5"/>
        <v>1883.6057818659658</v>
      </c>
    </row>
    <row r="27" spans="1:16" ht="19.5" customHeight="1" x14ac:dyDescent="0.2">
      <c r="A27" s="199" t="s">
        <v>107</v>
      </c>
      <c r="B27" s="96">
        <f>'rice U'!C64+'Wheat U'!B25+'Rabi CC U'!B24</f>
        <v>227.43</v>
      </c>
      <c r="C27" s="96">
        <f>'rice U'!D64+'Wheat U'!C25+'Rabi CC U'!C24</f>
        <v>224.14</v>
      </c>
      <c r="D27" s="96">
        <f>'rice U'!E64+'Wheat U'!D25+'Rabi CC U'!D24</f>
        <v>277.24</v>
      </c>
      <c r="E27" s="96">
        <f>'rice U'!F64+'Wheat U'!E25+'Rabi CC U'!E24</f>
        <v>296.66000000000003</v>
      </c>
      <c r="F27" s="96">
        <f>'rice U'!G64+'Wheat U'!F25+'Rabi CC U'!F24</f>
        <v>350.89000000000004</v>
      </c>
      <c r="G27" s="96">
        <f>'rice U'!H64+'Wheat U'!G25+'Rabi CC U'!G24</f>
        <v>801.31000000000006</v>
      </c>
      <c r="H27" s="96">
        <f>'rice U'!I64+'Wheat U'!H25+'Rabi CC U'!H24</f>
        <v>701.28516000000013</v>
      </c>
      <c r="I27" s="96">
        <f>'rice U'!J64+'Wheat U'!I25+'Rabi CC U'!I24</f>
        <v>933.53733000000011</v>
      </c>
      <c r="J27" s="96">
        <f>'rice U'!K64+'Wheat U'!J25+'Rabi CC U'!J24</f>
        <v>946.10617000000002</v>
      </c>
      <c r="K27" s="96">
        <f>'rice U'!L64+'Wheat U'!K25+'Rabi CC U'!K24</f>
        <v>1160.3730399999999</v>
      </c>
      <c r="L27" s="99">
        <f t="shared" si="1"/>
        <v>3523.3258585059143</v>
      </c>
      <c r="M27" s="99">
        <f t="shared" si="2"/>
        <v>3128.7818327830828</v>
      </c>
      <c r="N27" s="99">
        <f t="shared" si="3"/>
        <v>3367.2533905641326</v>
      </c>
      <c r="O27" s="99">
        <f t="shared" si="4"/>
        <v>3189.1935886199685</v>
      </c>
      <c r="P27" s="99">
        <f t="shared" si="5"/>
        <v>3306.9424606001876</v>
      </c>
    </row>
    <row r="28" spans="1:16" ht="19.5" customHeight="1" x14ac:dyDescent="0.2">
      <c r="A28" s="199" t="s">
        <v>21</v>
      </c>
      <c r="B28" s="96">
        <f>'Wheat U'!B26+'Rabi CC U'!B25</f>
        <v>3503.3</v>
      </c>
      <c r="C28" s="96">
        <f>'Wheat U'!C26+'Rabi CC U'!C25</f>
        <v>3519.7</v>
      </c>
      <c r="D28" s="96">
        <f>'Wheat U'!D26+'Rabi CC U'!D25</f>
        <v>3526.8</v>
      </c>
      <c r="E28" s="96">
        <f>'Wheat U'!E26+'Rabi CC U'!E25</f>
        <v>3527.2</v>
      </c>
      <c r="F28" s="96">
        <f>'Wheat U'!F26+'Rabi CC U'!F25</f>
        <v>3536.3</v>
      </c>
      <c r="G28" s="96">
        <f>'Wheat U'!G26+'Rabi CC U'!G25</f>
        <v>16471.98</v>
      </c>
      <c r="H28" s="96">
        <f>'Wheat U'!H26+'Rabi CC U'!H25</f>
        <v>17860.3</v>
      </c>
      <c r="I28" s="96">
        <f>'Wheat U'!I26+'Rabi CC U'!I25</f>
        <v>18287.239599999997</v>
      </c>
      <c r="J28" s="96">
        <f>'Wheat U'!J26+'Rabi CC U'!J25</f>
        <v>17638.155799999997</v>
      </c>
      <c r="K28" s="96">
        <f>'Wheat U'!K26+'Rabi CC U'!K25</f>
        <v>17208.271499999999</v>
      </c>
      <c r="L28" s="99">
        <f t="shared" si="1"/>
        <v>4701.8468301315897</v>
      </c>
      <c r="M28" s="99">
        <f t="shared" si="2"/>
        <v>5074.381339318692</v>
      </c>
      <c r="N28" s="99">
        <f t="shared" si="3"/>
        <v>5185.2216173301558</v>
      </c>
      <c r="O28" s="99">
        <f t="shared" si="4"/>
        <v>5000.6111930142879</v>
      </c>
      <c r="P28" s="99">
        <f t="shared" si="5"/>
        <v>4866.1797641602798</v>
      </c>
    </row>
    <row r="29" spans="1:16" ht="19.5" customHeight="1" x14ac:dyDescent="0.2">
      <c r="A29" s="199" t="s">
        <v>22</v>
      </c>
      <c r="B29" s="96">
        <f>'Wheat U'!B27+'Rabi CC U'!B26</f>
        <v>3105.942</v>
      </c>
      <c r="C29" s="96">
        <f>'Wheat U'!C27+'Rabi CC U'!C26</f>
        <v>3097.893</v>
      </c>
      <c r="D29" s="96">
        <f>'Wheat U'!D27+'Rabi CC U'!D26</f>
        <v>3105.9079999999999</v>
      </c>
      <c r="E29" s="96">
        <f>'Wheat U'!E27+'Rabi CC U'!E26</f>
        <v>3435.19</v>
      </c>
      <c r="F29" s="96">
        <f>'Wheat U'!F27+'Rabi CC U'!F26</f>
        <v>3288.6530000000002</v>
      </c>
      <c r="G29" s="96">
        <f>'Wheat U'!G27+'Rabi CC U'!G26</f>
        <v>9825.7693319999998</v>
      </c>
      <c r="H29" s="96">
        <f>'Wheat U'!H27+'Rabi CC U'!H26</f>
        <v>10299.181937000001</v>
      </c>
      <c r="I29" s="96">
        <f>'Wheat U'!I27+'Rabi CC U'!I26</f>
        <v>10895.391941999998</v>
      </c>
      <c r="J29" s="96">
        <f>'Wheat U'!J27+'Rabi CC U'!J26</f>
        <v>11967.429240000001</v>
      </c>
      <c r="K29" s="96">
        <f>'Wheat U'!K27+'Rabi CC U'!K26</f>
        <v>12053.953365831001</v>
      </c>
      <c r="L29" s="99">
        <f t="shared" si="1"/>
        <v>3163.5392199854346</v>
      </c>
      <c r="M29" s="99">
        <f t="shared" si="2"/>
        <v>3324.5763933744652</v>
      </c>
      <c r="N29" s="99">
        <f t="shared" si="3"/>
        <v>3507.957074710519</v>
      </c>
      <c r="O29" s="99">
        <f t="shared" si="4"/>
        <v>3483.7750575659575</v>
      </c>
      <c r="P29" s="99">
        <f t="shared" si="5"/>
        <v>3665.3162756396009</v>
      </c>
    </row>
    <row r="30" spans="1:16" ht="19.5" customHeight="1" x14ac:dyDescent="0.2">
      <c r="A30" s="199" t="s">
        <v>84</v>
      </c>
      <c r="B30" s="96">
        <f>'Wheat U'!B28+'Rabi CC U'!B27</f>
        <v>0.76</v>
      </c>
      <c r="C30" s="96">
        <f>'Wheat U'!C28+'Rabi CC U'!C27</f>
        <v>0.59199999999999997</v>
      </c>
      <c r="D30" s="96">
        <f>'Wheat U'!D28+'Rabi CC U'!D27</f>
        <v>0.94900000000000007</v>
      </c>
      <c r="E30" s="96">
        <f>'Wheat U'!E28+'Rabi CC U'!E27</f>
        <v>0.56600000000000006</v>
      </c>
      <c r="F30" s="96">
        <f>'Wheat U'!F28+'Rabi CC U'!F27</f>
        <v>0.44999999999999996</v>
      </c>
      <c r="G30" s="96">
        <f>'Wheat U'!G28+'Rabi CC U'!G27</f>
        <v>0.81499999999999995</v>
      </c>
      <c r="H30" s="96">
        <f>'Wheat U'!H28+'Rabi CC U'!H27</f>
        <v>0.63582800000000006</v>
      </c>
      <c r="I30" s="96">
        <f>'Wheat U'!I28+'Rabi CC U'!I27</f>
        <v>1.019255</v>
      </c>
      <c r="J30" s="96">
        <f>'Wheat U'!J28+'Rabi CC U'!J27</f>
        <v>0.64008100000000001</v>
      </c>
      <c r="K30" s="96">
        <f>'Wheat U'!K28+'Rabi CC U'!K27</f>
        <v>0.52414399999999994</v>
      </c>
      <c r="L30" s="99">
        <f t="shared" si="1"/>
        <v>1072.3684210526314</v>
      </c>
      <c r="M30" s="99">
        <f t="shared" si="2"/>
        <v>1074.033783783784</v>
      </c>
      <c r="N30" s="99">
        <f t="shared" si="3"/>
        <v>1074.0305584826133</v>
      </c>
      <c r="O30" s="99">
        <f t="shared" si="4"/>
        <v>1130.8851590106005</v>
      </c>
      <c r="P30" s="99">
        <f t="shared" si="5"/>
        <v>1164.7644444444445</v>
      </c>
    </row>
    <row r="31" spans="1:16" ht="19.5" customHeight="1" x14ac:dyDescent="0.2">
      <c r="A31" s="199" t="s">
        <v>11</v>
      </c>
      <c r="B31" s="96">
        <f>'rice U'!C70+'Wheat U'!B29+'Rabi CC U'!B28</f>
        <v>415.78</v>
      </c>
      <c r="C31" s="96">
        <f>'rice U'!D70+'Wheat U'!C29+'Rabi CC U'!C28</f>
        <v>460.26600000000002</v>
      </c>
      <c r="D31" s="96">
        <f>'rice U'!E70+'Wheat U'!D29+'Rabi CC U'!D28</f>
        <v>573.47115310229583</v>
      </c>
      <c r="E31" s="96">
        <f>'rice U'!F70+'Wheat U'!E29+'Rabi CC U'!E28</f>
        <v>548.11290734961688</v>
      </c>
      <c r="F31" s="96">
        <f>'rice U'!G70+'Wheat U'!F29+'Rabi CC U'!F28</f>
        <v>544.76040754870178</v>
      </c>
      <c r="G31" s="96">
        <f>'rice U'!H70+'Wheat U'!G29+'Rabi CC U'!G28</f>
        <v>485.93999999999994</v>
      </c>
      <c r="H31" s="96">
        <f>'rice U'!I70+'Wheat U'!H29+'Rabi CC U'!H28</f>
        <v>1931.1168659999998</v>
      </c>
      <c r="I31" s="96">
        <f>'rice U'!J70+'Wheat U'!I29+'Rabi CC U'!I28</f>
        <v>2466.684291305216</v>
      </c>
      <c r="J31" s="96">
        <f>'rice U'!K70+'Wheat U'!J29+'Rabi CC U'!J28</f>
        <v>2134.7876167969371</v>
      </c>
      <c r="K31" s="96">
        <f>'rice U'!L70+'Wheat U'!K29+'Rabi CC U'!K28</f>
        <v>1854.222057817778</v>
      </c>
      <c r="L31" s="99">
        <f t="shared" si="1"/>
        <v>1168.7430852854875</v>
      </c>
      <c r="M31" s="99">
        <f t="shared" si="2"/>
        <v>4195.653960970395</v>
      </c>
      <c r="N31" s="99">
        <f t="shared" si="3"/>
        <v>4301.3223559044627</v>
      </c>
      <c r="O31" s="99">
        <f t="shared" si="4"/>
        <v>3894.7953754996156</v>
      </c>
      <c r="P31" s="99">
        <f t="shared" si="5"/>
        <v>3403.7386567084723</v>
      </c>
    </row>
    <row r="32" spans="1:16" ht="19.5" customHeight="1" x14ac:dyDescent="0.2">
      <c r="A32" s="199" t="s">
        <v>109</v>
      </c>
      <c r="B32" s="96">
        <f>'rice U'!C73+'Wheat U'!B30+'Rabi CC U'!B29</f>
        <v>992.17</v>
      </c>
      <c r="C32" s="96">
        <f>'rice U'!D73+'Wheat U'!C30+'Rabi CC U'!C29</f>
        <v>1110</v>
      </c>
      <c r="D32" s="96">
        <f>'rice U'!E73+'Wheat U'!D30+'Rabi CC U'!D29</f>
        <v>886</v>
      </c>
      <c r="E32" s="96">
        <f>'rice U'!F73+'Wheat U'!E30+'Rabi CC U'!E29</f>
        <v>1121</v>
      </c>
      <c r="F32" s="96">
        <f>'rice U'!G73+'Wheat U'!F30+'Rabi CC U'!F29</f>
        <v>1613.4</v>
      </c>
      <c r="G32" s="96">
        <f>'rice U'!H73+'Wheat U'!G30+'Rabi CC U'!G29</f>
        <v>3460.7457300000001</v>
      </c>
      <c r="H32" s="96">
        <f>'rice U'!I73+'Wheat U'!H30+'Rabi CC U'!H29</f>
        <v>4312.2237500000001</v>
      </c>
      <c r="I32" s="96">
        <f>'rice U'!J73+'Wheat U'!I30+'Rabi CC U'!I29</f>
        <v>3340.6910000000003</v>
      </c>
      <c r="J32" s="96">
        <f>'rice U'!K73+'Wheat U'!J30+'Rabi CC U'!J29</f>
        <v>4577.4623000000001</v>
      </c>
      <c r="K32" s="96">
        <f>'rice U'!L73+'Wheat U'!K30+'Rabi CC U'!K29</f>
        <v>6271.2024000000001</v>
      </c>
      <c r="L32" s="99">
        <f t="shared" si="1"/>
        <v>3488.0572180170743</v>
      </c>
      <c r="M32" s="99">
        <f t="shared" si="2"/>
        <v>3884.8862612612616</v>
      </c>
      <c r="N32" s="99">
        <f t="shared" si="3"/>
        <v>3770.5316027088038</v>
      </c>
      <c r="O32" s="99">
        <f t="shared" si="4"/>
        <v>4083.3740410347909</v>
      </c>
      <c r="P32" s="99">
        <f t="shared" si="5"/>
        <v>3886.94830792116</v>
      </c>
    </row>
    <row r="33" spans="1:16" ht="19.5" customHeight="1" x14ac:dyDescent="0.2">
      <c r="A33" s="199" t="s">
        <v>85</v>
      </c>
      <c r="B33" s="96">
        <f>'rice U'!C76+'Wheat U'!B31+'Rabi CC U'!B30</f>
        <v>74.576999999999998</v>
      </c>
      <c r="C33" s="96">
        <f>'rice U'!D76+'Wheat U'!C31+'Rabi CC U'!C30</f>
        <v>74.578999999999994</v>
      </c>
      <c r="D33" s="96">
        <f>'rice U'!E76+'Wheat U'!D31+'Rabi CC U'!D30</f>
        <v>73.759</v>
      </c>
      <c r="E33" s="96">
        <f>'rice U'!F76+'Wheat U'!E31+'Rabi CC U'!E30</f>
        <v>73.209999999999994</v>
      </c>
      <c r="F33" s="96">
        <f>'rice U'!G76+'Wheat U'!F31+'Rabi CC U'!F30</f>
        <v>72.991000000000014</v>
      </c>
      <c r="G33" s="96">
        <f>'rice U'!H76+'Wheat U'!G31+'Rabi CC U'!G30</f>
        <v>235.85599999999999</v>
      </c>
      <c r="H33" s="96">
        <f>'rice U'!I76+'Wheat U'!H31+'Rabi CC U'!H30</f>
        <v>238.81428099999999</v>
      </c>
      <c r="I33" s="96">
        <f>'rice U'!J76+'Wheat U'!I31+'Rabi CC U'!I30</f>
        <v>238.44490000000002</v>
      </c>
      <c r="J33" s="96">
        <f>'rice U'!K76+'Wheat U'!J31+'Rabi CC U'!J30</f>
        <v>233.92195899999999</v>
      </c>
      <c r="K33" s="96">
        <f>'rice U'!L76+'Wheat U'!K31+'Rabi CC U'!K30</f>
        <v>236.25599100000002</v>
      </c>
      <c r="L33" s="99">
        <f t="shared" si="1"/>
        <v>3162.5836383871706</v>
      </c>
      <c r="M33" s="99">
        <f t="shared" si="2"/>
        <v>3202.1652341812041</v>
      </c>
      <c r="N33" s="99">
        <f t="shared" si="3"/>
        <v>3232.75668054068</v>
      </c>
      <c r="O33" s="99">
        <f t="shared" si="4"/>
        <v>3195.2186723125255</v>
      </c>
      <c r="P33" s="99">
        <f t="shared" si="5"/>
        <v>3236.7824937321034</v>
      </c>
    </row>
    <row r="34" spans="1:16" ht="19.5" customHeight="1" x14ac:dyDescent="0.2">
      <c r="A34" s="199" t="s">
        <v>12</v>
      </c>
      <c r="B34" s="96">
        <f>'rice U'!C79+'Wheat U'!B32+'Rabi CC U'!B31</f>
        <v>9863</v>
      </c>
      <c r="C34" s="96">
        <f>'rice U'!D79+'Wheat U'!C32+'Rabi CC U'!C31</f>
        <v>9983</v>
      </c>
      <c r="D34" s="96">
        <f>'rice U'!E79+'Wheat U'!D32+'Rabi CC U'!D31</f>
        <v>9779</v>
      </c>
      <c r="E34" s="96">
        <f>'rice U'!F79+'Wheat U'!E32+'Rabi CC U'!E31</f>
        <v>10110</v>
      </c>
      <c r="F34" s="96">
        <f>'rice U'!G79+'Wheat U'!F32+'Rabi CC U'!F31</f>
        <v>10099</v>
      </c>
      <c r="G34" s="96">
        <f>'rice U'!H79+'Wheat U'!G32+'Rabi CC U'!G31</f>
        <v>30751.014999999999</v>
      </c>
      <c r="H34" s="96">
        <f>'rice U'!I79+'Wheat U'!H32+'Rabi CC U'!H31</f>
        <v>32502.837449999999</v>
      </c>
      <c r="I34" s="96">
        <f>'rice U'!J79+'Wheat U'!I32+'Rabi CC U'!I31</f>
        <v>33416.521999999997</v>
      </c>
      <c r="J34" s="96">
        <f>'rice U'!K79+'Wheat U'!J32+'Rabi CC U'!J31</f>
        <v>34582.512000000002</v>
      </c>
      <c r="K34" s="96">
        <f>'rice U'!L79+'Wheat U'!K32+'Rabi CC U'!K31</f>
        <v>36265.784999999996</v>
      </c>
      <c r="L34" s="99">
        <f t="shared" si="1"/>
        <v>3117.8155733549629</v>
      </c>
      <c r="M34" s="99">
        <f t="shared" si="2"/>
        <v>3255.8186366823597</v>
      </c>
      <c r="N34" s="99">
        <f t="shared" si="3"/>
        <v>3417.1716944472846</v>
      </c>
      <c r="O34" s="99">
        <f t="shared" si="4"/>
        <v>3420.6243323442141</v>
      </c>
      <c r="P34" s="99">
        <f t="shared" si="5"/>
        <v>3591.0273294385579</v>
      </c>
    </row>
    <row r="35" spans="1:16" ht="19.5" customHeight="1" x14ac:dyDescent="0.2">
      <c r="A35" s="199" t="s">
        <v>90</v>
      </c>
      <c r="B35" s="76">
        <f>'rice U'!C82+'Wheat U'!B33+'Rabi CC U'!B32</f>
        <v>378</v>
      </c>
      <c r="C35" s="76">
        <f>'rice U'!D82+'Wheat U'!C33+'Rabi CC U'!C32</f>
        <v>366</v>
      </c>
      <c r="D35" s="76">
        <f>'rice U'!E82+'Wheat U'!D33+'Rabi CC U'!D32</f>
        <v>367</v>
      </c>
      <c r="E35" s="76">
        <f>'rice U'!F82+'Wheat U'!E33+'Rabi CC U'!E32</f>
        <v>357</v>
      </c>
      <c r="F35" s="76">
        <f>'rice U'!G82+'Wheat U'!F33+'Rabi CC U'!F32</f>
        <v>350</v>
      </c>
      <c r="G35" s="76">
        <f>'rice U'!H82+'Wheat U'!G33+'Rabi CC U'!G32</f>
        <v>965</v>
      </c>
      <c r="H35" s="76">
        <f>'rice U'!I82+'Wheat U'!H33+'Rabi CC U'!H32</f>
        <v>983.93900000000008</v>
      </c>
      <c r="I35" s="76">
        <f>'rice U'!J82+'Wheat U'!I33+'Rabi CC U'!I32</f>
        <v>1040.2350000000001</v>
      </c>
      <c r="J35" s="76">
        <f>'rice U'!K82+'Wheat U'!J33+'Rabi CC U'!J32</f>
        <v>999.02500000000009</v>
      </c>
      <c r="K35" s="76">
        <f>'rice U'!L82+'Wheat U'!K33+'Rabi CC U'!K32</f>
        <v>1040.848</v>
      </c>
      <c r="L35" s="99">
        <f t="shared" si="1"/>
        <v>2552.9100529100529</v>
      </c>
      <c r="M35" s="99">
        <f t="shared" si="2"/>
        <v>2688.3579234972681</v>
      </c>
      <c r="N35" s="99">
        <f t="shared" si="3"/>
        <v>2834.4277929155319</v>
      </c>
      <c r="O35" s="99">
        <f t="shared" si="4"/>
        <v>2798.3893557422971</v>
      </c>
      <c r="P35" s="99">
        <f t="shared" si="5"/>
        <v>2973.8514285714282</v>
      </c>
    </row>
    <row r="36" spans="1:16" ht="19.5" customHeight="1" x14ac:dyDescent="0.2">
      <c r="A36" s="199" t="s">
        <v>13</v>
      </c>
      <c r="B36" s="96">
        <f>'rice U'!C85+'Wheat U'!B34+'Rabi CC U'!B33</f>
        <v>1724.1670000000001</v>
      </c>
      <c r="C36" s="96">
        <f>'rice U'!D85+'Wheat U'!C34+'Rabi CC U'!C33</f>
        <v>1557.6</v>
      </c>
      <c r="D36" s="96">
        <f>'rice U'!E85+'Wheat U'!D34+'Rabi CC U'!D33</f>
        <v>1602.954</v>
      </c>
      <c r="E36" s="96">
        <f>'rice U'!F85+'Wheat U'!E34+'Rabi CC U'!E33</f>
        <v>1712.3579999999999</v>
      </c>
      <c r="F36" s="96">
        <f>'rice U'!G85+'Wheat U'!F34+'Rabi CC U'!F33</f>
        <v>1787.8249999999998</v>
      </c>
      <c r="G36" s="96">
        <f>'rice U'!H85+'Wheat U'!G34+'Rabi CC U'!G33</f>
        <v>5806.3269999999993</v>
      </c>
      <c r="H36" s="96">
        <f>'rice U'!I85+'Wheat U'!H34+'Rabi CC U'!H33</f>
        <v>5575.8600000000006</v>
      </c>
      <c r="I36" s="96">
        <f>'rice U'!J85+'Wheat U'!I34+'Rabi CC U'!I33</f>
        <v>6239.7375690000008</v>
      </c>
      <c r="J36" s="96">
        <f>'rice U'!K85+'Wheat U'!J34+'Rabi CC U'!J33</f>
        <v>6888.0951940000004</v>
      </c>
      <c r="K36" s="96">
        <f>'rice U'!L85+'Wheat U'!K34+'Rabi CC U'!K33</f>
        <v>7537.3852119999992</v>
      </c>
      <c r="L36" s="99">
        <f t="shared" si="1"/>
        <v>3367.612882046808</v>
      </c>
      <c r="M36" s="99">
        <f t="shared" si="2"/>
        <v>3579.7765793528515</v>
      </c>
      <c r="N36" s="99">
        <f t="shared" si="3"/>
        <v>3892.6491770818134</v>
      </c>
      <c r="O36" s="99">
        <f t="shared" si="4"/>
        <v>4022.5789198286811</v>
      </c>
      <c r="P36" s="99">
        <f t="shared" si="5"/>
        <v>4215.9524629088419</v>
      </c>
    </row>
    <row r="37" spans="1:16" ht="19.5" customHeight="1" x14ac:dyDescent="0.2">
      <c r="A37" s="199" t="s">
        <v>111</v>
      </c>
      <c r="B37" s="96">
        <f>'Wheat U'!B38</f>
        <v>5.5E-2</v>
      </c>
      <c r="C37" s="96">
        <f>'Wheat U'!C38</f>
        <v>5.4600000000000003E-2</v>
      </c>
      <c r="D37" s="96">
        <f>'Wheat U'!D38</f>
        <v>5.4600000000000003E-2</v>
      </c>
      <c r="E37" s="96">
        <f>'Wheat U'!E38</f>
        <v>0.54600000000000004</v>
      </c>
      <c r="F37" s="96">
        <f>'Wheat U'!F38</f>
        <v>0.54600000000000004</v>
      </c>
      <c r="G37" s="96">
        <f>'Wheat U'!G38</f>
        <v>0.25850000000000001</v>
      </c>
      <c r="H37" s="96">
        <f>'Wheat U'!H38</f>
        <v>0.2565654</v>
      </c>
      <c r="I37" s="96">
        <f>'Wheat U'!I38</f>
        <v>0.27300000000000002</v>
      </c>
      <c r="J37" s="96">
        <f>'Wheat U'!J38</f>
        <v>2.4569999999999999</v>
      </c>
      <c r="K37" s="96">
        <f>'Wheat U'!K38</f>
        <v>2.4569999999999999</v>
      </c>
      <c r="L37" s="99">
        <f t="shared" si="1"/>
        <v>4700</v>
      </c>
      <c r="M37" s="99">
        <f t="shared" si="2"/>
        <v>4699</v>
      </c>
      <c r="N37" s="99">
        <f t="shared" si="3"/>
        <v>5000</v>
      </c>
      <c r="O37" s="99">
        <f t="shared" si="4"/>
        <v>4499.9999999999991</v>
      </c>
      <c r="P37" s="99">
        <f t="shared" si="5"/>
        <v>4499.9999999999991</v>
      </c>
    </row>
    <row r="38" spans="1:16" ht="19.5" customHeight="1" x14ac:dyDescent="0.2">
      <c r="A38" s="199" t="s">
        <v>42</v>
      </c>
      <c r="B38" s="96">
        <f>'rice U'!C90+'Wheat U'!B35+'Rabi CC U'!B34</f>
        <v>0.19</v>
      </c>
      <c r="C38" s="96">
        <f>'rice U'!D90+'Wheat U'!C35+'Rabi CC U'!C34</f>
        <v>0.19</v>
      </c>
      <c r="D38" s="96">
        <f>'rice U'!E90+'Wheat U'!D35+'Rabi CC U'!D34</f>
        <v>0.38</v>
      </c>
      <c r="E38" s="96">
        <f>'rice U'!F90+'Wheat U'!E35+'Rabi CC U'!E34</f>
        <v>3.4</v>
      </c>
      <c r="F38" s="96">
        <f>'rice U'!G90+'Wheat U'!F35+'Rabi CC U'!F34</f>
        <v>0</v>
      </c>
      <c r="G38" s="96">
        <f>'rice U'!H90+'Wheat U'!G35+'Rabi CC U'!G34</f>
        <v>0.44200000000000006</v>
      </c>
      <c r="H38" s="96">
        <f>'rice U'!I90+'Wheat U'!H35+'Rabi CC U'!H34</f>
        <v>0.44199999999999995</v>
      </c>
      <c r="I38" s="96">
        <f>'rice U'!J90+'Wheat U'!I35+'Rabi CC U'!I34</f>
        <v>0.65712000000000004</v>
      </c>
      <c r="J38" s="96">
        <f>'rice U'!K90+'Wheat U'!J35+'Rabi CC U'!J34</f>
        <v>8.6066666666666674</v>
      </c>
      <c r="K38" s="96">
        <f>'rice U'!L90+'Wheat U'!K35+'Rabi CC U'!K34</f>
        <v>0</v>
      </c>
      <c r="L38" s="99">
        <f t="shared" si="1"/>
        <v>2326.3157894736842</v>
      </c>
      <c r="M38" s="99">
        <f t="shared" si="2"/>
        <v>2326.3157894736837</v>
      </c>
      <c r="N38" s="99">
        <f t="shared" si="3"/>
        <v>1729.2631578947369</v>
      </c>
      <c r="O38" s="99">
        <f t="shared" si="4"/>
        <v>2531.372549019608</v>
      </c>
      <c r="P38" s="99" t="e">
        <f t="shared" si="5"/>
        <v>#DIV/0!</v>
      </c>
    </row>
    <row r="39" spans="1:16" ht="19.5" customHeight="1" x14ac:dyDescent="0.2">
      <c r="A39" s="199" t="s">
        <v>203</v>
      </c>
      <c r="B39" s="96">
        <f>'Rabi CC U'!B35+'Wheat U'!B36</f>
        <v>0</v>
      </c>
      <c r="C39" s="96">
        <f>'Rabi CC U'!C35+'Wheat U'!C36</f>
        <v>0</v>
      </c>
      <c r="D39" s="96">
        <f>'Rabi CC U'!D35+'Wheat U'!D36</f>
        <v>0</v>
      </c>
      <c r="E39" s="96">
        <f>'Rabi CC U'!E35+'Wheat U'!E36</f>
        <v>0</v>
      </c>
      <c r="F39" s="96">
        <f>'Rabi CC U'!F35+'Wheat U'!F36</f>
        <v>10.466000000000001</v>
      </c>
      <c r="G39" s="96">
        <f>'Rabi CC U'!G35+'Wheat U'!G36</f>
        <v>0</v>
      </c>
      <c r="H39" s="96">
        <f>'Rabi CC U'!H35+'Wheat U'!H36</f>
        <v>0</v>
      </c>
      <c r="I39" s="96">
        <f>'Rabi CC U'!I35+'Wheat U'!I36</f>
        <v>0</v>
      </c>
      <c r="J39" s="96">
        <f>'Rabi CC U'!J35+'Wheat U'!J36</f>
        <v>0</v>
      </c>
      <c r="K39" s="96">
        <f>'Rabi CC U'!K35+'Wheat U'!K36</f>
        <v>10.865293999999999</v>
      </c>
      <c r="L39" s="96" t="e">
        <f>'Rabi CC U'!L35+'Wheat U'!L36</f>
        <v>#DIV/0!</v>
      </c>
      <c r="M39" s="96" t="e">
        <f>'Rabi CC U'!M35+'Wheat U'!M36</f>
        <v>#DIV/0!</v>
      </c>
      <c r="N39" s="96" t="e">
        <f>'Rabi CC U'!N35+'Wheat U'!N36</f>
        <v>#DIV/0!</v>
      </c>
      <c r="O39" s="96" t="e">
        <f>'Rabi CC U'!O35+'Wheat U'!O36</f>
        <v>#DIV/0!</v>
      </c>
      <c r="P39" s="99">
        <f>K39/F39*1000</f>
        <v>1038.151538314542</v>
      </c>
    </row>
    <row r="40" spans="1:16" ht="19.5" customHeight="1" x14ac:dyDescent="0.2">
      <c r="A40" s="199" t="s">
        <v>23</v>
      </c>
      <c r="B40" s="96">
        <f>'Wheat U'!B37+'Rabi CC U'!B36</f>
        <v>19.73</v>
      </c>
      <c r="C40" s="96">
        <f>'Wheat U'!C37+'Rabi CC U'!C36</f>
        <v>19.412000000000003</v>
      </c>
      <c r="D40" s="96">
        <f>'Wheat U'!D37+'Rabi CC U'!D36</f>
        <v>19.279</v>
      </c>
      <c r="E40" s="96">
        <f>'Wheat U'!E37+'Rabi CC U'!E36</f>
        <v>19.259999999999998</v>
      </c>
      <c r="F40" s="96">
        <f>'Wheat U'!F37+'Rabi CC U'!F36</f>
        <v>19.23</v>
      </c>
      <c r="G40" s="96">
        <f>'Wheat U'!G37+'Rabi CC U'!G36</f>
        <v>87.366</v>
      </c>
      <c r="H40" s="96">
        <f>'Wheat U'!H37+'Rabi CC U'!H36</f>
        <v>83.598827999999997</v>
      </c>
      <c r="I40" s="96">
        <f>'Wheat U'!I37+'Rabi CC U'!I36</f>
        <v>83.048625000000001</v>
      </c>
      <c r="J40" s="96">
        <f>'Wheat U'!J37+'Rabi CC U'!J36</f>
        <v>83.050000000000026</v>
      </c>
      <c r="K40" s="96">
        <f>'Wheat U'!K37+'Rabi CC U'!K36</f>
        <v>83.774800000000013</v>
      </c>
      <c r="L40" s="99">
        <f t="shared" si="1"/>
        <v>4428.0790674100353</v>
      </c>
      <c r="M40" s="99">
        <f t="shared" si="2"/>
        <v>4306.5540902534512</v>
      </c>
      <c r="N40" s="99">
        <f t="shared" si="3"/>
        <v>4307.7247263862237</v>
      </c>
      <c r="O40" s="99">
        <f t="shared" si="4"/>
        <v>4312.0456905503652</v>
      </c>
      <c r="P40" s="99">
        <f t="shared" si="5"/>
        <v>4356.4638585543426</v>
      </c>
    </row>
    <row r="41" spans="1:16" ht="19.5" customHeight="1" x14ac:dyDescent="0.2">
      <c r="A41" s="199" t="s">
        <v>113</v>
      </c>
      <c r="B41" s="96">
        <f>'rice U'!C97</f>
        <v>4.0999999999999996</v>
      </c>
      <c r="C41" s="96">
        <f>'rice U'!D97</f>
        <v>4.2969999999999997</v>
      </c>
      <c r="D41" s="96">
        <f>'rice U'!E97</f>
        <v>4.5149999999999997</v>
      </c>
      <c r="E41" s="96">
        <f>'rice U'!F97</f>
        <v>4.5179999999999998</v>
      </c>
      <c r="F41" s="96">
        <f>'rice U'!G97</f>
        <v>13.829000000000001</v>
      </c>
      <c r="G41" s="96">
        <f>'rice U'!H97</f>
        <v>15.989000000000001</v>
      </c>
      <c r="H41" s="96">
        <f>'rice U'!I97</f>
        <v>15.516466999999999</v>
      </c>
      <c r="I41" s="96">
        <f>'rice U'!J97</f>
        <v>16.624230000000001</v>
      </c>
      <c r="J41" s="96">
        <f>'rice U'!K97</f>
        <v>16.061489999999999</v>
      </c>
      <c r="K41" s="96">
        <f>'rice U'!L97</f>
        <v>35.554359000000005</v>
      </c>
      <c r="L41" s="99">
        <f t="shared" si="1"/>
        <v>3899.7560975609763</v>
      </c>
      <c r="M41" s="99">
        <f t="shared" si="2"/>
        <v>3610.9999999999995</v>
      </c>
      <c r="N41" s="99">
        <f t="shared" si="3"/>
        <v>3682.0000000000005</v>
      </c>
      <c r="O41" s="99">
        <f t="shared" si="4"/>
        <v>3555</v>
      </c>
      <c r="P41" s="99">
        <f t="shared" si="5"/>
        <v>2571</v>
      </c>
    </row>
    <row r="42" spans="1:16" s="18" customFormat="1" ht="19.5" customHeight="1" x14ac:dyDescent="0.2">
      <c r="A42" s="199" t="s">
        <v>46</v>
      </c>
      <c r="B42" s="103">
        <f>'rice U'!C100+'Wheat U'!B39+'Rabi CC U'!B37</f>
        <v>40945.563000000002</v>
      </c>
      <c r="C42" s="103">
        <f>'rice U'!D100+'Wheat U'!C39+'Rabi CC U'!C37</f>
        <v>39647.143799999991</v>
      </c>
      <c r="D42" s="103">
        <f>'rice U'!E100+'Wheat U'!D39+'Rabi CC U'!D37</f>
        <v>38121.625722860983</v>
      </c>
      <c r="E42" s="103">
        <f>'rice U'!F100+'Wheat U'!E39+'Rabi CC U'!E37</f>
        <v>41680.670980446397</v>
      </c>
      <c r="F42" s="103">
        <f>'rice U'!G100+'Wheat U'!F39+'Rabi CC U'!F37</f>
        <v>42000.484281315839</v>
      </c>
      <c r="G42" s="103">
        <f>'rice U'!H100+'Wheat U'!G39+'Rabi CC U'!G37</f>
        <v>123237.53217033335</v>
      </c>
      <c r="H42" s="103">
        <f>'rice U'!I100+'Wheat U'!H39+'Rabi CC U'!H37</f>
        <v>128436.85502119802</v>
      </c>
      <c r="I42" s="103">
        <f>'rice U'!J100+'Wheat U'!I39+'Rabi CC U'!I37</f>
        <v>129708.99370212453</v>
      </c>
      <c r="J42" s="103">
        <f>'rice U'!K100+'Wheat U'!J39+'Rabi CC U'!J37</f>
        <v>138587.93586111051</v>
      </c>
      <c r="K42" s="103">
        <f>'rice U'!L100+'Wheat U'!K39+'Rabi CC U'!K37</f>
        <v>143320.5798460315</v>
      </c>
      <c r="L42" s="285">
        <f t="shared" si="1"/>
        <v>3009.7896607340172</v>
      </c>
      <c r="M42" s="285">
        <f t="shared" si="2"/>
        <v>3239.4983020491386</v>
      </c>
      <c r="N42" s="285">
        <f t="shared" si="3"/>
        <v>3402.5042542805286</v>
      </c>
      <c r="O42" s="285">
        <f t="shared" si="4"/>
        <v>3324.9929188070437</v>
      </c>
      <c r="P42" s="285">
        <f t="shared" si="5"/>
        <v>3412.3554120491058</v>
      </c>
    </row>
    <row r="43" spans="1:16" x14ac:dyDescent="0.2">
      <c r="A43" s="21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6" x14ac:dyDescent="0.2">
      <c r="A44" s="21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6" x14ac:dyDescent="0.2">
      <c r="A45" s="21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6" x14ac:dyDescent="0.2">
      <c r="A46" s="21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6" x14ac:dyDescent="0.2">
      <c r="A47" s="21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6" x14ac:dyDescent="0.2">
      <c r="A48" s="21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2">
      <c r="A49" s="21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2">
      <c r="A50" s="21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2">
      <c r="A51" s="21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2">
      <c r="A52" s="21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2">
      <c r="A53" s="21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2">
      <c r="A54" s="21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2">
      <c r="A55" s="21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2">
      <c r="A56" s="21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2">
      <c r="A57" s="21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2">
      <c r="A58" s="21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2">
      <c r="A59" s="21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2">
      <c r="A60" s="21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2">
      <c r="A61" s="21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2">
      <c r="A62" s="21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2">
      <c r="A63" s="21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2">
      <c r="A64" s="21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2">
      <c r="A65" s="21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2">
      <c r="A66" s="21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2">
      <c r="A67" s="21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2">
      <c r="A68" s="21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2">
      <c r="A69" s="21"/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1" x14ac:dyDescent="0.2">
      <c r="A70" s="21"/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x14ac:dyDescent="0.2">
      <c r="A71" s="21"/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x14ac:dyDescent="0.2">
      <c r="A72" s="21"/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x14ac:dyDescent="0.2">
      <c r="A73" s="21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x14ac:dyDescent="0.2">
      <c r="A74" s="21"/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1:11" x14ac:dyDescent="0.2">
      <c r="A75" s="21"/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1:11" x14ac:dyDescent="0.2">
      <c r="A76" s="21"/>
      <c r="B76" s="9"/>
      <c r="C76" s="9"/>
      <c r="D76" s="9"/>
      <c r="E76" s="9"/>
      <c r="F76" s="9"/>
      <c r="G76" s="9"/>
      <c r="H76" s="9"/>
      <c r="I76" s="9"/>
      <c r="J76" s="9"/>
      <c r="K76" s="9"/>
    </row>
    <row r="77" spans="1:11" x14ac:dyDescent="0.2">
      <c r="A77" s="21"/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2">
      <c r="A78" s="21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2">
      <c r="A79" s="21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2">
      <c r="A80" s="21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 x14ac:dyDescent="0.2">
      <c r="A81" s="21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 x14ac:dyDescent="0.2">
      <c r="A82" s="21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x14ac:dyDescent="0.2">
      <c r="A83" s="21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1:11" x14ac:dyDescent="0.2">
      <c r="A84" s="21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x14ac:dyDescent="0.2">
      <c r="A85" s="21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1:11" x14ac:dyDescent="0.2">
      <c r="A86" s="21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x14ac:dyDescent="0.2">
      <c r="A87" s="21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1:11" x14ac:dyDescent="0.2">
      <c r="A88" s="21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x14ac:dyDescent="0.2">
      <c r="A89" s="21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x14ac:dyDescent="0.2">
      <c r="A90" s="21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x14ac:dyDescent="0.2">
      <c r="A91" s="21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x14ac:dyDescent="0.2">
      <c r="A92" s="21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x14ac:dyDescent="0.2">
      <c r="A93" s="21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x14ac:dyDescent="0.2">
      <c r="A94" s="21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x14ac:dyDescent="0.2">
      <c r="A95" s="21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x14ac:dyDescent="0.2">
      <c r="A96" s="21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x14ac:dyDescent="0.2">
      <c r="A97" s="21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1:11" x14ac:dyDescent="0.2">
      <c r="A98" s="21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x14ac:dyDescent="0.2">
      <c r="A99" s="21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x14ac:dyDescent="0.2">
      <c r="A100" s="21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x14ac:dyDescent="0.2">
      <c r="A101" s="21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11" x14ac:dyDescent="0.2">
      <c r="A102" s="21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x14ac:dyDescent="0.2">
      <c r="A103" s="21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11" x14ac:dyDescent="0.2">
      <c r="A104" s="21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x14ac:dyDescent="0.2">
      <c r="A105" s="21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x14ac:dyDescent="0.2">
      <c r="A106" s="21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x14ac:dyDescent="0.2">
      <c r="A107" s="21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spans="1:11" x14ac:dyDescent="0.2">
      <c r="A108" s="21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x14ac:dyDescent="0.2">
      <c r="A109" s="21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1:11" x14ac:dyDescent="0.2">
      <c r="A110" s="21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x14ac:dyDescent="0.2">
      <c r="A111" s="21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x14ac:dyDescent="0.2">
      <c r="A112" s="21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x14ac:dyDescent="0.2">
      <c r="A113" s="21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1:11" x14ac:dyDescent="0.2">
      <c r="A114" s="21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x14ac:dyDescent="0.2">
      <c r="A115" s="21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x14ac:dyDescent="0.2">
      <c r="A116" s="21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x14ac:dyDescent="0.2">
      <c r="A117" s="21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1:11" x14ac:dyDescent="0.2">
      <c r="A118" s="21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x14ac:dyDescent="0.2">
      <c r="A119" s="21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1:11" x14ac:dyDescent="0.2">
      <c r="A120" s="21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x14ac:dyDescent="0.2">
      <c r="A121" s="21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1:11" x14ac:dyDescent="0.2">
      <c r="A122" s="21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x14ac:dyDescent="0.2">
      <c r="A123" s="21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x14ac:dyDescent="0.2">
      <c r="A124" s="21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x14ac:dyDescent="0.2">
      <c r="A125" s="21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x14ac:dyDescent="0.2">
      <c r="A126" s="21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x14ac:dyDescent="0.2">
      <c r="A127" s="21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x14ac:dyDescent="0.2">
      <c r="A128" s="21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x14ac:dyDescent="0.2">
      <c r="A129" s="21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x14ac:dyDescent="0.2">
      <c r="A130" s="21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x14ac:dyDescent="0.2">
      <c r="A131" s="21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x14ac:dyDescent="0.2">
      <c r="A132" s="21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x14ac:dyDescent="0.2">
      <c r="A133" s="21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x14ac:dyDescent="0.2">
      <c r="A134" s="21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x14ac:dyDescent="0.2">
      <c r="A135" s="21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x14ac:dyDescent="0.2">
      <c r="A136" s="21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x14ac:dyDescent="0.2">
      <c r="A137" s="21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x14ac:dyDescent="0.2">
      <c r="A138" s="21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x14ac:dyDescent="0.2">
      <c r="A139" s="21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 x14ac:dyDescent="0.2">
      <c r="A140" s="21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x14ac:dyDescent="0.2">
      <c r="A141" s="21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1:11" x14ac:dyDescent="0.2">
      <c r="A142" s="21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x14ac:dyDescent="0.2">
      <c r="A143" s="21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1:11" x14ac:dyDescent="0.2">
      <c r="A144" s="21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x14ac:dyDescent="0.2">
      <c r="A145" s="21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1:11" x14ac:dyDescent="0.2">
      <c r="A146" s="21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x14ac:dyDescent="0.2">
      <c r="A147" s="21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x14ac:dyDescent="0.2">
      <c r="A148" s="21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x14ac:dyDescent="0.2">
      <c r="A149" s="21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1:11" x14ac:dyDescent="0.2">
      <c r="A150" s="21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x14ac:dyDescent="0.2">
      <c r="A151" s="21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1:11" x14ac:dyDescent="0.2">
      <c r="A152" s="21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x14ac:dyDescent="0.2">
      <c r="A153" s="21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1:11" x14ac:dyDescent="0.2">
      <c r="A154" s="21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x14ac:dyDescent="0.2">
      <c r="A155" s="21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1:11" x14ac:dyDescent="0.2">
      <c r="A156" s="21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x14ac:dyDescent="0.2">
      <c r="A157" s="21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1:11" x14ac:dyDescent="0.2">
      <c r="A158" s="21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x14ac:dyDescent="0.2">
      <c r="A159" s="21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x14ac:dyDescent="0.2">
      <c r="A160" s="21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x14ac:dyDescent="0.2">
      <c r="A161" s="21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1:11" x14ac:dyDescent="0.2">
      <c r="A162" s="21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x14ac:dyDescent="0.2">
      <c r="A163" s="21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1:11" x14ac:dyDescent="0.2">
      <c r="A164" s="21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x14ac:dyDescent="0.2">
      <c r="A165" s="21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x14ac:dyDescent="0.2">
      <c r="A166" s="21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x14ac:dyDescent="0.2">
      <c r="A167" s="21"/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spans="1:11" x14ac:dyDescent="0.2">
      <c r="A168" s="21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 x14ac:dyDescent="0.2">
      <c r="A169" s="21"/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spans="1:11" x14ac:dyDescent="0.2">
      <c r="A170" s="21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x14ac:dyDescent="0.2">
      <c r="A171" s="21"/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spans="1:11" x14ac:dyDescent="0.2">
      <c r="A172" s="21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x14ac:dyDescent="0.2">
      <c r="A173" s="21"/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spans="1:11" x14ac:dyDescent="0.2">
      <c r="A174" s="21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x14ac:dyDescent="0.2">
      <c r="A175" s="21"/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 spans="1:11" x14ac:dyDescent="0.2">
      <c r="A176" s="21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1:11" x14ac:dyDescent="0.2">
      <c r="A177" s="21"/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 spans="1:11" x14ac:dyDescent="0.2">
      <c r="A178" s="21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1:11" x14ac:dyDescent="0.2">
      <c r="A179" s="21"/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 spans="1:11" x14ac:dyDescent="0.2">
      <c r="A180" s="21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1:11" x14ac:dyDescent="0.2">
      <c r="A181" s="21"/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spans="1:11" x14ac:dyDescent="0.2">
      <c r="A182" s="21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1:11" x14ac:dyDescent="0.2">
      <c r="A183" s="21"/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spans="1:11" x14ac:dyDescent="0.2">
      <c r="A184" s="21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1:11" x14ac:dyDescent="0.2">
      <c r="A185" s="21"/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 spans="1:11" x14ac:dyDescent="0.2">
      <c r="A186" s="21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1:11" x14ac:dyDescent="0.2">
      <c r="A187" s="21"/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 spans="1:11" x14ac:dyDescent="0.2">
      <c r="A188" s="21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1:11" x14ac:dyDescent="0.2">
      <c r="A189" s="21"/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 spans="1:11" x14ac:dyDescent="0.2">
      <c r="A190" s="21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1:11" x14ac:dyDescent="0.2">
      <c r="A191" s="21"/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 spans="1:11" x14ac:dyDescent="0.2">
      <c r="A192" s="21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 x14ac:dyDescent="0.2">
      <c r="A193" s="21"/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 spans="1:11" x14ac:dyDescent="0.2">
      <c r="A194" s="21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x14ac:dyDescent="0.2">
      <c r="A195" s="21"/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spans="1:11" x14ac:dyDescent="0.2">
      <c r="A196" s="21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1:11" x14ac:dyDescent="0.2">
      <c r="A197" s="21"/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spans="1:11" x14ac:dyDescent="0.2">
      <c r="A198" s="21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1:11" x14ac:dyDescent="0.2">
      <c r="A199" s="21"/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 spans="1:11" x14ac:dyDescent="0.2">
      <c r="A200" s="21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1:11" x14ac:dyDescent="0.2">
      <c r="A201" s="21"/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 spans="1:11" x14ac:dyDescent="0.2">
      <c r="A202" s="21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1:11" x14ac:dyDescent="0.2">
      <c r="A203" s="21"/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 spans="1:11" x14ac:dyDescent="0.2">
      <c r="A204" s="21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1:11" x14ac:dyDescent="0.2">
      <c r="A205" s="21"/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 spans="1:11" x14ac:dyDescent="0.2">
      <c r="A206" s="21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1:11" x14ac:dyDescent="0.2">
      <c r="A207" s="21"/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 spans="1:11" x14ac:dyDescent="0.2">
      <c r="A208" s="21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 x14ac:dyDescent="0.2">
      <c r="A209" s="21"/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 spans="1:11" x14ac:dyDescent="0.2">
      <c r="A210" s="21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1:11" x14ac:dyDescent="0.2">
      <c r="A211" s="21"/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 spans="1:11" x14ac:dyDescent="0.2">
      <c r="A212" s="21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1:11" x14ac:dyDescent="0.2">
      <c r="A213" s="21"/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 spans="1:11" x14ac:dyDescent="0.2">
      <c r="A214" s="21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1:11" x14ac:dyDescent="0.2">
      <c r="A215" s="21"/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spans="1:11" x14ac:dyDescent="0.2">
      <c r="A216" s="21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1:11" x14ac:dyDescent="0.2">
      <c r="A217" s="21"/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 spans="1:11" x14ac:dyDescent="0.2">
      <c r="B218" s="19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 spans="1:11" x14ac:dyDescent="0.2"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1:11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 spans="1:11" x14ac:dyDescent="0.2"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1:1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1:11" x14ac:dyDescent="0.2"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2:11" x14ac:dyDescent="0.2"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 spans="2:11" x14ac:dyDescent="0.2"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2:11" x14ac:dyDescent="0.2"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 spans="2:11" x14ac:dyDescent="0.2">
      <c r="B228" s="9"/>
      <c r="C228" s="9"/>
      <c r="D228" s="9"/>
      <c r="E228" s="9"/>
      <c r="F228" s="9"/>
      <c r="G228" s="9"/>
      <c r="H228" s="9"/>
      <c r="I228" s="9"/>
      <c r="J228" s="9"/>
      <c r="K228" s="9"/>
    </row>
  </sheetData>
  <mergeCells count="20">
    <mergeCell ref="I5:I6"/>
    <mergeCell ref="O5:O6"/>
    <mergeCell ref="N5:N6"/>
    <mergeCell ref="J5:J6"/>
    <mergeCell ref="A4:A6"/>
    <mergeCell ref="D5:D6"/>
    <mergeCell ref="A2:P2"/>
    <mergeCell ref="B5:B6"/>
    <mergeCell ref="G5:G6"/>
    <mergeCell ref="B4:F4"/>
    <mergeCell ref="E5:E6"/>
    <mergeCell ref="F5:F6"/>
    <mergeCell ref="K5:K6"/>
    <mergeCell ref="P5:P6"/>
    <mergeCell ref="L4:P4"/>
    <mergeCell ref="G4:K4"/>
    <mergeCell ref="C5:C6"/>
    <mergeCell ref="H5:H6"/>
    <mergeCell ref="M5:M6"/>
    <mergeCell ref="L5:L6"/>
  </mergeCells>
  <phoneticPr fontId="0" type="noConversion"/>
  <printOptions horizontalCentered="1" verticalCentered="1"/>
  <pageMargins left="0.511811023622047" right="0.23622047244094499" top="0.511811023622047" bottom="0.23622047244094499" header="0.23622047244094499" footer="0.23622047244094499"/>
  <pageSetup paperSize="9" scale="63" orientation="landscape" r:id="rId1"/>
  <headerFooter alignWithMargins="0"/>
  <rowBreaks count="1" manualBreakCount="1">
    <brk id="4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P44"/>
  <sheetViews>
    <sheetView tabSelected="1" view="pageBreakPreview" zoomScale="60" workbookViewId="0">
      <pane xSplit="1" ySplit="7" topLeftCell="F35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5.5703125" style="4" customWidth="1"/>
    <col min="2" max="11" width="14.5703125" style="4" customWidth="1"/>
    <col min="12" max="16" width="11.5703125" style="4" customWidth="1"/>
    <col min="17" max="16384" width="9.140625" style="4"/>
  </cols>
  <sheetData>
    <row r="2" spans="1:16" ht="18" x14ac:dyDescent="0.2">
      <c r="A2" s="344" t="s">
        <v>175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6" ht="18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6"/>
      <c r="M3" s="16"/>
      <c r="N3" s="16"/>
      <c r="O3" s="16"/>
      <c r="P3" s="16"/>
    </row>
    <row r="4" spans="1:16" ht="18" x14ac:dyDescent="0.2">
      <c r="A4" s="340" t="s">
        <v>88</v>
      </c>
      <c r="B4" s="342" t="s">
        <v>174</v>
      </c>
      <c r="C4" s="342"/>
      <c r="D4" s="342"/>
      <c r="E4" s="342"/>
      <c r="F4" s="342"/>
      <c r="G4" s="342" t="s">
        <v>68</v>
      </c>
      <c r="H4" s="342"/>
      <c r="I4" s="342"/>
      <c r="J4" s="342"/>
      <c r="K4" s="342"/>
      <c r="L4" s="342" t="s">
        <v>89</v>
      </c>
      <c r="M4" s="342"/>
      <c r="N4" s="342"/>
      <c r="O4" s="342"/>
      <c r="P4" s="342"/>
    </row>
    <row r="5" spans="1:16" ht="15" customHeight="1" x14ac:dyDescent="0.2">
      <c r="A5" s="340"/>
      <c r="B5" s="341" t="s">
        <v>112</v>
      </c>
      <c r="C5" s="341" t="s">
        <v>164</v>
      </c>
      <c r="D5" s="341" t="s">
        <v>199</v>
      </c>
      <c r="E5" s="341" t="s">
        <v>200</v>
      </c>
      <c r="F5" s="341" t="s">
        <v>202</v>
      </c>
      <c r="G5" s="341" t="s">
        <v>112</v>
      </c>
      <c r="H5" s="341" t="s">
        <v>164</v>
      </c>
      <c r="I5" s="341" t="s">
        <v>199</v>
      </c>
      <c r="J5" s="341" t="s">
        <v>200</v>
      </c>
      <c r="K5" s="341" t="s">
        <v>202</v>
      </c>
      <c r="L5" s="341" t="s">
        <v>112</v>
      </c>
      <c r="M5" s="341" t="s">
        <v>164</v>
      </c>
      <c r="N5" s="341" t="s">
        <v>199</v>
      </c>
      <c r="O5" s="341" t="s">
        <v>200</v>
      </c>
      <c r="P5" s="341" t="s">
        <v>202</v>
      </c>
    </row>
    <row r="6" spans="1:16" ht="20.25" customHeight="1" x14ac:dyDescent="0.2">
      <c r="A6" s="340"/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</row>
    <row r="7" spans="1:16" s="14" customFormat="1" ht="15.75" customHeight="1" x14ac:dyDescent="0.2">
      <c r="A7" s="268">
        <v>1</v>
      </c>
      <c r="B7" s="237">
        <v>2</v>
      </c>
      <c r="C7" s="237">
        <v>3</v>
      </c>
      <c r="D7" s="237">
        <v>4</v>
      </c>
      <c r="E7" s="237">
        <v>5</v>
      </c>
      <c r="F7" s="237">
        <v>6</v>
      </c>
      <c r="G7" s="237">
        <v>7</v>
      </c>
      <c r="H7" s="237">
        <v>8</v>
      </c>
      <c r="I7" s="237">
        <v>9</v>
      </c>
      <c r="J7" s="237">
        <v>10</v>
      </c>
      <c r="K7" s="237">
        <v>11</v>
      </c>
      <c r="L7" s="237">
        <v>12</v>
      </c>
      <c r="M7" s="237">
        <v>13</v>
      </c>
      <c r="N7" s="237">
        <v>14</v>
      </c>
      <c r="O7" s="237">
        <v>15</v>
      </c>
      <c r="P7" s="237">
        <v>16</v>
      </c>
    </row>
    <row r="8" spans="1:16" ht="23.25" customHeight="1" x14ac:dyDescent="0.2">
      <c r="A8" s="199" t="s">
        <v>2</v>
      </c>
      <c r="B8" s="76">
        <f>'Kharif-Cereals U'!B8+'Rabi Cereals U'!B8</f>
        <v>2557</v>
      </c>
      <c r="C8" s="76">
        <f>'Kharif-Cereals U'!C8+'Rabi Cereals U'!C8</f>
        <v>2736</v>
      </c>
      <c r="D8" s="76">
        <f>'Kharif-Cereals U'!D8+'Rabi Cereals U'!D8</f>
        <v>2697</v>
      </c>
      <c r="E8" s="76">
        <f>'Kharif-Cereals U'!E8+'Rabi Cereals U'!E8</f>
        <v>2837.1</v>
      </c>
      <c r="F8" s="76">
        <f>'Kharif-Cereals U'!F8+'Rabi Cereals U'!F8</f>
        <v>2830.5</v>
      </c>
      <c r="G8" s="76">
        <f>'Kharif-Cereals U'!G8+'Rabi Cereals U'!G8</f>
        <v>9434.4320000000007</v>
      </c>
      <c r="H8" s="76">
        <f>'Kharif-Cereals U'!H8+'Rabi Cereals U'!H8</f>
        <v>10942.342529464688</v>
      </c>
      <c r="I8" s="76">
        <f>'Kharif-Cereals U'!I8+'Rabi Cereals U'!I8</f>
        <v>10099.212666666666</v>
      </c>
      <c r="J8" s="76">
        <f>'Kharif-Cereals U'!J8+'Rabi Cereals U'!J8</f>
        <v>11190.057987951808</v>
      </c>
      <c r="K8" s="76">
        <f>'Kharif-Cereals U'!K8+'Rabi Cereals U'!K8</f>
        <v>10204.4265</v>
      </c>
      <c r="L8" s="106">
        <f>G8/B8*1000</f>
        <v>3689.6488071959329</v>
      </c>
      <c r="M8" s="106">
        <f t="shared" ref="M8:P8" si="0">H8/C8*1000</f>
        <v>3999.3941993657486</v>
      </c>
      <c r="N8" s="106">
        <f t="shared" si="0"/>
        <v>3744.6098133728833</v>
      </c>
      <c r="O8" s="106">
        <f t="shared" si="0"/>
        <v>3944.1887800753616</v>
      </c>
      <c r="P8" s="106">
        <f t="shared" si="0"/>
        <v>3605.1674615792263</v>
      </c>
    </row>
    <row r="9" spans="1:16" ht="23.25" customHeight="1" x14ac:dyDescent="0.2">
      <c r="A9" s="199" t="s">
        <v>24</v>
      </c>
      <c r="B9" s="76">
        <f>'Kharif-Cereals U'!B9+'Rabi Cereals U'!B9</f>
        <v>190.49100000000001</v>
      </c>
      <c r="C9" s="76">
        <f>'Kharif-Cereals U'!C9+'Rabi Cereals U'!C9</f>
        <v>213.49199999999999</v>
      </c>
      <c r="D9" s="76">
        <f>'Kharif-Cereals U'!D9+'Rabi Cereals U'!D9</f>
        <v>214.905</v>
      </c>
      <c r="E9" s="76">
        <f>'Kharif-Cereals U'!E9+'Rabi Cereals U'!E9</f>
        <v>215.40600000000001</v>
      </c>
      <c r="F9" s="76">
        <f>'Kharif-Cereals U'!F9+'Rabi Cereals U'!F9</f>
        <v>215.678</v>
      </c>
      <c r="G9" s="76">
        <f>'Kharif-Cereals U'!G9+'Rabi Cereals U'!G9</f>
        <v>330.18</v>
      </c>
      <c r="H9" s="76">
        <f>'Kharif-Cereals U'!H9+'Rabi Cereals U'!H9</f>
        <v>345.61373833333334</v>
      </c>
      <c r="I9" s="76">
        <f>'Kharif-Cereals U'!I9+'Rabi Cereals U'!I9</f>
        <v>353.16292499999997</v>
      </c>
      <c r="J9" s="76">
        <f>'Kharif-Cereals U'!J9+'Rabi Cereals U'!J9</f>
        <v>359.03774400000003</v>
      </c>
      <c r="K9" s="76">
        <f>'Kharif-Cereals U'!K9+'Rabi Cereals U'!K9</f>
        <v>362.77098799999999</v>
      </c>
      <c r="L9" s="106">
        <f t="shared" ref="L9:L44" si="1">G9/B9*1000</f>
        <v>1733.3102351292187</v>
      </c>
      <c r="M9" s="106">
        <f t="shared" ref="M9:M44" si="2">H9/C9*1000</f>
        <v>1618.8603710365417</v>
      </c>
      <c r="N9" s="106">
        <f t="shared" ref="N9:N44" si="3">I9/D9*1000</f>
        <v>1643.3443847281355</v>
      </c>
      <c r="O9" s="106">
        <f t="shared" ref="O9:O44" si="4">J9/E9*1000</f>
        <v>1666.7954653073732</v>
      </c>
      <c r="P9" s="106">
        <f t="shared" ref="P9:P44" si="5">K9/F9*1000</f>
        <v>1682.0027448325745</v>
      </c>
    </row>
    <row r="10" spans="1:16" ht="23.25" customHeight="1" x14ac:dyDescent="0.2">
      <c r="A10" s="199" t="s">
        <v>25</v>
      </c>
      <c r="B10" s="76">
        <f>'Kharif-Cereals U'!B10+'Rabi Cereals U'!B10</f>
        <v>2520.6699999999996</v>
      </c>
      <c r="C10" s="76">
        <f>'Kharif-Cereals U'!C10+'Rabi Cereals U'!C10</f>
        <v>2488.2670000000003</v>
      </c>
      <c r="D10" s="76">
        <f>'Kharif-Cereals U'!D10+'Rabi Cereals U'!D10</f>
        <v>2479.5969999999998</v>
      </c>
      <c r="E10" s="76">
        <f>'Kharif-Cereals U'!E10+'Rabi Cereals U'!E10</f>
        <v>2343.6990000000001</v>
      </c>
      <c r="F10" s="76">
        <f>'Kharif-Cereals U'!F10+'Rabi Cereals U'!F10</f>
        <v>2415.9389999999999</v>
      </c>
      <c r="G10" s="76">
        <f>'Kharif-Cereals U'!G10+'Rabi Cereals U'!G10</f>
        <v>4844.9750000000004</v>
      </c>
      <c r="H10" s="76">
        <f>'Kharif-Cereals U'!H10+'Rabi Cereals U'!H10</f>
        <v>5410.146302000001</v>
      </c>
      <c r="I10" s="76">
        <f>'Kharif-Cereals U'!I10+'Rabi Cereals U'!I10</f>
        <v>5352.3554350000013</v>
      </c>
      <c r="J10" s="76">
        <f>'Kharif-Cereals U'!J10+'Rabi Cereals U'!J10</f>
        <v>5130.333988204382</v>
      </c>
      <c r="K10" s="76">
        <f>'Kharif-Cereals U'!K10+'Rabi Cereals U'!K10</f>
        <v>5378.8138220000001</v>
      </c>
      <c r="L10" s="106">
        <f t="shared" si="1"/>
        <v>1922.0980929673462</v>
      </c>
      <c r="M10" s="106">
        <f t="shared" si="2"/>
        <v>2174.2627708360878</v>
      </c>
      <c r="N10" s="106">
        <f t="shared" si="3"/>
        <v>2158.5586024664499</v>
      </c>
      <c r="O10" s="106">
        <f t="shared" si="4"/>
        <v>2188.9901340591869</v>
      </c>
      <c r="P10" s="106">
        <f t="shared" si="5"/>
        <v>2226.3864369092103</v>
      </c>
    </row>
    <row r="11" spans="1:16" ht="23.25" customHeight="1" x14ac:dyDescent="0.2">
      <c r="A11" s="199" t="s">
        <v>40</v>
      </c>
      <c r="B11" s="76">
        <f>'Kharif-Cereals U'!B11+'Rabi Cereals U'!B11</f>
        <v>6190.6589999999997</v>
      </c>
      <c r="C11" s="76">
        <f>'Kharif-Cereals U'!C11+'Rabi Cereals U'!C11</f>
        <v>6110.4679999999998</v>
      </c>
      <c r="D11" s="76">
        <f>'Kharif-Cereals U'!D11+'Rabi Cereals U'!D11</f>
        <v>6016.1419999999998</v>
      </c>
      <c r="E11" s="76">
        <f>'Kharif-Cereals U'!E11+'Rabi Cereals U'!E11</f>
        <v>5725.7599999999993</v>
      </c>
      <c r="F11" s="76">
        <f>'Kharif-Cereals U'!F11+'Rabi Cereals U'!F11</f>
        <v>5910.4920000000002</v>
      </c>
      <c r="G11" s="76">
        <f>'Kharif-Cereals U'!G11+'Rabi Cereals U'!G11</f>
        <v>16069.151184999999</v>
      </c>
      <c r="H11" s="76">
        <f>'Kharif-Cereals U'!H11+'Rabi Cereals U'!H11</f>
        <v>16582.690547999999</v>
      </c>
      <c r="I11" s="76">
        <f>'Kharif-Cereals U'!I11+'Rabi Cereals U'!I11</f>
        <v>15146.599930449998</v>
      </c>
      <c r="J11" s="76">
        <f>'Kharif-Cereals U'!J11+'Rabi Cereals U'!J11</f>
        <v>13898.588132000001</v>
      </c>
      <c r="K11" s="76">
        <f>'Kharif-Cereals U'!K11+'Rabi Cereals U'!K11</f>
        <v>15005.737547000001</v>
      </c>
      <c r="L11" s="106">
        <f t="shared" si="1"/>
        <v>2595.7093073613</v>
      </c>
      <c r="M11" s="106">
        <f t="shared" si="2"/>
        <v>2713.8167727905616</v>
      </c>
      <c r="N11" s="106">
        <f t="shared" si="3"/>
        <v>2517.6599771830515</v>
      </c>
      <c r="O11" s="106">
        <f t="shared" si="4"/>
        <v>2427.3787465768742</v>
      </c>
      <c r="P11" s="106">
        <f t="shared" si="5"/>
        <v>2538.8305317053132</v>
      </c>
    </row>
    <row r="12" spans="1:16" ht="23.25" customHeight="1" x14ac:dyDescent="0.2">
      <c r="A12" s="199" t="s">
        <v>47</v>
      </c>
      <c r="B12" s="76">
        <f>'Kharif-Cereals U'!B12+'Rabi Cereals U'!B12</f>
        <v>4167.2</v>
      </c>
      <c r="C12" s="76">
        <f>'Kharif-Cereals U'!C12+'Rabi Cereals U'!C12</f>
        <v>4095.73</v>
      </c>
      <c r="D12" s="76">
        <f>'Kharif-Cereals U'!D12+'Rabi Cereals U'!D12</f>
        <v>3928.87</v>
      </c>
      <c r="E12" s="76">
        <f>'Kharif-Cereals U'!E12+'Rabi Cereals U'!E12</f>
        <v>3977.6499999999996</v>
      </c>
      <c r="F12" s="76">
        <f>'Kharif-Cereals U'!F12+'Rabi Cereals U'!F12</f>
        <v>4158.6500000000005</v>
      </c>
      <c r="G12" s="76">
        <f>'Kharif-Cereals U'!G12+'Rabi Cereals U'!G12</f>
        <v>8565.4425999999985</v>
      </c>
      <c r="H12" s="76">
        <f>'Kharif-Cereals U'!H12+'Rabi Cereals U'!H12</f>
        <v>5408.7048500000001</v>
      </c>
      <c r="I12" s="76">
        <f>'Kharif-Cereals U'!I12+'Rabi Cereals U'!I12</f>
        <v>7021.1110499999995</v>
      </c>
      <c r="J12" s="76">
        <f>'Kharif-Cereals U'!J12+'Rabi Cereals U'!J12</f>
        <v>7260.5658000000003</v>
      </c>
      <c r="K12" s="76">
        <f>'Kharif-Cereals U'!K12+'Rabi Cereals U'!K12</f>
        <v>7778.0065699999996</v>
      </c>
      <c r="L12" s="106">
        <f t="shared" si="1"/>
        <v>2055.4431272797078</v>
      </c>
      <c r="M12" s="106">
        <f t="shared" si="2"/>
        <v>1320.5716319190963</v>
      </c>
      <c r="N12" s="106">
        <f t="shared" si="3"/>
        <v>1787.0560873737231</v>
      </c>
      <c r="O12" s="106">
        <f t="shared" si="4"/>
        <v>1825.340540268752</v>
      </c>
      <c r="P12" s="106">
        <f t="shared" si="5"/>
        <v>1870.3200726197199</v>
      </c>
    </row>
    <row r="13" spans="1:16" ht="23.25" customHeight="1" x14ac:dyDescent="0.2">
      <c r="A13" s="199" t="s">
        <v>15</v>
      </c>
      <c r="B13" s="76">
        <f>'Kharif-Cereals U'!B13+'Rabi Cereals U'!B13</f>
        <v>40.823</v>
      </c>
      <c r="C13" s="76">
        <f>'Kharif-Cereals U'!C13+'Rabi Cereals U'!C13</f>
        <v>38.520000000000003</v>
      </c>
      <c r="D13" s="76">
        <f>'Kharif-Cereals U'!D13+'Rabi Cereals U'!D13</f>
        <v>36.384</v>
      </c>
      <c r="E13" s="76">
        <f>'Kharif-Cereals U'!E13+'Rabi Cereals U'!E13</f>
        <v>34.698</v>
      </c>
      <c r="F13" s="76">
        <f>'Kharif-Cereals U'!F13+'Rabi Cereals U'!F13</f>
        <v>32.677</v>
      </c>
      <c r="G13" s="76">
        <f>'Kharif-Cereals U'!G13+'Rabi Cereals U'!G13</f>
        <v>113.227</v>
      </c>
      <c r="H13" s="76">
        <f>'Kharif-Cereals U'!H13+'Rabi Cereals U'!H13</f>
        <v>103.00846800000001</v>
      </c>
      <c r="I13" s="76">
        <f>'Kharif-Cereals U'!I13+'Rabi Cereals U'!I13</f>
        <v>98.843751999999995</v>
      </c>
      <c r="J13" s="76">
        <f>'Kharif-Cereals U'!J13+'Rabi Cereals U'!J13</f>
        <v>90.385704000000004</v>
      </c>
      <c r="K13" s="76">
        <f>'Kharif-Cereals U'!K13+'Rabi Cereals U'!K13</f>
        <v>87.340878349999997</v>
      </c>
      <c r="L13" s="106">
        <f t="shared" si="1"/>
        <v>2773.6080150895332</v>
      </c>
      <c r="M13" s="106">
        <f t="shared" si="2"/>
        <v>2674.1554517133955</v>
      </c>
      <c r="N13" s="106">
        <f t="shared" si="3"/>
        <v>2716.6818381706244</v>
      </c>
      <c r="O13" s="106">
        <f t="shared" si="4"/>
        <v>2604.9254712087154</v>
      </c>
      <c r="P13" s="106">
        <f t="shared" si="5"/>
        <v>2672.8548627474984</v>
      </c>
    </row>
    <row r="14" spans="1:16" ht="23.25" customHeight="1" x14ac:dyDescent="0.2">
      <c r="A14" s="199" t="s">
        <v>4</v>
      </c>
      <c r="B14" s="76">
        <f>'Kharif-Cereals U'!B14+'Rabi Cereals U'!B14</f>
        <v>2860</v>
      </c>
      <c r="C14" s="76">
        <f>'Kharif-Cereals U'!C14+'Rabi Cereals U'!C14</f>
        <v>2829</v>
      </c>
      <c r="D14" s="76">
        <f>'Kharif-Cereals U'!D14+'Rabi Cereals U'!D14</f>
        <v>2525.71</v>
      </c>
      <c r="E14" s="76">
        <f>'Kharif-Cereals U'!E14+'Rabi Cereals U'!E14</f>
        <v>2856.7799999999997</v>
      </c>
      <c r="F14" s="76">
        <f>'Kharif-Cereals U'!F14+'Rabi Cereals U'!F14</f>
        <v>2832.8199999999997</v>
      </c>
      <c r="G14" s="76">
        <f>'Kharif-Cereals U'!G14+'Rabi Cereals U'!G14</f>
        <v>6604</v>
      </c>
      <c r="H14" s="76">
        <f>'Kharif-Cereals U'!H14+'Rabi Cereals U'!H14</f>
        <v>6742.0910000000003</v>
      </c>
      <c r="I14" s="76">
        <f>'Kharif-Cereals U'!I14+'Rabi Cereals U'!I14</f>
        <v>6122.2976199999994</v>
      </c>
      <c r="J14" s="76">
        <f>'Kharif-Cereals U'!J14+'Rabi Cereals U'!J14</f>
        <v>7096.1611199999998</v>
      </c>
      <c r="K14" s="76">
        <f>'Kharif-Cereals U'!K14+'Rabi Cereals U'!K14</f>
        <v>7164.7728000000006</v>
      </c>
      <c r="L14" s="106">
        <f t="shared" si="1"/>
        <v>2309.090909090909</v>
      </c>
      <c r="M14" s="106">
        <f t="shared" si="2"/>
        <v>2383.2064333686817</v>
      </c>
      <c r="N14" s="106">
        <f t="shared" si="3"/>
        <v>2423.9907273598315</v>
      </c>
      <c r="O14" s="106">
        <f t="shared" si="4"/>
        <v>2483.9718564257664</v>
      </c>
      <c r="P14" s="106">
        <f t="shared" si="5"/>
        <v>2529.2015729908717</v>
      </c>
    </row>
    <row r="15" spans="1:16" ht="23.25" customHeight="1" x14ac:dyDescent="0.2">
      <c r="A15" s="199" t="s">
        <v>18</v>
      </c>
      <c r="B15" s="76">
        <f>'Kharif-Cereals U'!B15+'Rabi Cereals U'!B15</f>
        <v>4509</v>
      </c>
      <c r="C15" s="76">
        <f>'Kharif-Cereals U'!C15+'Rabi Cereals U'!C15</f>
        <v>4386</v>
      </c>
      <c r="D15" s="76">
        <f>'Kharif-Cereals U'!D15+'Rabi Cereals U'!D15</f>
        <v>4485.8999999999996</v>
      </c>
      <c r="E15" s="76">
        <f>'Kharif-Cereals U'!E15+'Rabi Cereals U'!E15</f>
        <v>4521.72</v>
      </c>
      <c r="F15" s="76">
        <f>'Kharif-Cereals U'!F15+'Rabi Cereals U'!F15</f>
        <v>4507.57</v>
      </c>
      <c r="G15" s="76">
        <f>'Kharif-Cereals U'!G15+'Rabi Cereals U'!G15</f>
        <v>17086.811999999998</v>
      </c>
      <c r="H15" s="76">
        <f>'Kharif-Cereals U'!H15+'Rabi Cereals U'!H15</f>
        <v>16122.476000000001</v>
      </c>
      <c r="I15" s="76">
        <f>'Kharif-Cereals U'!I15+'Rabi Cereals U'!I15</f>
        <v>18062.8655</v>
      </c>
      <c r="J15" s="76">
        <f>'Kharif-Cereals U'!J15+'Rabi Cereals U'!J15</f>
        <v>17799.087340000002</v>
      </c>
      <c r="K15" s="76">
        <f>'Kharif-Cereals U'!K15+'Rabi Cereals U'!K15</f>
        <v>18236.84376</v>
      </c>
      <c r="L15" s="106">
        <f t="shared" si="1"/>
        <v>3789.4903526280768</v>
      </c>
      <c r="M15" s="106">
        <f t="shared" si="2"/>
        <v>3675.8951208390336</v>
      </c>
      <c r="N15" s="106">
        <f t="shared" si="3"/>
        <v>4026.5867495931698</v>
      </c>
      <c r="O15" s="106">
        <f t="shared" si="4"/>
        <v>3936.3532770715574</v>
      </c>
      <c r="P15" s="106">
        <f t="shared" si="5"/>
        <v>4045.8259683155225</v>
      </c>
    </row>
    <row r="16" spans="1:16" ht="23.25" customHeight="1" x14ac:dyDescent="0.2">
      <c r="A16" s="199" t="s">
        <v>56</v>
      </c>
      <c r="B16" s="76">
        <f>'Kharif-Cereals U'!B16+'Rabi Cereals U'!B16</f>
        <v>742.71199999999999</v>
      </c>
      <c r="C16" s="76">
        <f>'Kharif-Cereals U'!C16+'Rabi Cereals U'!C16</f>
        <v>696.452</v>
      </c>
      <c r="D16" s="76">
        <f>'Kharif-Cereals U'!D16+'Rabi Cereals U'!D16</f>
        <v>704.76600000000008</v>
      </c>
      <c r="E16" s="76">
        <f>'Kharif-Cereals U'!E16+'Rabi Cereals U'!E16</f>
        <v>673.54600000000005</v>
      </c>
      <c r="F16" s="76">
        <f>'Kharif-Cereals U'!F16+'Rabi Cereals U'!F16</f>
        <v>692.97399999999993</v>
      </c>
      <c r="G16" s="76">
        <f>'Kharif-Cereals U'!G16+'Rabi Cereals U'!G16</f>
        <v>1677.2170000000001</v>
      </c>
      <c r="H16" s="76">
        <f>'Kharif-Cereals U'!H16+'Rabi Cereals U'!H16</f>
        <v>1430.7950000000001</v>
      </c>
      <c r="I16" s="76">
        <f>'Kharif-Cereals U'!I16+'Rabi Cereals U'!I16</f>
        <v>1447.0566799999999</v>
      </c>
      <c r="J16" s="76">
        <f>'Kharif-Cereals U'!J16+'Rabi Cereals U'!J16</f>
        <v>1474.9306899999999</v>
      </c>
      <c r="K16" s="76">
        <f>'Kharif-Cereals U'!K16+'Rabi Cereals U'!K16</f>
        <v>1475.304177</v>
      </c>
      <c r="L16" s="106">
        <f t="shared" si="1"/>
        <v>2258.2333394370903</v>
      </c>
      <c r="M16" s="106">
        <f t="shared" si="2"/>
        <v>2054.4057594780402</v>
      </c>
      <c r="N16" s="106">
        <f t="shared" si="3"/>
        <v>2053.2441689865855</v>
      </c>
      <c r="O16" s="106">
        <f t="shared" si="4"/>
        <v>2189.7994940211947</v>
      </c>
      <c r="P16" s="106">
        <f t="shared" si="5"/>
        <v>2128.9459301503375</v>
      </c>
    </row>
    <row r="17" spans="1:16" ht="23.25" customHeight="1" x14ac:dyDescent="0.2">
      <c r="A17" s="199" t="s">
        <v>19</v>
      </c>
      <c r="B17" s="76">
        <f>'Kharif-Cereals U'!B17+'Rabi Cereals U'!B17</f>
        <v>906.95</v>
      </c>
      <c r="C17" s="76">
        <f>'Kharif-Cereals U'!C17+'Rabi Cereals U'!C17</f>
        <v>900.0809999999999</v>
      </c>
      <c r="D17" s="76">
        <f>'Kharif-Cereals U'!D17+'Rabi Cereals U'!D17</f>
        <v>849.13499999999999</v>
      </c>
      <c r="E17" s="76">
        <f>'Kharif-Cereals U'!E17+'Rabi Cereals U'!E17</f>
        <v>818.30200000000002</v>
      </c>
      <c r="F17" s="76">
        <f>'Kharif-Cereals U'!F17+'Rabi Cereals U'!F17</f>
        <v>825.75299999999993</v>
      </c>
      <c r="G17" s="76">
        <f>'Kharif-Cereals U'!G17+'Rabi Cereals U'!G17</f>
        <v>1608.6867046666669</v>
      </c>
      <c r="H17" s="76">
        <f>'Kharif-Cereals U'!H17+'Rabi Cereals U'!H17</f>
        <v>1560.4262859999999</v>
      </c>
      <c r="I17" s="76">
        <f>'Kharif-Cereals U'!I17+'Rabi Cereals U'!I17</f>
        <v>1881.8920613333335</v>
      </c>
      <c r="J17" s="76">
        <f>'Kharif-Cereals U'!J17+'Rabi Cereals U'!J17</f>
        <v>1627.0380465799999</v>
      </c>
      <c r="K17" s="76">
        <f>'Kharif-Cereals U'!K17+'Rabi Cereals U'!K17</f>
        <v>1584.8728829999998</v>
      </c>
      <c r="L17" s="106">
        <f t="shared" si="1"/>
        <v>1773.7325152066453</v>
      </c>
      <c r="M17" s="106">
        <f t="shared" si="2"/>
        <v>1733.6509558584173</v>
      </c>
      <c r="N17" s="106">
        <f t="shared" si="3"/>
        <v>2216.2460166326127</v>
      </c>
      <c r="O17" s="106">
        <f t="shared" si="4"/>
        <v>1988.3099962849899</v>
      </c>
      <c r="P17" s="106">
        <f t="shared" si="5"/>
        <v>1919.3062368529088</v>
      </c>
    </row>
    <row r="18" spans="1:16" ht="23.25" customHeight="1" x14ac:dyDescent="0.2">
      <c r="A18" s="199" t="s">
        <v>83</v>
      </c>
      <c r="B18" s="76">
        <f>'Kharif-Cereals U'!B18+'Rabi Cereals U'!B18</f>
        <v>2248.13</v>
      </c>
      <c r="C18" s="76">
        <f>'Kharif-Cereals U'!C18+'Rabi Cereals U'!C18</f>
        <v>2274.0280000000002</v>
      </c>
      <c r="D18" s="76">
        <f>'Kharif-Cereals U'!D18+'Rabi Cereals U'!D18</f>
        <v>1968.242</v>
      </c>
      <c r="E18" s="76">
        <f>'Kharif-Cereals U'!E18+'Rabi Cereals U'!E18</f>
        <v>1845.944</v>
      </c>
      <c r="F18" s="76">
        <f>'Kharif-Cereals U'!F18+'Rabi Cereals U'!F18</f>
        <v>1962.68</v>
      </c>
      <c r="G18" s="76">
        <f>'Kharif-Cereals U'!G18+'Rabi Cereals U'!G18</f>
        <v>4857.8696</v>
      </c>
      <c r="H18" s="76">
        <f>'Kharif-Cereals U'!H18+'Rabi Cereals U'!H18</f>
        <v>5164.5738359000006</v>
      </c>
      <c r="I18" s="76">
        <f>'Kharif-Cereals U'!I18+'Rabi Cereals U'!I18</f>
        <v>3664.5295990000004</v>
      </c>
      <c r="J18" s="76">
        <f>'Kharif-Cereals U'!J18+'Rabi Cereals U'!J18</f>
        <v>3977.3612290000001</v>
      </c>
      <c r="K18" s="76">
        <f>'Kharif-Cereals U'!K18+'Rabi Cereals U'!K18</f>
        <v>3966.3375419999998</v>
      </c>
      <c r="L18" s="106">
        <f t="shared" si="1"/>
        <v>2160.8490612197688</v>
      </c>
      <c r="M18" s="106">
        <f t="shared" si="2"/>
        <v>2271.1126845843587</v>
      </c>
      <c r="N18" s="106">
        <f t="shared" si="3"/>
        <v>1861.8287786766061</v>
      </c>
      <c r="O18" s="106">
        <f t="shared" si="4"/>
        <v>2154.6489108011942</v>
      </c>
      <c r="P18" s="106">
        <f t="shared" si="5"/>
        <v>2020.878361220372</v>
      </c>
    </row>
    <row r="19" spans="1:16" ht="23.25" customHeight="1" x14ac:dyDescent="0.2">
      <c r="A19" s="199" t="s">
        <v>5</v>
      </c>
      <c r="B19" s="76">
        <f>'Kharif-Cereals U'!B19+'Rabi Cereals U'!B19</f>
        <v>4381</v>
      </c>
      <c r="C19" s="76">
        <f>'Kharif-Cereals U'!C19+'Rabi Cereals U'!C19</f>
        <v>4624</v>
      </c>
      <c r="D19" s="76">
        <f>'Kharif-Cereals U'!D19+'Rabi Cereals U'!D19</f>
        <v>4302.3600000000006</v>
      </c>
      <c r="E19" s="76">
        <f>'Kharif-Cereals U'!E19+'Rabi Cereals U'!E19</f>
        <v>4597.6000000000004</v>
      </c>
      <c r="F19" s="76">
        <f>'Kharif-Cereals U'!F19+'Rabi Cereals U'!F19</f>
        <v>5109.1000000000004</v>
      </c>
      <c r="G19" s="76">
        <f>'Kharif-Cereals U'!G19+'Rabi Cereals U'!G19</f>
        <v>8056.8153999999995</v>
      </c>
      <c r="H19" s="76">
        <f>'Kharif-Cereals U'!H19+'Rabi Cereals U'!H19</f>
        <v>9839.9789000000001</v>
      </c>
      <c r="I19" s="76">
        <f>'Kharif-Cereals U'!I19+'Rabi Cereals U'!I19</f>
        <v>9114.49532</v>
      </c>
      <c r="J19" s="76">
        <f>'Kharif-Cereals U'!J19+'Rabi Cereals U'!J19</f>
        <v>10627.804199999999</v>
      </c>
      <c r="K19" s="76">
        <f>'Kharif-Cereals U'!K19+'Rabi Cereals U'!K19</f>
        <v>12485.034299999999</v>
      </c>
      <c r="L19" s="106">
        <f t="shared" si="1"/>
        <v>1839.0356996119606</v>
      </c>
      <c r="M19" s="106">
        <f t="shared" si="2"/>
        <v>2128.0231185121106</v>
      </c>
      <c r="N19" s="106">
        <f t="shared" si="3"/>
        <v>2118.4873697226635</v>
      </c>
      <c r="O19" s="106">
        <f t="shared" si="4"/>
        <v>2311.59826866191</v>
      </c>
      <c r="P19" s="106">
        <f t="shared" si="5"/>
        <v>2443.6856393493958</v>
      </c>
    </row>
    <row r="20" spans="1:16" ht="23.25" customHeight="1" x14ac:dyDescent="0.2">
      <c r="A20" s="199" t="s">
        <v>17</v>
      </c>
      <c r="B20" s="76">
        <f>'Kharif-Cereals U'!B20+'Rabi Cereals U'!B20</f>
        <v>171.637</v>
      </c>
      <c r="C20" s="76">
        <f>'Kharif-Cereals U'!C20+'Rabi Cereals U'!C20</f>
        <v>189.4537</v>
      </c>
      <c r="D20" s="76">
        <f>'Kharif-Cereals U'!D20+'Rabi Cereals U'!D20</f>
        <v>198.60700000000006</v>
      </c>
      <c r="E20" s="76">
        <f>'Kharif-Cereals U'!E20+'Rabi Cereals U'!E20</f>
        <v>198.84800000000001</v>
      </c>
      <c r="F20" s="76">
        <f>'Kharif-Cereals U'!F20+'Rabi Cereals U'!F20</f>
        <v>205.65899999999999</v>
      </c>
      <c r="G20" s="76">
        <f>'Kharif-Cereals U'!G20+'Rabi Cereals U'!G20</f>
        <v>437.32599999999996</v>
      </c>
      <c r="H20" s="76">
        <f>'Kharif-Cereals U'!H20+'Rabi Cereals U'!H20</f>
        <v>521.72150679999993</v>
      </c>
      <c r="I20" s="76">
        <f>'Kharif-Cereals U'!I20+'Rabi Cereals U'!I20</f>
        <v>578.87536060000014</v>
      </c>
      <c r="J20" s="76">
        <f>'Kharif-Cereals U'!J20+'Rabi Cereals U'!J20</f>
        <v>606.24731300000008</v>
      </c>
      <c r="K20" s="76">
        <f>'Kharif-Cereals U'!K20+'Rabi Cereals U'!K20</f>
        <v>634.45448643781594</v>
      </c>
      <c r="L20" s="106">
        <f t="shared" si="1"/>
        <v>2547.9704259571067</v>
      </c>
      <c r="M20" s="106">
        <f t="shared" si="2"/>
        <v>2753.8206263588409</v>
      </c>
      <c r="N20" s="106">
        <f t="shared" si="3"/>
        <v>2914.677532010453</v>
      </c>
      <c r="O20" s="106">
        <f t="shared" si="4"/>
        <v>3048.7976394029611</v>
      </c>
      <c r="P20" s="106">
        <f t="shared" si="5"/>
        <v>3084.9828426561248</v>
      </c>
    </row>
    <row r="21" spans="1:16" ht="23.25" customHeight="1" x14ac:dyDescent="0.2">
      <c r="A21" s="199" t="s">
        <v>6</v>
      </c>
      <c r="B21" s="76">
        <f>'Kharif-Cereals U'!B21+'Rabi Cereals U'!B21</f>
        <v>10403.6</v>
      </c>
      <c r="C21" s="76">
        <f>'Kharif-Cereals U'!C21+'Rabi Cereals U'!C21</f>
        <v>9562</v>
      </c>
      <c r="D21" s="76">
        <f>'Kharif-Cereals U'!D21+'Rabi Cereals U'!D21</f>
        <v>9752</v>
      </c>
      <c r="E21" s="76">
        <f>'Kharif-Cereals U'!E21+'Rabi Cereals U'!E21</f>
        <v>10488.89</v>
      </c>
      <c r="F21" s="76">
        <f>'Kharif-Cereals U'!F21+'Rabi Cereals U'!F21</f>
        <v>10147</v>
      </c>
      <c r="G21" s="76">
        <f>'Kharif-Cereals U'!G21+'Rabi Cereals U'!G21</f>
        <v>26933.090733333334</v>
      </c>
      <c r="H21" s="76">
        <f>'Kharif-Cereals U'!H21+'Rabi Cereals U'!H21</f>
        <v>25338.806833333336</v>
      </c>
      <c r="I21" s="76">
        <f>'Kharif-Cereals U'!I21+'Rabi Cereals U'!I21</f>
        <v>26163.304436649967</v>
      </c>
      <c r="J21" s="76">
        <f>'Kharif-Cereals U'!J21+'Rabi Cereals U'!J21</f>
        <v>29414.717909999999</v>
      </c>
      <c r="K21" s="76">
        <f>'Kharif-Cereals U'!K21+'Rabi Cereals U'!K21</f>
        <v>27549.531000000003</v>
      </c>
      <c r="L21" s="106">
        <f t="shared" si="1"/>
        <v>2588.8241313904159</v>
      </c>
      <c r="M21" s="106">
        <f t="shared" si="2"/>
        <v>2649.9484243184834</v>
      </c>
      <c r="N21" s="106">
        <f t="shared" si="3"/>
        <v>2682.8655082700948</v>
      </c>
      <c r="O21" s="106">
        <f t="shared" si="4"/>
        <v>2804.3689951939627</v>
      </c>
      <c r="P21" s="106">
        <f t="shared" si="5"/>
        <v>2715.0419828520749</v>
      </c>
    </row>
    <row r="22" spans="1:16" ht="23.25" customHeight="1" x14ac:dyDescent="0.2">
      <c r="A22" s="199" t="s">
        <v>7</v>
      </c>
      <c r="B22" s="76">
        <f>'Kharif-Cereals U'!B22+'Rabi Cereals U'!B22</f>
        <v>8019.0999999999995</v>
      </c>
      <c r="C22" s="76">
        <f>'Kharif-Cereals U'!C22+'Rabi Cereals U'!C22</f>
        <v>6717.3</v>
      </c>
      <c r="D22" s="76">
        <f>'Kharif-Cereals U'!D22+'Rabi Cereals U'!D22</f>
        <v>5619.37</v>
      </c>
      <c r="E22" s="76">
        <f>'Kharif-Cereals U'!E22+'Rabi Cereals U'!E22</f>
        <v>6833.869999999999</v>
      </c>
      <c r="F22" s="76">
        <f>'Kharif-Cereals U'!F22+'Rabi Cereals U'!F22</f>
        <v>6816.9599999999991</v>
      </c>
      <c r="G22" s="76">
        <f>'Kharif-Cereals U'!G22+'Rabi Cereals U'!G22</f>
        <v>11563.570964999999</v>
      </c>
      <c r="H22" s="76">
        <f>'Kharif-Cereals U'!H22+'Rabi Cereals U'!H22</f>
        <v>9898.915500000001</v>
      </c>
      <c r="I22" s="76">
        <f>'Kharif-Cereals U'!I22+'Rabi Cereals U'!I22</f>
        <v>7621.5628500000003</v>
      </c>
      <c r="J22" s="76">
        <f>'Kharif-Cereals U'!J22+'Rabi Cereals U'!J22</f>
        <v>9083.8578899999993</v>
      </c>
      <c r="K22" s="76">
        <f>'Kharif-Cereals U'!K22+'Rabi Cereals U'!K22</f>
        <v>11444.85253</v>
      </c>
      <c r="L22" s="106">
        <f t="shared" si="1"/>
        <v>1442.003587060892</v>
      </c>
      <c r="M22" s="106">
        <f t="shared" si="2"/>
        <v>1473.6449912911437</v>
      </c>
      <c r="N22" s="106">
        <f t="shared" si="3"/>
        <v>1356.3020142827399</v>
      </c>
      <c r="O22" s="106">
        <f t="shared" si="4"/>
        <v>1329.2406630503656</v>
      </c>
      <c r="P22" s="106">
        <f t="shared" si="5"/>
        <v>1678.8792262240063</v>
      </c>
    </row>
    <row r="23" spans="1:16" ht="23.25" customHeight="1" x14ac:dyDescent="0.2">
      <c r="A23" s="199" t="s">
        <v>29</v>
      </c>
      <c r="B23" s="76">
        <f>'Kharif-Cereals U'!B23+'Rabi Cereals U'!B23</f>
        <v>273.05</v>
      </c>
      <c r="C23" s="76">
        <f>'Kharif-Cereals U'!C23+'Rabi Cereals U'!C23</f>
        <v>265.89</v>
      </c>
      <c r="D23" s="76">
        <f>'Kharif-Cereals U'!D23+'Rabi Cereals U'!D23</f>
        <v>262.16999999999996</v>
      </c>
      <c r="E23" s="76">
        <f>'Kharif-Cereals U'!E23+'Rabi Cereals U'!E23</f>
        <v>180.11679999999998</v>
      </c>
      <c r="F23" s="76">
        <f>'Kharif-Cereals U'!F23+'Rabi Cereals U'!F23</f>
        <v>253.60000000000002</v>
      </c>
      <c r="G23" s="76">
        <f>'Kharif-Cereals U'!G23+'Rabi Cereals U'!G23</f>
        <v>494.82</v>
      </c>
      <c r="H23" s="76">
        <f>'Kharif-Cereals U'!H23+'Rabi Cereals U'!H23</f>
        <v>676.50738000000001</v>
      </c>
      <c r="I23" s="76">
        <f>'Kharif-Cereals U'!I23+'Rabi Cereals U'!I23</f>
        <v>465.51747999999986</v>
      </c>
      <c r="J23" s="76">
        <f>'Kharif-Cereals U'!J23+'Rabi Cereals U'!J23</f>
        <v>396.19363039999996</v>
      </c>
      <c r="K23" s="76">
        <f>'Kharif-Cereals U'!K23+'Rabi Cereals U'!K23</f>
        <v>667.71493999999996</v>
      </c>
      <c r="L23" s="106">
        <f t="shared" si="1"/>
        <v>1812.1955685771836</v>
      </c>
      <c r="M23" s="106">
        <f t="shared" si="2"/>
        <v>2544.3129865733949</v>
      </c>
      <c r="N23" s="106">
        <f t="shared" si="3"/>
        <v>1775.6321470801386</v>
      </c>
      <c r="O23" s="106">
        <f t="shared" si="4"/>
        <v>2199.6483970401428</v>
      </c>
      <c r="P23" s="106">
        <f t="shared" si="5"/>
        <v>2632.945347003154</v>
      </c>
    </row>
    <row r="24" spans="1:16" ht="23.25" customHeight="1" x14ac:dyDescent="0.2">
      <c r="A24" s="199" t="s">
        <v>26</v>
      </c>
      <c r="B24" s="76">
        <f>'Kharif-Cereals U'!B24+'Rabi Cereals U'!B24</f>
        <v>132.70999999999998</v>
      </c>
      <c r="C24" s="76">
        <f>'Kharif-Cereals U'!C24+'Rabi Cereals U'!C24</f>
        <v>132.67699999999999</v>
      </c>
      <c r="D24" s="76">
        <f>'Kharif-Cereals U'!D24+'Rabi Cereals U'!D24</f>
        <v>132.459</v>
      </c>
      <c r="E24" s="76">
        <f>'Kharif-Cereals U'!E24+'Rabi Cereals U'!E24</f>
        <v>132.50399999999999</v>
      </c>
      <c r="F24" s="76">
        <f>'Kharif-Cereals U'!F24+'Rabi Cereals U'!F24</f>
        <v>129.13900000000001</v>
      </c>
      <c r="G24" s="76">
        <f>'Kharif-Cereals U'!G24+'Rabi Cereals U'!G24</f>
        <v>248.24333333333334</v>
      </c>
      <c r="H24" s="76">
        <f>'Kharif-Cereals U'!H24+'Rabi Cereals U'!H24</f>
        <v>349.84452799999997</v>
      </c>
      <c r="I24" s="76">
        <f>'Kharif-Cereals U'!I24+'Rabi Cereals U'!I24</f>
        <v>247.28310066666668</v>
      </c>
      <c r="J24" s="76">
        <f>'Kharif-Cereals U'!J24+'Rabi Cereals U'!J24</f>
        <v>348.80896999999993</v>
      </c>
      <c r="K24" s="76">
        <f>'Kharif-Cereals U'!K24+'Rabi Cereals U'!K24</f>
        <v>341.29303000000004</v>
      </c>
      <c r="L24" s="106">
        <f t="shared" si="1"/>
        <v>1870.5699143495847</v>
      </c>
      <c r="M24" s="106">
        <f t="shared" si="2"/>
        <v>2636.8136753167464</v>
      </c>
      <c r="N24" s="106">
        <f t="shared" si="3"/>
        <v>1866.8652237044419</v>
      </c>
      <c r="O24" s="106">
        <f t="shared" si="4"/>
        <v>2632.4410583831427</v>
      </c>
      <c r="P24" s="106">
        <f t="shared" si="5"/>
        <v>2642.8346974964961</v>
      </c>
    </row>
    <row r="25" spans="1:16" ht="23.25" customHeight="1" x14ac:dyDescent="0.2">
      <c r="A25" s="199" t="s">
        <v>30</v>
      </c>
      <c r="B25" s="76">
        <f>'Kharif-Cereals U'!B25+'Rabi Cereals U'!B25</f>
        <v>42.637</v>
      </c>
      <c r="C25" s="76">
        <f>'Kharif-Cereals U'!C25+'Rabi Cereals U'!C25</f>
        <v>42.093400000000003</v>
      </c>
      <c r="D25" s="76">
        <f>'Kharif-Cereals U'!D25+'Rabi Cereals U'!D25</f>
        <v>41.713000000000001</v>
      </c>
      <c r="E25" s="76">
        <f>'Kharif-Cereals U'!E25+'Rabi Cereals U'!E25</f>
        <v>41.563000000000002</v>
      </c>
      <c r="F25" s="76">
        <f>'Kharif-Cereals U'!F25+'Rabi Cereals U'!F25</f>
        <v>42.191999999999993</v>
      </c>
      <c r="G25" s="76">
        <f>'Kharif-Cereals U'!G25+'Rabi Cereals U'!G25</f>
        <v>70.427000000000007</v>
      </c>
      <c r="H25" s="76">
        <f>'Kharif-Cereals U'!H25+'Rabi Cereals U'!H25</f>
        <v>69.076000000000008</v>
      </c>
      <c r="I25" s="76">
        <f>'Kharif-Cereals U'!I25+'Rabi Cereals U'!I25</f>
        <v>70.97999999999999</v>
      </c>
      <c r="J25" s="76">
        <f>'Kharif-Cereals U'!J25+'Rabi Cereals U'!J25</f>
        <v>70.97999999999999</v>
      </c>
      <c r="K25" s="76">
        <f>'Kharif-Cereals U'!K25+'Rabi Cereals U'!K25</f>
        <v>74.742097999999999</v>
      </c>
      <c r="L25" s="106">
        <f t="shared" si="1"/>
        <v>1651.7813166967658</v>
      </c>
      <c r="M25" s="106">
        <f t="shared" si="2"/>
        <v>1641.0173566402336</v>
      </c>
      <c r="N25" s="106">
        <f t="shared" si="3"/>
        <v>1701.6277898976334</v>
      </c>
      <c r="O25" s="106">
        <f t="shared" si="4"/>
        <v>1707.7689290955896</v>
      </c>
      <c r="P25" s="106">
        <f t="shared" si="5"/>
        <v>1771.4755877891546</v>
      </c>
    </row>
    <row r="26" spans="1:16" ht="23.25" customHeight="1" x14ac:dyDescent="0.2">
      <c r="A26" s="199" t="s">
        <v>20</v>
      </c>
      <c r="B26" s="76">
        <f>'Kharif-Cereals U'!B26+'Rabi Cereals U'!B26</f>
        <v>290.85000000000002</v>
      </c>
      <c r="C26" s="76">
        <f>'Kharif-Cereals U'!C26+'Rabi Cereals U'!C26</f>
        <v>296.8</v>
      </c>
      <c r="D26" s="76">
        <f>'Kharif-Cereals U'!D26+'Rabi Cereals U'!D26</f>
        <v>297.66000000000003</v>
      </c>
      <c r="E26" s="76">
        <f>'Kharif-Cereals U'!E26+'Rabi Cereals U'!E26</f>
        <v>300.24</v>
      </c>
      <c r="F26" s="76">
        <f>'Kharif-Cereals U'!F26+'Rabi Cereals U'!F26</f>
        <v>302.16000000000003</v>
      </c>
      <c r="G26" s="76">
        <f>'Kharif-Cereals U'!G26+'Rabi Cereals U'!G26</f>
        <v>492.42666666666668</v>
      </c>
      <c r="H26" s="76">
        <f>'Kharif-Cereals U'!H26+'Rabi Cereals U'!H26</f>
        <v>506.23116666666664</v>
      </c>
      <c r="I26" s="76">
        <f>'Kharif-Cereals U'!I26+'Rabi Cereals U'!I26</f>
        <v>511.73050333333327</v>
      </c>
      <c r="J26" s="76">
        <f>'Kharif-Cereals U'!J26+'Rabi Cereals U'!J26</f>
        <v>518.64074333333338</v>
      </c>
      <c r="K26" s="76">
        <f>'Kharif-Cereals U'!K26+'Rabi Cereals U'!K26</f>
        <v>523.09985000000006</v>
      </c>
      <c r="L26" s="106">
        <f t="shared" si="1"/>
        <v>1693.0605695948655</v>
      </c>
      <c r="M26" s="106">
        <f t="shared" si="2"/>
        <v>1705.6306154537283</v>
      </c>
      <c r="N26" s="106">
        <f t="shared" si="3"/>
        <v>1719.1779323165129</v>
      </c>
      <c r="O26" s="106">
        <f t="shared" si="4"/>
        <v>1727.4205413447021</v>
      </c>
      <c r="P26" s="106">
        <f t="shared" si="5"/>
        <v>1731.2015157532435</v>
      </c>
    </row>
    <row r="27" spans="1:16" ht="23.25" customHeight="1" x14ac:dyDescent="0.2">
      <c r="A27" s="199" t="s">
        <v>107</v>
      </c>
      <c r="B27" s="76">
        <f>'Kharif-Cereals U'!B27+'Rabi Cereals U'!B27</f>
        <v>4008.9199999999996</v>
      </c>
      <c r="C27" s="76">
        <f>'Kharif-Cereals U'!C27+'Rabi Cereals U'!C27</f>
        <v>3892.55</v>
      </c>
      <c r="D27" s="76">
        <f>'Kharif-Cereals U'!D27+'Rabi Cereals U'!D27</f>
        <v>3990.42</v>
      </c>
      <c r="E27" s="76">
        <f>'Kharif-Cereals U'!E27+'Rabi Cereals U'!E27</f>
        <v>4082.3399999999997</v>
      </c>
      <c r="F27" s="76">
        <f>'Kharif-Cereals U'!F27+'Rabi Cereals U'!F27</f>
        <v>4199.67</v>
      </c>
      <c r="G27" s="76">
        <f>'Kharif-Cereals U'!G27+'Rabi Cereals U'!G27</f>
        <v>8582.23</v>
      </c>
      <c r="H27" s="76">
        <f>'Kharif-Cereals U'!H27+'Rabi Cereals U'!H27</f>
        <v>6721.6531300000006</v>
      </c>
      <c r="I27" s="76">
        <f>'Kharif-Cereals U'!I27+'Rabi Cereals U'!I27</f>
        <v>7903.1147499999988</v>
      </c>
      <c r="J27" s="76">
        <f>'Kharif-Cereals U'!J27+'Rabi Cereals U'!J27</f>
        <v>8597.5942799999993</v>
      </c>
      <c r="K27" s="76">
        <f>'Kharif-Cereals U'!K27+'Rabi Cereals U'!K27</f>
        <v>9092.3993800000007</v>
      </c>
      <c r="L27" s="106">
        <f t="shared" si="1"/>
        <v>2140.7835526775293</v>
      </c>
      <c r="M27" s="106">
        <f t="shared" si="2"/>
        <v>1726.799432248783</v>
      </c>
      <c r="N27" s="106">
        <f t="shared" si="3"/>
        <v>1980.522037780484</v>
      </c>
      <c r="O27" s="106">
        <f t="shared" si="4"/>
        <v>2106.045620893899</v>
      </c>
      <c r="P27" s="106">
        <f t="shared" si="5"/>
        <v>2165.0271045105924</v>
      </c>
    </row>
    <row r="28" spans="1:16" ht="23.25" customHeight="1" x14ac:dyDescent="0.2">
      <c r="A28" s="199" t="s">
        <v>21</v>
      </c>
      <c r="B28" s="76">
        <f>'Kharif-Cereals U'!B28+'Rabi Cereals U'!B28</f>
        <v>6518.5</v>
      </c>
      <c r="C28" s="76">
        <f>'Kharif-Cereals U'!C28+'Rabi Cereals U'!C28</f>
        <v>6699.7</v>
      </c>
      <c r="D28" s="76">
        <f>'Kharif-Cereals U'!D28+'Rabi Cereals U'!D28</f>
        <v>6739.9</v>
      </c>
      <c r="E28" s="76">
        <f>'Kharif-Cereals U'!E28+'Rabi Cereals U'!E28</f>
        <v>6562.2999999999993</v>
      </c>
      <c r="F28" s="76">
        <f>'Kharif-Cereals U'!F28+'Rabi Cereals U'!F28</f>
        <v>6572.5</v>
      </c>
      <c r="G28" s="76">
        <f>'Kharif-Cereals U'!G28+'Rabi Cereals U'!G28</f>
        <v>28503.883999999998</v>
      </c>
      <c r="H28" s="76">
        <f>'Kharif-Cereals U'!H28+'Rabi Cereals U'!H28</f>
        <v>31665.4</v>
      </c>
      <c r="I28" s="76">
        <f>'Kharif-Cereals U'!I28+'Rabi Cereals U'!I28</f>
        <v>31504.676699999996</v>
      </c>
      <c r="J28" s="76">
        <f>'Kharif-Cereals U'!J28+'Rabi Cereals U'!J28</f>
        <v>29828.135899999997</v>
      </c>
      <c r="K28" s="76">
        <f>'Kharif-Cereals U'!K28+'Rabi Cereals U'!K28</f>
        <v>30387.262499999997</v>
      </c>
      <c r="L28" s="106">
        <f t="shared" si="1"/>
        <v>4372.7673544527115</v>
      </c>
      <c r="M28" s="106">
        <f t="shared" si="2"/>
        <v>4726.3907339134594</v>
      </c>
      <c r="N28" s="106">
        <f t="shared" si="3"/>
        <v>4674.3537292838173</v>
      </c>
      <c r="O28" s="106">
        <f t="shared" si="4"/>
        <v>4545.3782820047854</v>
      </c>
      <c r="P28" s="106">
        <f t="shared" si="5"/>
        <v>4623.394826930391</v>
      </c>
    </row>
    <row r="29" spans="1:16" ht="23.25" customHeight="1" x14ac:dyDescent="0.2">
      <c r="A29" s="199" t="s">
        <v>22</v>
      </c>
      <c r="B29" s="76">
        <f>'Kharif-Cereals U'!B29+'Rabi Cereals U'!B29</f>
        <v>8966.6680000000015</v>
      </c>
      <c r="C29" s="76">
        <f>'Kharif-Cereals U'!C29+'Rabi Cereals U'!C29</f>
        <v>8907.2359999999971</v>
      </c>
      <c r="D29" s="76">
        <f>'Kharif-Cereals U'!D29+'Rabi Cereals U'!D29</f>
        <v>8903.5780000000013</v>
      </c>
      <c r="E29" s="76">
        <f>'Kharif-Cereals U'!E29+'Rabi Cereals U'!E29</f>
        <v>9470</v>
      </c>
      <c r="F29" s="76">
        <f>'Kharif-Cereals U'!F29+'Rabi Cereals U'!F29</f>
        <v>9410.902</v>
      </c>
      <c r="G29" s="76">
        <f>'Kharif-Cereals U'!G29+'Rabi Cereals U'!G29</f>
        <v>16172.442332000001</v>
      </c>
      <c r="H29" s="76">
        <f>'Kharif-Cereals U'!H29+'Rabi Cereals U'!H29</f>
        <v>16551.630349999999</v>
      </c>
      <c r="I29" s="76">
        <f>'Kharif-Cereals U'!I29+'Rabi Cereals U'!I29</f>
        <v>17529.384557999998</v>
      </c>
      <c r="J29" s="76">
        <f>'Kharif-Cereals U'!J29+'Rabi Cereals U'!J29</f>
        <v>18729.933570000001</v>
      </c>
      <c r="K29" s="76">
        <f>'Kharif-Cereals U'!K29+'Rabi Cereals U'!K29</f>
        <v>20030.296841831001</v>
      </c>
      <c r="L29" s="106">
        <f t="shared" si="1"/>
        <v>1803.6178357445597</v>
      </c>
      <c r="M29" s="106">
        <f t="shared" si="2"/>
        <v>1858.222949296505</v>
      </c>
      <c r="N29" s="106">
        <f t="shared" si="3"/>
        <v>1968.802267807391</v>
      </c>
      <c r="O29" s="106">
        <f t="shared" si="4"/>
        <v>1977.8176948257658</v>
      </c>
      <c r="P29" s="106">
        <f t="shared" si="5"/>
        <v>2128.414135205212</v>
      </c>
    </row>
    <row r="30" spans="1:16" ht="23.25" customHeight="1" x14ac:dyDescent="0.2">
      <c r="A30" s="199" t="s">
        <v>84</v>
      </c>
      <c r="B30" s="76">
        <f>'Kharif-Cereals U'!B30+'Rabi Cereals U'!B30</f>
        <v>57.021999999999998</v>
      </c>
      <c r="C30" s="76">
        <f>'Kharif-Cereals U'!C30+'Rabi Cereals U'!C30</f>
        <v>51.019999999999996</v>
      </c>
      <c r="D30" s="76">
        <f>'Kharif-Cereals U'!D30+'Rabi Cereals U'!D30</f>
        <v>50.096999999999994</v>
      </c>
      <c r="E30" s="76">
        <f>'Kharif-Cereals U'!E30+'Rabi Cereals U'!E30</f>
        <v>49.92</v>
      </c>
      <c r="F30" s="76">
        <f>'Kharif-Cereals U'!F30+'Rabi Cereals U'!F30</f>
        <v>49.596000000000004</v>
      </c>
      <c r="G30" s="76">
        <f>'Kharif-Cereals U'!G30+'Rabi Cereals U'!G30</f>
        <v>95.875</v>
      </c>
      <c r="H30" s="76">
        <f>'Kharif-Cereals U'!H30+'Rabi Cereals U'!H30</f>
        <v>88.770509000000004</v>
      </c>
      <c r="I30" s="76">
        <f>'Kharif-Cereals U'!I30+'Rabi Cereals U'!I30</f>
        <v>87.171543</v>
      </c>
      <c r="J30" s="76">
        <f>'Kharif-Cereals U'!J30+'Rabi Cereals U'!J30</f>
        <v>87.049847999999997</v>
      </c>
      <c r="K30" s="76">
        <f>'Kharif-Cereals U'!K30+'Rabi Cereals U'!K30</f>
        <v>86.80091800000001</v>
      </c>
      <c r="L30" s="106">
        <f t="shared" si="1"/>
        <v>1681.3685945775317</v>
      </c>
      <c r="M30" s="106">
        <f t="shared" si="2"/>
        <v>1739.9158957271661</v>
      </c>
      <c r="N30" s="106">
        <f t="shared" si="3"/>
        <v>1740.0551530031739</v>
      </c>
      <c r="O30" s="106">
        <f t="shared" si="4"/>
        <v>1743.7870192307691</v>
      </c>
      <c r="P30" s="106">
        <f t="shared" si="5"/>
        <v>1750.1596499717721</v>
      </c>
    </row>
    <row r="31" spans="1:16" ht="23.25" customHeight="1" x14ac:dyDescent="0.2">
      <c r="A31" s="199" t="s">
        <v>11</v>
      </c>
      <c r="B31" s="76">
        <f>'Kharif-Cereals U'!B31+'Rabi Cereals U'!B31</f>
        <v>2160.83</v>
      </c>
      <c r="C31" s="76">
        <f>'Kharif-Cereals U'!C31+'Rabi Cereals U'!C31</f>
        <v>2713.8733900000002</v>
      </c>
      <c r="D31" s="76">
        <f>'Kharif-Cereals U'!D31+'Rabi Cereals U'!D31</f>
        <v>2645.4</v>
      </c>
      <c r="E31" s="76">
        <f>'Kharif-Cereals U'!E31+'Rabi Cereals U'!E31</f>
        <v>2868.8499999999995</v>
      </c>
      <c r="F31" s="76">
        <f>'Kharif-Cereals U'!F31+'Rabi Cereals U'!F31</f>
        <v>3016.67</v>
      </c>
      <c r="G31" s="76">
        <f>'Kharif-Cereals U'!G31+'Rabi Cereals U'!G31</f>
        <v>3714.56</v>
      </c>
      <c r="H31" s="76">
        <f>'Kharif-Cereals U'!H31+'Rabi Cereals U'!H31</f>
        <v>10157.221906160001</v>
      </c>
      <c r="I31" s="76">
        <f>'Kharif-Cereals U'!I31+'Rabi Cereals U'!I31</f>
        <v>9838.9088908154299</v>
      </c>
      <c r="J31" s="76">
        <f>'Kharif-Cereals U'!J31+'Rabi Cereals U'!J31</f>
        <v>10664.372108453241</v>
      </c>
      <c r="K31" s="76">
        <f>'Kharif-Cereals U'!K31+'Rabi Cereals U'!K31</f>
        <v>10351.153292907062</v>
      </c>
      <c r="L31" s="106">
        <f t="shared" si="1"/>
        <v>1719.0431454579953</v>
      </c>
      <c r="M31" s="106">
        <f t="shared" si="2"/>
        <v>3742.7029365434032</v>
      </c>
      <c r="N31" s="106">
        <f t="shared" si="3"/>
        <v>3719.2518677006992</v>
      </c>
      <c r="O31" s="106">
        <f t="shared" si="4"/>
        <v>3717.2986069167932</v>
      </c>
      <c r="P31" s="106">
        <f t="shared" si="5"/>
        <v>3431.3177420490347</v>
      </c>
    </row>
    <row r="32" spans="1:16" ht="23.25" customHeight="1" x14ac:dyDescent="0.2">
      <c r="A32" s="199" t="s">
        <v>109</v>
      </c>
      <c r="B32" s="76">
        <f>'Kharif-Cereals U'!B32+'Rabi Cereals U'!B32</f>
        <v>2598.17</v>
      </c>
      <c r="C32" s="76">
        <f>'Kharif-Cereals U'!C32+'Rabi Cereals U'!C32</f>
        <v>2673</v>
      </c>
      <c r="D32" s="76">
        <f>'Kharif-Cereals U'!D32+'Rabi Cereals U'!D32</f>
        <v>2545</v>
      </c>
      <c r="E32" s="76">
        <f>'Kharif-Cereals U'!E32+'Rabi Cereals U'!E32</f>
        <v>2677</v>
      </c>
      <c r="F32" s="76">
        <f>'Kharif-Cereals U'!F32+'Rabi Cereals U'!F32</f>
        <v>3553.4</v>
      </c>
      <c r="G32" s="76">
        <f>'Kharif-Cereals U'!G32+'Rabi Cereals U'!G32</f>
        <v>7948.6337299999996</v>
      </c>
      <c r="H32" s="76">
        <f>'Kharif-Cereals U'!H32+'Rabi Cereals U'!H32</f>
        <v>8907.0737499999996</v>
      </c>
      <c r="I32" s="76">
        <f>'Kharif-Cereals U'!I32+'Rabi Cereals U'!I32</f>
        <v>8835.112000000001</v>
      </c>
      <c r="J32" s="76">
        <f>'Kharif-Cereals U'!J32+'Rabi Cereals U'!J32</f>
        <v>10575.864300000001</v>
      </c>
      <c r="K32" s="76">
        <f>'Kharif-Cereals U'!K32+'Rabi Cereals U'!K32</f>
        <v>12155.874400000001</v>
      </c>
      <c r="L32" s="106">
        <f t="shared" si="1"/>
        <v>3059.320109923523</v>
      </c>
      <c r="M32" s="106">
        <f t="shared" si="2"/>
        <v>3332.2385895997004</v>
      </c>
      <c r="N32" s="106">
        <f t="shared" si="3"/>
        <v>3471.5567779960711</v>
      </c>
      <c r="O32" s="106">
        <f t="shared" si="4"/>
        <v>3950.6403810235342</v>
      </c>
      <c r="P32" s="106">
        <f t="shared" si="5"/>
        <v>3420.9136038723477</v>
      </c>
    </row>
    <row r="33" spans="1:16" ht="23.25" customHeight="1" x14ac:dyDescent="0.2">
      <c r="A33" s="199" t="s">
        <v>85</v>
      </c>
      <c r="B33" s="76">
        <f>'Kharif-Cereals U'!B33+'Rabi Cereals U'!B33</f>
        <v>293.03699999999998</v>
      </c>
      <c r="C33" s="76">
        <f>'Kharif-Cereals U'!C33+'Rabi Cereals U'!C33</f>
        <v>291.36899999999997</v>
      </c>
      <c r="D33" s="76">
        <f>'Kharif-Cereals U'!D33+'Rabi Cereals U'!D33</f>
        <v>287.06799999999998</v>
      </c>
      <c r="E33" s="76">
        <f>'Kharif-Cereals U'!E33+'Rabi Cereals U'!E33</f>
        <v>283.45599999999996</v>
      </c>
      <c r="F33" s="76">
        <f>'Kharif-Cereals U'!F33+'Rabi Cereals U'!F33</f>
        <v>287.41100000000006</v>
      </c>
      <c r="G33" s="76">
        <f>'Kharif-Cereals U'!G33+'Rabi Cereals U'!G33</f>
        <v>836.42700000000002</v>
      </c>
      <c r="H33" s="76">
        <f>'Kharif-Cereals U'!H33+'Rabi Cereals U'!H33</f>
        <v>836.02235100000007</v>
      </c>
      <c r="I33" s="76">
        <f>'Kharif-Cereals U'!I33+'Rabi Cereals U'!I33</f>
        <v>817.43554500000005</v>
      </c>
      <c r="J33" s="76">
        <f>'Kharif-Cereals U'!J33+'Rabi Cereals U'!J33</f>
        <v>834.64593900000011</v>
      </c>
      <c r="K33" s="76">
        <f>'Kharif-Cereals U'!K33+'Rabi Cereals U'!K33</f>
        <v>847.37775800000009</v>
      </c>
      <c r="L33" s="106">
        <f t="shared" si="1"/>
        <v>2854.3392131369083</v>
      </c>
      <c r="M33" s="106">
        <f t="shared" si="2"/>
        <v>2869.290662355982</v>
      </c>
      <c r="N33" s="106">
        <f t="shared" si="3"/>
        <v>2847.5327971073061</v>
      </c>
      <c r="O33" s="106">
        <f t="shared" si="4"/>
        <v>2944.534386289231</v>
      </c>
      <c r="P33" s="106">
        <f t="shared" si="5"/>
        <v>2948.3135927295748</v>
      </c>
    </row>
    <row r="34" spans="1:16" ht="23.25" customHeight="1" x14ac:dyDescent="0.2">
      <c r="A34" s="199" t="s">
        <v>12</v>
      </c>
      <c r="B34" s="76">
        <f>'Kharif-Cereals U'!B34+'Rabi Cereals U'!B34</f>
        <v>17655</v>
      </c>
      <c r="C34" s="76">
        <f>'Kharif-Cereals U'!C34+'Rabi Cereals U'!C34</f>
        <v>17538</v>
      </c>
      <c r="D34" s="76">
        <f>'Kharif-Cereals U'!D34+'Rabi Cereals U'!D34</f>
        <v>17202</v>
      </c>
      <c r="E34" s="76">
        <f>'Kharif-Cereals U'!E34+'Rabi Cereals U'!E34</f>
        <v>17579</v>
      </c>
      <c r="F34" s="76">
        <f>'Kharif-Cereals U'!F34+'Rabi Cereals U'!F34</f>
        <v>17553</v>
      </c>
      <c r="G34" s="76">
        <f>'Kharif-Cereals U'!G34+'Rabi Cereals U'!G34</f>
        <v>47719.053</v>
      </c>
      <c r="H34" s="76">
        <f>'Kharif-Cereals U'!H34+'Rabi Cereals U'!H34</f>
        <v>49169.945449999999</v>
      </c>
      <c r="I34" s="76">
        <f>'Kharif-Cereals U'!I34+'Rabi Cereals U'!I34</f>
        <v>52235.409</v>
      </c>
      <c r="J34" s="76">
        <f>'Kharif-Cereals U'!J34+'Rabi Cereals U'!J34</f>
        <v>53721.820000000007</v>
      </c>
      <c r="K34" s="76">
        <f>'Kharif-Cereals U'!K34+'Rabi Cereals U'!K34</f>
        <v>55631.024999999994</v>
      </c>
      <c r="L34" s="106">
        <f t="shared" si="1"/>
        <v>2702.8633814783348</v>
      </c>
      <c r="M34" s="106">
        <f t="shared" si="2"/>
        <v>2803.623300832478</v>
      </c>
      <c r="N34" s="106">
        <f t="shared" si="3"/>
        <v>3036.5892919427974</v>
      </c>
      <c r="O34" s="106">
        <f t="shared" si="4"/>
        <v>3056.0225268786626</v>
      </c>
      <c r="P34" s="106">
        <f t="shared" si="5"/>
        <v>3169.3172107332075</v>
      </c>
    </row>
    <row r="35" spans="1:16" ht="23.25" customHeight="1" x14ac:dyDescent="0.2">
      <c r="A35" s="199" t="s">
        <v>90</v>
      </c>
      <c r="B35" s="76">
        <f>'Kharif-Cereals U'!B35+'Rabi Cereals U'!B35</f>
        <v>816</v>
      </c>
      <c r="C35" s="76">
        <f>'Kharif-Cereals U'!C35+'Rabi Cereals U'!C35</f>
        <v>789</v>
      </c>
      <c r="D35" s="76">
        <f>'Kharif-Cereals U'!D35+'Rabi Cereals U'!D35</f>
        <v>775</v>
      </c>
      <c r="E35" s="76">
        <f>'Kharif-Cereals U'!E35+'Rabi Cereals U'!E35</f>
        <v>745</v>
      </c>
      <c r="F35" s="76">
        <f>'Kharif-Cereals U'!F35+'Rabi Cereals U'!F35</f>
        <v>746</v>
      </c>
      <c r="G35" s="76">
        <f>'Kharif-Cereals U'!G35+'Rabi Cereals U'!G35</f>
        <v>1820</v>
      </c>
      <c r="H35" s="76">
        <f>'Kharif-Cereals U'!H35+'Rabi Cereals U'!H35</f>
        <v>1848.989</v>
      </c>
      <c r="I35" s="76">
        <f>'Kharif-Cereals U'!I35+'Rabi Cereals U'!I35</f>
        <v>1820.8070000000002</v>
      </c>
      <c r="J35" s="76">
        <f>'Kharif-Cereals U'!J35+'Rabi Cereals U'!J35</f>
        <v>1828.223</v>
      </c>
      <c r="K35" s="76">
        <f>'Kharif-Cereals U'!K35+'Rabi Cereals U'!K35</f>
        <v>1940.5360000000001</v>
      </c>
      <c r="L35" s="106">
        <f t="shared" si="1"/>
        <v>2230.3921568627452</v>
      </c>
      <c r="M35" s="106">
        <f t="shared" si="2"/>
        <v>2343.4588086185045</v>
      </c>
      <c r="N35" s="106">
        <f t="shared" si="3"/>
        <v>2349.4283870967747</v>
      </c>
      <c r="O35" s="106">
        <f t="shared" si="4"/>
        <v>2453.9906040268456</v>
      </c>
      <c r="P35" s="106">
        <f t="shared" si="5"/>
        <v>2601.2546916890083</v>
      </c>
    </row>
    <row r="36" spans="1:16" ht="23.25" customHeight="1" x14ac:dyDescent="0.2">
      <c r="A36" s="199" t="s">
        <v>13</v>
      </c>
      <c r="B36" s="76">
        <f>'Kharif-Cereals U'!B36+'Rabi Cereals U'!B36</f>
        <v>5994.5260000000007</v>
      </c>
      <c r="C36" s="76">
        <f>'Kharif-Cereals U'!C36+'Rabi Cereals U'!C36</f>
        <v>5486.73</v>
      </c>
      <c r="D36" s="76">
        <f>'Kharif-Cereals U'!D36+'Rabi Cereals U'!D36</f>
        <v>5898.5159999999996</v>
      </c>
      <c r="E36" s="76">
        <f>'Kharif-Cereals U'!E36+'Rabi Cereals U'!E36</f>
        <v>5990.7900000000009</v>
      </c>
      <c r="F36" s="76">
        <f>'Kharif-Cereals U'!F36+'Rabi Cereals U'!F36</f>
        <v>6147.0070000000005</v>
      </c>
      <c r="G36" s="76">
        <f>'Kharif-Cereals U'!G36+'Rabi Cereals U'!G36</f>
        <v>16886.77272225</v>
      </c>
      <c r="H36" s="76">
        <f>'Kharif-Cereals U'!H36+'Rabi Cereals U'!H36</f>
        <v>16433.756000000001</v>
      </c>
      <c r="I36" s="76">
        <f>'Kharif-Cereals U'!I36+'Rabi Cereals U'!I36</f>
        <v>18321.468567</v>
      </c>
      <c r="J36" s="76">
        <f>'Kharif-Cereals U'!J36+'Rabi Cereals U'!J36</f>
        <v>18409.433862000002</v>
      </c>
      <c r="K36" s="76">
        <f>'Kharif-Cereals U'!K36+'Rabi Cereals U'!K36</f>
        <v>19562.726870999999</v>
      </c>
      <c r="L36" s="106">
        <f t="shared" si="1"/>
        <v>2817.0321927455143</v>
      </c>
      <c r="M36" s="106">
        <f t="shared" si="2"/>
        <v>2995.1821941302019</v>
      </c>
      <c r="N36" s="106">
        <f t="shared" si="3"/>
        <v>3106.1149222957097</v>
      </c>
      <c r="O36" s="106">
        <f t="shared" si="4"/>
        <v>3072.955964405362</v>
      </c>
      <c r="P36" s="106">
        <f t="shared" si="5"/>
        <v>3182.4800054725815</v>
      </c>
    </row>
    <row r="37" spans="1:16" ht="23.25" customHeight="1" x14ac:dyDescent="0.2">
      <c r="A37" s="199" t="s">
        <v>32</v>
      </c>
      <c r="B37" s="76">
        <f>'Kharif-Cereals U'!B37</f>
        <v>4.9800000000000004</v>
      </c>
      <c r="C37" s="76">
        <f>'Kharif-Cereals U'!C37</f>
        <v>5.38415</v>
      </c>
      <c r="D37" s="76">
        <f>'Kharif-Cereals U'!D37</f>
        <v>5.42354</v>
      </c>
      <c r="E37" s="76">
        <f>'Kharif-Cereals U'!E37</f>
        <v>5.7011000000000003</v>
      </c>
      <c r="F37" s="76">
        <f>'Kharif-Cereals U'!F37</f>
        <v>6.2970000000000006</v>
      </c>
      <c r="G37" s="76">
        <f>'Kharif-Cereals U'!G37</f>
        <v>12.809699999999999</v>
      </c>
      <c r="H37" s="76">
        <f>'Kharif-Cereals U'!H37</f>
        <v>16.881677900000003</v>
      </c>
      <c r="I37" s="76">
        <f>'Kharif-Cereals U'!I37</f>
        <v>11.489342633333333</v>
      </c>
      <c r="J37" s="76">
        <f>'Kharif-Cereals U'!J37</f>
        <v>17.981269400000002</v>
      </c>
      <c r="K37" s="76">
        <f>'Kharif-Cereals U'!K37</f>
        <v>13.453928000000001</v>
      </c>
      <c r="L37" s="106">
        <f t="shared" si="1"/>
        <v>2572.2289156626503</v>
      </c>
      <c r="M37" s="106">
        <f t="shared" si="2"/>
        <v>3135.4397444350552</v>
      </c>
      <c r="N37" s="106">
        <f t="shared" si="3"/>
        <v>2118.4212955621852</v>
      </c>
      <c r="O37" s="106">
        <f t="shared" si="4"/>
        <v>3154.0000000000005</v>
      </c>
      <c r="P37" s="106">
        <f t="shared" si="5"/>
        <v>2136.5615372399557</v>
      </c>
    </row>
    <row r="38" spans="1:16" ht="23.25" customHeight="1" x14ac:dyDescent="0.2">
      <c r="A38" s="199" t="s">
        <v>111</v>
      </c>
      <c r="B38" s="76">
        <f>'Kharif-Cereals U'!B43+'Rabi Cereals U'!B37</f>
        <v>5.5800000000000002E-2</v>
      </c>
      <c r="C38" s="76">
        <f>'Kharif-Cereals U'!C43+'Rabi Cereals U'!C37</f>
        <v>5.5600000000000004E-2</v>
      </c>
      <c r="D38" s="76">
        <f>'Kharif-Cereals U'!D43+'Rabi Cereals U'!D37</f>
        <v>5.5600000000000004E-2</v>
      </c>
      <c r="E38" s="76">
        <f>'Kharif-Cereals U'!E43+'Rabi Cereals U'!E37</f>
        <v>1.4260000000000002</v>
      </c>
      <c r="F38" s="76">
        <f>'Kharif-Cereals U'!F43+'Rabi Cereals U'!F37</f>
        <v>0.63400000000000001</v>
      </c>
      <c r="G38" s="76">
        <f>'Kharif-Cereals U'!G43+'Rabi Cereals U'!G37</f>
        <v>0.26130000000000003</v>
      </c>
      <c r="H38" s="76">
        <f>'Kharif-Cereals U'!H43+'Rabi Cereals U'!H37</f>
        <v>0.25729873333333331</v>
      </c>
      <c r="I38" s="76">
        <f>'Kharif-Cereals U'!I43+'Rabi Cereals U'!I37</f>
        <v>0.27653333333333335</v>
      </c>
      <c r="J38" s="76">
        <f>'Kharif-Cereals U'!J43+'Rabi Cereals U'!J37</f>
        <v>7.0970000000000004</v>
      </c>
      <c r="K38" s="76">
        <f>'Kharif-Cereals U'!K43+'Rabi Cereals U'!K37</f>
        <v>2.9209999999999998</v>
      </c>
      <c r="L38" s="106">
        <f t="shared" si="1"/>
        <v>4682.7956989247323</v>
      </c>
      <c r="M38" s="106">
        <f t="shared" si="2"/>
        <v>4627.6750599520383</v>
      </c>
      <c r="N38" s="106">
        <f t="shared" si="3"/>
        <v>4973.6211031175062</v>
      </c>
      <c r="O38" s="106">
        <f t="shared" si="4"/>
        <v>4976.8583450210372</v>
      </c>
      <c r="P38" s="106">
        <f t="shared" si="5"/>
        <v>4607.2555205047311</v>
      </c>
    </row>
    <row r="39" spans="1:16" ht="23.25" customHeight="1" x14ac:dyDescent="0.2">
      <c r="A39" s="199" t="s">
        <v>51</v>
      </c>
      <c r="B39" s="76">
        <f>'Kharif-Cereals U'!B38+'Rabi Cereals U'!B38</f>
        <v>15.292</v>
      </c>
      <c r="C39" s="76">
        <f>'Kharif-Cereals U'!C38+'Rabi Cereals U'!C38</f>
        <v>15.298999999999999</v>
      </c>
      <c r="D39" s="76">
        <f>'Kharif-Cereals U'!D38+'Rabi Cereals U'!D38</f>
        <v>15.82</v>
      </c>
      <c r="E39" s="76">
        <f>'Kharif-Cereals U'!E38+'Rabi Cereals U'!E38</f>
        <v>17.759</v>
      </c>
      <c r="F39" s="76">
        <f>'Kharif-Cereals U'!F38+'Rabi Cereals U'!F38</f>
        <v>16.698</v>
      </c>
      <c r="G39" s="76">
        <f>'Kharif-Cereals U'!G38+'Rabi Cereals U'!G38</f>
        <v>33.231666666666669</v>
      </c>
      <c r="H39" s="76">
        <f>'Kharif-Cereals U'!H38+'Rabi Cereals U'!H38</f>
        <v>33.252000000000002</v>
      </c>
      <c r="I39" s="76">
        <f>'Kharif-Cereals U'!I38+'Rabi Cereals U'!I38</f>
        <v>32.166919999999998</v>
      </c>
      <c r="J39" s="76">
        <f>'Kharif-Cereals U'!J38+'Rabi Cereals U'!J38</f>
        <v>37.903333333333329</v>
      </c>
      <c r="K39" s="76">
        <f>'Kharif-Cereals U'!K38+'Rabi Cereals U'!K38</f>
        <v>34.338474000000005</v>
      </c>
      <c r="L39" s="106">
        <f t="shared" si="1"/>
        <v>2173.1406399860493</v>
      </c>
      <c r="M39" s="106">
        <f t="shared" si="2"/>
        <v>2173.4753905484017</v>
      </c>
      <c r="N39" s="106">
        <f t="shared" si="3"/>
        <v>2033.307206068268</v>
      </c>
      <c r="O39" s="106">
        <f t="shared" si="4"/>
        <v>2134.316872196257</v>
      </c>
      <c r="P39" s="106">
        <f t="shared" si="5"/>
        <v>2056.4423284225659</v>
      </c>
    </row>
    <row r="40" spans="1:16" ht="23.25" customHeight="1" x14ac:dyDescent="0.2">
      <c r="A40" s="199" t="s">
        <v>203</v>
      </c>
      <c r="B40" s="76">
        <f>'Kharif-Cereals U'!B41+'Rabi Cereals U'!B39</f>
        <v>0</v>
      </c>
      <c r="C40" s="76">
        <f>'Kharif-Cereals U'!C41+'Rabi Cereals U'!C39</f>
        <v>0</v>
      </c>
      <c r="D40" s="76">
        <f>'Kharif-Cereals U'!D41+'Rabi Cereals U'!D39</f>
        <v>0</v>
      </c>
      <c r="E40" s="76">
        <f>'Kharif-Cereals U'!E41+'Rabi Cereals U'!E39</f>
        <v>0</v>
      </c>
      <c r="F40" s="76">
        <f>'Kharif-Cereals U'!F41+'Rabi Cereals U'!F39</f>
        <v>10.466000000000001</v>
      </c>
      <c r="G40" s="76">
        <f>'Kharif-Cereals U'!G41+'Rabi Cereals U'!G39</f>
        <v>0</v>
      </c>
      <c r="H40" s="76">
        <f>'Kharif-Cereals U'!H41+'Rabi Cereals U'!H39</f>
        <v>0</v>
      </c>
      <c r="I40" s="76">
        <f>'Kharif-Cereals U'!I41+'Rabi Cereals U'!I39</f>
        <v>0</v>
      </c>
      <c r="J40" s="76">
        <f>'Kharif-Cereals U'!J41+'Rabi Cereals U'!J39</f>
        <v>0</v>
      </c>
      <c r="K40" s="76">
        <f>'Kharif-Cereals U'!K41+'Rabi Cereals U'!K39</f>
        <v>10.865293999999999</v>
      </c>
      <c r="L40" s="106" t="e">
        <f t="shared" ref="L40" si="6">G40/B40*1000</f>
        <v>#DIV/0!</v>
      </c>
      <c r="M40" s="106" t="e">
        <f t="shared" ref="M40" si="7">H40/C40*1000</f>
        <v>#DIV/0!</v>
      </c>
      <c r="N40" s="106" t="e">
        <f t="shared" ref="N40" si="8">I40/D40*1000</f>
        <v>#DIV/0!</v>
      </c>
      <c r="O40" s="106" t="e">
        <f t="shared" ref="O40" si="9">J40/E40*1000</f>
        <v>#DIV/0!</v>
      </c>
      <c r="P40" s="106">
        <f t="shared" ref="P40" si="10">K40/F40*1000</f>
        <v>1038.151538314542</v>
      </c>
    </row>
    <row r="41" spans="1:16" ht="23.25" customHeight="1" x14ac:dyDescent="0.2">
      <c r="A41" s="199" t="s">
        <v>52</v>
      </c>
      <c r="B41" s="76">
        <f>'Kharif-Cereals U'!B39+'Rabi Cereals U'!B40</f>
        <v>30.423000000000002</v>
      </c>
      <c r="C41" s="76">
        <f>'Kharif-Cereals U'!C39+'Rabi Cereals U'!C40</f>
        <v>29.943000000000001</v>
      </c>
      <c r="D41" s="76">
        <f>'Kharif-Cereals U'!D39+'Rabi Cereals U'!D40</f>
        <v>29.789000000000001</v>
      </c>
      <c r="E41" s="76">
        <f>'Kharif-Cereals U'!E39+'Rabi Cereals U'!E40</f>
        <v>29.744999999999997</v>
      </c>
      <c r="F41" s="76">
        <f>'Kharif-Cereals U'!F39+'Rabi Cereals U'!F40</f>
        <v>29.698</v>
      </c>
      <c r="G41" s="76">
        <f>'Kharif-Cereals U'!G39+'Rabi Cereals U'!G40</f>
        <v>111.14366666666666</v>
      </c>
      <c r="H41" s="76">
        <f>'Kharif-Cereals U'!H39+'Rabi Cereals U'!H40</f>
        <v>106.899458</v>
      </c>
      <c r="I41" s="76">
        <f>'Kharif-Cereals U'!I39+'Rabi Cereals U'!I40</f>
        <v>106.27304634062926</v>
      </c>
      <c r="J41" s="76">
        <f>'Kharif-Cereals U'!J39+'Rabi Cereals U'!J40</f>
        <v>106.19200000000004</v>
      </c>
      <c r="K41" s="76">
        <f>'Kharif-Cereals U'!K39+'Rabi Cereals U'!K40</f>
        <v>111.78510200000002</v>
      </c>
      <c r="L41" s="106">
        <f t="shared" si="1"/>
        <v>3653.2776736898613</v>
      </c>
      <c r="M41" s="106">
        <f t="shared" si="2"/>
        <v>3570.0984537287509</v>
      </c>
      <c r="N41" s="106">
        <f t="shared" si="3"/>
        <v>3567.5264809368982</v>
      </c>
      <c r="O41" s="106">
        <f t="shared" si="4"/>
        <v>3570.0790048747704</v>
      </c>
      <c r="P41" s="106">
        <f t="shared" si="5"/>
        <v>3764.0616203111331</v>
      </c>
    </row>
    <row r="42" spans="1:16" ht="23.25" customHeight="1" x14ac:dyDescent="0.2">
      <c r="A42" s="199" t="s">
        <v>86</v>
      </c>
      <c r="B42" s="76">
        <f>'Kharif-Cereals U'!B40</f>
        <v>2.2170000000000001</v>
      </c>
      <c r="C42" s="76">
        <f>'Kharif-Cereals U'!C40</f>
        <v>2.2170000000000001</v>
      </c>
      <c r="D42" s="76">
        <f>'Kharif-Cereals U'!D40</f>
        <v>1.9279999999999999</v>
      </c>
      <c r="E42" s="76">
        <f>'Kharif-Cereals U'!E40</f>
        <v>1.2749999999999999</v>
      </c>
      <c r="F42" s="76">
        <f>'Kharif-Cereals U'!F40</f>
        <v>1.93</v>
      </c>
      <c r="G42" s="76">
        <f>'Kharif-Cereals U'!G40</f>
        <v>2.5086666666666666</v>
      </c>
      <c r="H42" s="76">
        <f>'Kharif-Cereals U'!H40</f>
        <v>2.7573479999999999</v>
      </c>
      <c r="I42" s="76">
        <f>'Kharif-Cereals U'!I40</f>
        <v>2.4704426666666666</v>
      </c>
      <c r="J42" s="76">
        <f>'Kharif-Cereals U'!J40</f>
        <v>2.4004166666666666</v>
      </c>
      <c r="K42" s="76">
        <f>'Kharif-Cereals U'!K40</f>
        <v>3.5533679999999999</v>
      </c>
      <c r="L42" s="106">
        <f t="shared" si="1"/>
        <v>1131.5591640354835</v>
      </c>
      <c r="M42" s="106">
        <f t="shared" si="2"/>
        <v>1243.7293640054127</v>
      </c>
      <c r="N42" s="106">
        <f t="shared" si="3"/>
        <v>1281.3499308437069</v>
      </c>
      <c r="O42" s="106">
        <f t="shared" si="4"/>
        <v>1882.6797385620916</v>
      </c>
      <c r="P42" s="106">
        <f t="shared" si="5"/>
        <v>1841.1233160621759</v>
      </c>
    </row>
    <row r="43" spans="1:16" ht="23.25" customHeight="1" x14ac:dyDescent="0.2">
      <c r="A43" s="199" t="s">
        <v>113</v>
      </c>
      <c r="B43" s="76">
        <f>'Kharif-Cereals U'!B42+'Rabi Cereals U'!B41</f>
        <v>16.271999999999998</v>
      </c>
      <c r="C43" s="76">
        <f>'Kharif-Cereals U'!C42+'Rabi Cereals U'!C41</f>
        <v>17.499000000000002</v>
      </c>
      <c r="D43" s="76">
        <f>'Kharif-Cereals U'!D42+'Rabi Cereals U'!D41</f>
        <v>17.978999999999999</v>
      </c>
      <c r="E43" s="76">
        <f>'Kharif-Cereals U'!E42+'Rabi Cereals U'!E41</f>
        <v>18.414000000000001</v>
      </c>
      <c r="F43" s="76">
        <f>'Kharif-Cereals U'!F42+'Rabi Cereals U'!F41</f>
        <v>18.265999999999998</v>
      </c>
      <c r="G43" s="76">
        <f>'Kharif-Cereals U'!G42+'Rabi Cereals U'!G41</f>
        <v>52.257000000000005</v>
      </c>
      <c r="H43" s="76">
        <f>'Kharif-Cereals U'!H42+'Rabi Cereals U'!H41</f>
        <v>42.856809333333331</v>
      </c>
      <c r="I43" s="76">
        <f>'Kharif-Cereals U'!I42+'Rabi Cereals U'!I41</f>
        <v>63.617215000000002</v>
      </c>
      <c r="J43" s="76">
        <f>'Kharif-Cereals U'!J42+'Rabi Cereals U'!J41</f>
        <v>59.761504999999993</v>
      </c>
      <c r="K43" s="76">
        <f>'Kharif-Cereals U'!K42+'Rabi Cereals U'!K41</f>
        <v>50.293695000000007</v>
      </c>
      <c r="L43" s="106">
        <f t="shared" si="1"/>
        <v>3211.4675516224197</v>
      </c>
      <c r="M43" s="106">
        <f t="shared" si="2"/>
        <v>2449.1004819323002</v>
      </c>
      <c r="N43" s="106">
        <f t="shared" si="3"/>
        <v>3538.417876411369</v>
      </c>
      <c r="O43" s="106">
        <f t="shared" si="4"/>
        <v>3245.4385250352984</v>
      </c>
      <c r="P43" s="106">
        <f t="shared" si="5"/>
        <v>2753.4049600350381</v>
      </c>
    </row>
    <row r="44" spans="1:16" s="8" customFormat="1" ht="23.25" customHeight="1" x14ac:dyDescent="0.2">
      <c r="A44" s="199" t="s">
        <v>46</v>
      </c>
      <c r="B44" s="93">
        <f>'Kharif-Cereals U'!B44+'Rabi Cereals U'!B42</f>
        <v>99786.132799999992</v>
      </c>
      <c r="C44" s="93">
        <f>'Kharif-Cereals U'!C44+'Rabi Cereals U'!C42</f>
        <v>97711.128239999991</v>
      </c>
      <c r="D44" s="93">
        <f>'Kharif-Cereals U'!D44+'Rabi Cereals U'!D42</f>
        <v>95620.96553999999</v>
      </c>
      <c r="E44" s="93">
        <f>'Kharif-Cereals U'!E44+'Rabi Cereals U'!E42</f>
        <v>99007.212999999989</v>
      </c>
      <c r="F44" s="93">
        <f>'Kharif-Cereals U'!F44+'Rabi Cereals U'!F42</f>
        <v>101011.69</v>
      </c>
      <c r="G44" s="93">
        <f>'Kharif-Cereals U'!G44+'Rabi Cereals U'!G42</f>
        <v>251980.80297225001</v>
      </c>
      <c r="H44" s="93">
        <f>'Kharif-Cereals U'!H44+'Rabi Cereals U'!H42</f>
        <v>259597.31741062473</v>
      </c>
      <c r="I44" s="93">
        <f>'Kharif-Cereals U'!I44+'Rabi Cereals U'!I42</f>
        <v>263133.45832448936</v>
      </c>
      <c r="J44" s="93">
        <f>'Kharif-Cereals U'!J44+'Rabi Cereals U'!J42</f>
        <v>274479.20677032275</v>
      </c>
      <c r="K44" s="93">
        <f>'Kharif-Cereals U'!K44+'Rabi Cereals U'!K42</f>
        <v>285278.61652452586</v>
      </c>
      <c r="L44" s="107">
        <f t="shared" si="1"/>
        <v>2525.2086226980232</v>
      </c>
      <c r="M44" s="107">
        <f t="shared" si="2"/>
        <v>2656.7835423309893</v>
      </c>
      <c r="N44" s="107">
        <f t="shared" si="3"/>
        <v>2751.8385412497828</v>
      </c>
      <c r="O44" s="107">
        <f t="shared" si="4"/>
        <v>2772.315253135373</v>
      </c>
      <c r="P44" s="107">
        <f t="shared" si="5"/>
        <v>2824.2138758843244</v>
      </c>
    </row>
  </sheetData>
  <mergeCells count="20">
    <mergeCell ref="A2:P2"/>
    <mergeCell ref="F5:F6"/>
    <mergeCell ref="E5:E6"/>
    <mergeCell ref="B5:B6"/>
    <mergeCell ref="D5:D6"/>
    <mergeCell ref="M5:M6"/>
    <mergeCell ref="L5:L6"/>
    <mergeCell ref="A4:A6"/>
    <mergeCell ref="G5:G6"/>
    <mergeCell ref="G4:K4"/>
    <mergeCell ref="B4:F4"/>
    <mergeCell ref="C5:C6"/>
    <mergeCell ref="L4:P4"/>
    <mergeCell ref="I5:I6"/>
    <mergeCell ref="N5:N6"/>
    <mergeCell ref="H5:H6"/>
    <mergeCell ref="J5:J6"/>
    <mergeCell ref="O5:O6"/>
    <mergeCell ref="K5:K6"/>
    <mergeCell ref="P5:P6"/>
  </mergeCells>
  <phoneticPr fontId="0" type="noConversion"/>
  <printOptions horizontalCentered="1"/>
  <pageMargins left="0.511811023622047" right="0.511811023622047" top="0.511811023622047" bottom="0.23622047244094499" header="0.23622047244094499" footer="0.23622047244094499"/>
  <pageSetup paperSize="9" scale="56" orientation="landscape" r:id="rId1"/>
  <headerFooter alignWithMargins="0"/>
  <rowBreaks count="1" manualBreakCount="1">
    <brk id="4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P37"/>
  <sheetViews>
    <sheetView tabSelected="1" view="pageBreakPreview" zoomScale="70" zoomScaleNormal="75" zoomScaleSheetLayoutView="70" workbookViewId="0">
      <pane xSplit="1" ySplit="6" topLeftCell="E37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6.7109375" style="4" customWidth="1"/>
    <col min="2" max="6" width="12.28515625" style="4" customWidth="1"/>
    <col min="7" max="11" width="11" style="4" customWidth="1"/>
    <col min="12" max="16" width="10.5703125" style="4" customWidth="1"/>
    <col min="17" max="16384" width="9.140625" style="4"/>
  </cols>
  <sheetData>
    <row r="2" spans="1:16" ht="25.5" customHeight="1" x14ac:dyDescent="0.2">
      <c r="A2" s="351" t="s">
        <v>183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</row>
    <row r="3" spans="1:16" ht="18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6"/>
      <c r="M3" s="16"/>
      <c r="N3" s="16"/>
      <c r="O3" s="16"/>
      <c r="P3" s="16"/>
    </row>
    <row r="4" spans="1:16" ht="14.25" customHeight="1" x14ac:dyDescent="0.2">
      <c r="A4" s="340" t="s">
        <v>1</v>
      </c>
      <c r="B4" s="342" t="s">
        <v>174</v>
      </c>
      <c r="C4" s="342"/>
      <c r="D4" s="342"/>
      <c r="E4" s="342"/>
      <c r="F4" s="342"/>
      <c r="G4" s="342" t="s">
        <v>68</v>
      </c>
      <c r="H4" s="342"/>
      <c r="I4" s="342"/>
      <c r="J4" s="342"/>
      <c r="K4" s="342"/>
      <c r="L4" s="342" t="s">
        <v>89</v>
      </c>
      <c r="M4" s="342"/>
      <c r="N4" s="342"/>
      <c r="O4" s="342"/>
      <c r="P4" s="342"/>
    </row>
    <row r="5" spans="1:16" ht="37.5" customHeight="1" x14ac:dyDescent="0.2">
      <c r="A5" s="340"/>
      <c r="B5" s="274" t="s">
        <v>112</v>
      </c>
      <c r="C5" s="274" t="s">
        <v>164</v>
      </c>
      <c r="D5" s="274" t="s">
        <v>199</v>
      </c>
      <c r="E5" s="274" t="s">
        <v>200</v>
      </c>
      <c r="F5" s="273" t="s">
        <v>202</v>
      </c>
      <c r="G5" s="274" t="s">
        <v>112</v>
      </c>
      <c r="H5" s="274" t="s">
        <v>164</v>
      </c>
      <c r="I5" s="274" t="s">
        <v>199</v>
      </c>
      <c r="J5" s="274" t="s">
        <v>200</v>
      </c>
      <c r="K5" s="273" t="s">
        <v>202</v>
      </c>
      <c r="L5" s="339" t="s">
        <v>112</v>
      </c>
      <c r="M5" s="339" t="s">
        <v>164</v>
      </c>
      <c r="N5" s="339" t="s">
        <v>199</v>
      </c>
      <c r="O5" s="339" t="s">
        <v>200</v>
      </c>
      <c r="P5" s="339" t="s">
        <v>202</v>
      </c>
    </row>
    <row r="6" spans="1:16" s="14" customFormat="1" ht="15.75" customHeight="1" x14ac:dyDescent="0.2">
      <c r="A6" s="187">
        <v>1</v>
      </c>
      <c r="B6" s="250">
        <v>2</v>
      </c>
      <c r="C6" s="250">
        <v>3</v>
      </c>
      <c r="D6" s="250">
        <v>4</v>
      </c>
      <c r="E6" s="250">
        <v>5</v>
      </c>
      <c r="F6" s="250">
        <v>6</v>
      </c>
      <c r="G6" s="250">
        <v>7</v>
      </c>
      <c r="H6" s="250">
        <v>8</v>
      </c>
      <c r="I6" s="250">
        <v>9</v>
      </c>
      <c r="J6" s="250">
        <v>10</v>
      </c>
      <c r="K6" s="250">
        <v>11</v>
      </c>
      <c r="L6" s="250">
        <v>12</v>
      </c>
      <c r="M6" s="250">
        <v>13</v>
      </c>
      <c r="N6" s="250">
        <v>14</v>
      </c>
      <c r="O6" s="250">
        <v>15</v>
      </c>
      <c r="P6" s="250">
        <v>16</v>
      </c>
    </row>
    <row r="7" spans="1:16" ht="22.5" customHeight="1" x14ac:dyDescent="0.2">
      <c r="A7" s="247" t="s">
        <v>2</v>
      </c>
      <c r="B7" s="76">
        <v>350</v>
      </c>
      <c r="C7" s="76">
        <v>279</v>
      </c>
      <c r="D7" s="76">
        <v>250</v>
      </c>
      <c r="E7" s="76">
        <v>243</v>
      </c>
      <c r="F7" s="76">
        <v>231</v>
      </c>
      <c r="G7" s="76">
        <v>133</v>
      </c>
      <c r="H7" s="76">
        <v>119.97</v>
      </c>
      <c r="I7" s="76">
        <v>45.5</v>
      </c>
      <c r="J7" s="76">
        <v>118.098</v>
      </c>
      <c r="K7" s="76">
        <v>83.852999999999994</v>
      </c>
      <c r="L7" s="106">
        <f>G7/B7*1000</f>
        <v>380</v>
      </c>
      <c r="M7" s="106">
        <f t="shared" ref="M7:P7" si="0">H7/C7*1000</f>
        <v>430</v>
      </c>
      <c r="N7" s="106">
        <f t="shared" si="0"/>
        <v>182</v>
      </c>
      <c r="O7" s="106">
        <f t="shared" si="0"/>
        <v>486</v>
      </c>
      <c r="P7" s="106">
        <f t="shared" si="0"/>
        <v>363</v>
      </c>
    </row>
    <row r="8" spans="1:16" ht="22.5" customHeight="1" x14ac:dyDescent="0.2">
      <c r="A8" s="247" t="s">
        <v>24</v>
      </c>
      <c r="B8" s="76">
        <v>0.79</v>
      </c>
      <c r="C8" s="76">
        <v>0.80600000000000005</v>
      </c>
      <c r="D8" s="76">
        <v>0.81599999999999995</v>
      </c>
      <c r="E8" s="76">
        <v>0.81899999999999995</v>
      </c>
      <c r="F8" s="76">
        <v>0</v>
      </c>
      <c r="G8" s="76">
        <v>0.64300000000000002</v>
      </c>
      <c r="H8" s="76">
        <v>0.66495000000000004</v>
      </c>
      <c r="I8" s="76">
        <v>0.70502399999999998</v>
      </c>
      <c r="J8" s="76">
        <v>0.71171099999999998</v>
      </c>
      <c r="K8" s="76">
        <v>0</v>
      </c>
      <c r="L8" s="106">
        <f t="shared" ref="L8:L37" si="1">G8/B8*1000</f>
        <v>813.92405063291142</v>
      </c>
      <c r="M8" s="106">
        <f t="shared" ref="M8:M37" si="2">H8/C8*1000</f>
        <v>825</v>
      </c>
      <c r="N8" s="106">
        <f t="shared" ref="N8:N37" si="3">I8/D8*1000</f>
        <v>864</v>
      </c>
      <c r="O8" s="106">
        <f t="shared" ref="O8:O37" si="4">J8/E8*1000</f>
        <v>869</v>
      </c>
      <c r="P8" s="106" t="e">
        <f t="shared" ref="P8:P36" si="5">K8/F8*1000</f>
        <v>#DIV/0!</v>
      </c>
    </row>
    <row r="9" spans="1:16" ht="22.5" customHeight="1" x14ac:dyDescent="0.2">
      <c r="A9" s="247" t="s">
        <v>37</v>
      </c>
      <c r="B9" s="76">
        <v>5.7210000000000001</v>
      </c>
      <c r="C9" s="76">
        <v>5.609</v>
      </c>
      <c r="D9" s="76">
        <v>5.55</v>
      </c>
      <c r="E9" s="76">
        <v>5.83</v>
      </c>
      <c r="F9" s="76">
        <v>6.0369999999999999</v>
      </c>
      <c r="G9" s="76">
        <v>4.91</v>
      </c>
      <c r="H9" s="76">
        <v>4.6722969999999995</v>
      </c>
      <c r="I9" s="76">
        <v>4.6231499999999999</v>
      </c>
      <c r="J9" s="76">
        <v>5.0371199999999998</v>
      </c>
      <c r="K9" s="76">
        <v>5.1676719999999996</v>
      </c>
      <c r="L9" s="106">
        <f t="shared" si="1"/>
        <v>858.24156615976233</v>
      </c>
      <c r="M9" s="106">
        <f t="shared" si="2"/>
        <v>833</v>
      </c>
      <c r="N9" s="106">
        <f t="shared" si="3"/>
        <v>833</v>
      </c>
      <c r="O9" s="106">
        <f t="shared" si="4"/>
        <v>864</v>
      </c>
      <c r="P9" s="106">
        <f t="shared" si="5"/>
        <v>856</v>
      </c>
    </row>
    <row r="10" spans="1:16" ht="22.5" customHeight="1" x14ac:dyDescent="0.2">
      <c r="A10" s="249" t="s">
        <v>3</v>
      </c>
      <c r="B10" s="76">
        <v>20.98</v>
      </c>
      <c r="C10" s="76">
        <v>18.486999999999998</v>
      </c>
      <c r="D10" s="76">
        <v>17.102</v>
      </c>
      <c r="E10" s="76">
        <v>16.754000000000001</v>
      </c>
      <c r="F10" s="76">
        <v>14.603</v>
      </c>
      <c r="G10" s="76">
        <v>33.173000000000002</v>
      </c>
      <c r="H10" s="76">
        <v>28.617875999999995</v>
      </c>
      <c r="I10" s="76">
        <v>31.672904000000003</v>
      </c>
      <c r="J10" s="76">
        <v>28.163474000000001</v>
      </c>
      <c r="K10" s="76">
        <v>23.452417999999998</v>
      </c>
      <c r="L10" s="106">
        <f t="shared" si="1"/>
        <v>1581.1725452812202</v>
      </c>
      <c r="M10" s="106">
        <f t="shared" si="2"/>
        <v>1547.9999999999998</v>
      </c>
      <c r="N10" s="106">
        <f t="shared" si="3"/>
        <v>1852</v>
      </c>
      <c r="O10" s="106">
        <f t="shared" si="4"/>
        <v>1680.9999999999998</v>
      </c>
      <c r="P10" s="106">
        <f t="shared" si="5"/>
        <v>1605.9999999999998</v>
      </c>
    </row>
    <row r="11" spans="1:16" ht="22.5" customHeight="1" x14ac:dyDescent="0.2">
      <c r="A11" s="249" t="s">
        <v>47</v>
      </c>
      <c r="B11" s="76">
        <v>66.2</v>
      </c>
      <c r="C11" s="76">
        <v>57.71</v>
      </c>
      <c r="D11" s="76">
        <v>67.53</v>
      </c>
      <c r="E11" s="76">
        <v>51.16</v>
      </c>
      <c r="F11" s="76">
        <v>45.36</v>
      </c>
      <c r="G11" s="76">
        <v>39.6</v>
      </c>
      <c r="H11" s="76">
        <v>34.683709999999998</v>
      </c>
      <c r="I11" s="76">
        <v>32.414400000000001</v>
      </c>
      <c r="J11" s="76">
        <v>32.128479999999996</v>
      </c>
      <c r="K11" s="76">
        <v>27.170639999999999</v>
      </c>
      <c r="L11" s="106">
        <f t="shared" si="1"/>
        <v>598.1873111782478</v>
      </c>
      <c r="M11" s="106">
        <f t="shared" si="2"/>
        <v>601</v>
      </c>
      <c r="N11" s="106">
        <f t="shared" si="3"/>
        <v>480</v>
      </c>
      <c r="O11" s="106">
        <f t="shared" si="4"/>
        <v>628</v>
      </c>
      <c r="P11" s="106">
        <f t="shared" si="5"/>
        <v>599</v>
      </c>
    </row>
    <row r="12" spans="1:16" ht="22.5" customHeight="1" x14ac:dyDescent="0.2">
      <c r="A12" s="249" t="s">
        <v>4</v>
      </c>
      <c r="B12" s="76">
        <v>347</v>
      </c>
      <c r="C12" s="76">
        <v>271</v>
      </c>
      <c r="D12" s="76">
        <v>254.35</v>
      </c>
      <c r="E12" s="76">
        <v>212.7</v>
      </c>
      <c r="F12" s="76">
        <v>241.02</v>
      </c>
      <c r="G12" s="76">
        <v>401</v>
      </c>
      <c r="H12" s="76">
        <v>336.85300000000001</v>
      </c>
      <c r="I12" s="76">
        <v>307.50914999999998</v>
      </c>
      <c r="J12" s="76">
        <v>210.78569999999999</v>
      </c>
      <c r="K12" s="76">
        <v>285.84972000000005</v>
      </c>
      <c r="L12" s="106">
        <f t="shared" si="1"/>
        <v>1155.6195965417869</v>
      </c>
      <c r="M12" s="106">
        <f t="shared" si="2"/>
        <v>1243</v>
      </c>
      <c r="N12" s="106">
        <f t="shared" si="3"/>
        <v>1208.9999999999998</v>
      </c>
      <c r="O12" s="106">
        <f t="shared" si="4"/>
        <v>991</v>
      </c>
      <c r="P12" s="106">
        <f>K12/F12*1000</f>
        <v>1186.0000000000002</v>
      </c>
    </row>
    <row r="13" spans="1:16" ht="22.5" customHeight="1" x14ac:dyDescent="0.2">
      <c r="A13" s="249" t="s">
        <v>18</v>
      </c>
      <c r="B13" s="76">
        <v>14.2</v>
      </c>
      <c r="C13" s="76">
        <v>4.0999999999999996</v>
      </c>
      <c r="D13" s="76">
        <v>1.9</v>
      </c>
      <c r="E13" s="76">
        <v>1.1100000000000001</v>
      </c>
      <c r="F13" s="76">
        <v>0.82</v>
      </c>
      <c r="G13" s="76">
        <v>13</v>
      </c>
      <c r="H13" s="76">
        <v>4.4977</v>
      </c>
      <c r="I13" s="76">
        <v>2.3008999999999999</v>
      </c>
      <c r="J13" s="76">
        <v>1.2432000000000001</v>
      </c>
      <c r="K13" s="76">
        <v>1.0249999999999999</v>
      </c>
      <c r="L13" s="106">
        <f t="shared" si="1"/>
        <v>915.49295774647885</v>
      </c>
      <c r="M13" s="106">
        <f t="shared" si="2"/>
        <v>1097.0000000000002</v>
      </c>
      <c r="N13" s="106">
        <f t="shared" si="3"/>
        <v>1211</v>
      </c>
      <c r="O13" s="106">
        <f t="shared" si="4"/>
        <v>1119.9999999999998</v>
      </c>
      <c r="P13" s="106">
        <f>K13/F13*1000</f>
        <v>1250</v>
      </c>
    </row>
    <row r="14" spans="1:16" ht="22.5" customHeight="1" x14ac:dyDescent="0.2">
      <c r="A14" s="249" t="s">
        <v>56</v>
      </c>
      <c r="B14" s="116">
        <v>4.8000000000000001E-2</v>
      </c>
      <c r="C14" s="76">
        <v>4.4999999999999998E-2</v>
      </c>
      <c r="D14" s="76">
        <v>4.9000000000000002E-2</v>
      </c>
      <c r="E14" s="76">
        <v>7.6999999999999999E-2</v>
      </c>
      <c r="F14" s="76">
        <v>8.0000000000000002E-3</v>
      </c>
      <c r="G14" s="76">
        <v>1.7999999999999999E-2</v>
      </c>
      <c r="H14" s="76">
        <v>2.2994999999999998E-2</v>
      </c>
      <c r="I14" s="76">
        <v>2.4990000000000002E-2</v>
      </c>
      <c r="J14" s="76">
        <v>5.0049999999999997E-2</v>
      </c>
      <c r="K14" s="76">
        <v>7.0000000000000001E-3</v>
      </c>
      <c r="L14" s="106">
        <f t="shared" si="1"/>
        <v>374.99999999999994</v>
      </c>
      <c r="M14" s="106">
        <f t="shared" si="2"/>
        <v>511</v>
      </c>
      <c r="N14" s="106">
        <f t="shared" si="3"/>
        <v>510</v>
      </c>
      <c r="O14" s="106">
        <f t="shared" si="4"/>
        <v>650</v>
      </c>
      <c r="P14" s="106">
        <f>K14/F14*1000</f>
        <v>875</v>
      </c>
    </row>
    <row r="15" spans="1:16" ht="22.5" customHeight="1" x14ac:dyDescent="0.2">
      <c r="A15" s="249" t="s">
        <v>41</v>
      </c>
      <c r="B15" s="76">
        <v>235.393</v>
      </c>
      <c r="C15" s="76">
        <v>193.68</v>
      </c>
      <c r="D15" s="76">
        <v>231.04</v>
      </c>
      <c r="E15" s="76">
        <v>230.559</v>
      </c>
      <c r="F15" s="76">
        <v>235.39</v>
      </c>
      <c r="G15" s="76">
        <v>235.773</v>
      </c>
      <c r="H15" s="76">
        <v>222.20906400000004</v>
      </c>
      <c r="I15" s="76">
        <v>234.27456000000001</v>
      </c>
      <c r="J15" s="76">
        <v>241.625832</v>
      </c>
      <c r="K15" s="76">
        <v>259.87056000000001</v>
      </c>
      <c r="L15" s="106">
        <f t="shared" si="1"/>
        <v>1001.6143215813553</v>
      </c>
      <c r="M15" s="106">
        <f t="shared" si="2"/>
        <v>1147.3000000000002</v>
      </c>
      <c r="N15" s="106">
        <f t="shared" si="3"/>
        <v>1014</v>
      </c>
      <c r="O15" s="106">
        <f t="shared" si="4"/>
        <v>1048</v>
      </c>
      <c r="P15" s="106">
        <f t="shared" si="5"/>
        <v>1104</v>
      </c>
    </row>
    <row r="16" spans="1:16" ht="22.5" customHeight="1" x14ac:dyDescent="0.2">
      <c r="A16" s="249" t="s">
        <v>5</v>
      </c>
      <c r="B16" s="76">
        <v>1214</v>
      </c>
      <c r="C16" s="76">
        <v>885</v>
      </c>
      <c r="D16" s="76">
        <v>1482.9499999999998</v>
      </c>
      <c r="E16" s="76">
        <v>1545</v>
      </c>
      <c r="F16" s="76">
        <v>1631</v>
      </c>
      <c r="G16" s="76">
        <v>908.86109999999996</v>
      </c>
      <c r="H16" s="76">
        <v>762.29474999999991</v>
      </c>
      <c r="I16" s="76">
        <v>947.60504999999989</v>
      </c>
      <c r="J16" s="76">
        <v>1126.3050000000001</v>
      </c>
      <c r="K16" s="76">
        <v>1237.9290000000001</v>
      </c>
      <c r="L16" s="106">
        <f t="shared" si="1"/>
        <v>748.65</v>
      </c>
      <c r="M16" s="106">
        <f t="shared" si="2"/>
        <v>861.34999999999991</v>
      </c>
      <c r="N16" s="106">
        <f t="shared" si="3"/>
        <v>639</v>
      </c>
      <c r="O16" s="106">
        <f t="shared" si="4"/>
        <v>729.00000000000011</v>
      </c>
      <c r="P16" s="106">
        <f t="shared" si="5"/>
        <v>759</v>
      </c>
    </row>
    <row r="17" spans="1:16" ht="22.5" customHeight="1" x14ac:dyDescent="0.2">
      <c r="A17" s="249" t="s">
        <v>17</v>
      </c>
      <c r="B17" s="76">
        <v>0.17599999999999999</v>
      </c>
      <c r="C17" s="76">
        <v>0.20699999999999999</v>
      </c>
      <c r="D17" s="76">
        <v>0.26579999999999998</v>
      </c>
      <c r="E17" s="76">
        <v>0.313</v>
      </c>
      <c r="F17" s="76">
        <v>0.20100000000000001</v>
      </c>
      <c r="G17" s="76">
        <v>0.27800000000000002</v>
      </c>
      <c r="H17" s="76">
        <v>0.32291999999999998</v>
      </c>
      <c r="I17" s="76">
        <v>0.44494919999999999</v>
      </c>
      <c r="J17" s="76">
        <v>0.52208399999999999</v>
      </c>
      <c r="K17" s="76">
        <v>0.33104700000000004</v>
      </c>
      <c r="L17" s="106">
        <f t="shared" si="1"/>
        <v>1579.5454545454547</v>
      </c>
      <c r="M17" s="106">
        <f t="shared" si="2"/>
        <v>1560</v>
      </c>
      <c r="N17" s="106">
        <f t="shared" si="3"/>
        <v>1674.0000000000002</v>
      </c>
      <c r="O17" s="106">
        <f t="shared" si="4"/>
        <v>1668</v>
      </c>
      <c r="P17" s="106">
        <f t="shared" si="5"/>
        <v>1647</v>
      </c>
    </row>
    <row r="18" spans="1:16" ht="22.5" customHeight="1" x14ac:dyDescent="0.2">
      <c r="A18" s="249" t="s">
        <v>6</v>
      </c>
      <c r="B18" s="76">
        <v>690</v>
      </c>
      <c r="C18" s="76">
        <v>647</v>
      </c>
      <c r="D18" s="76">
        <v>213</v>
      </c>
      <c r="E18" s="76">
        <v>249</v>
      </c>
      <c r="F18" s="76">
        <v>219</v>
      </c>
      <c r="G18" s="76">
        <v>781.7355</v>
      </c>
      <c r="H18" s="76">
        <v>839</v>
      </c>
      <c r="I18" s="76">
        <v>180.19800000000001</v>
      </c>
      <c r="J18" s="76">
        <v>274.64699999999999</v>
      </c>
      <c r="K18" s="76">
        <v>285.79500000000002</v>
      </c>
      <c r="L18" s="106">
        <f t="shared" si="1"/>
        <v>1132.9499999999998</v>
      </c>
      <c r="M18" s="106">
        <f t="shared" si="2"/>
        <v>1296.7542503863988</v>
      </c>
      <c r="N18" s="106">
        <f t="shared" si="3"/>
        <v>846.00000000000011</v>
      </c>
      <c r="O18" s="106">
        <f t="shared" si="4"/>
        <v>1103</v>
      </c>
      <c r="P18" s="106">
        <f t="shared" si="5"/>
        <v>1305.0000000000002</v>
      </c>
    </row>
    <row r="19" spans="1:16" ht="22.5" customHeight="1" x14ac:dyDescent="0.2">
      <c r="A19" s="248" t="s">
        <v>7</v>
      </c>
      <c r="B19" s="76">
        <v>1435.6</v>
      </c>
      <c r="C19" s="76">
        <v>1240.7</v>
      </c>
      <c r="D19" s="76">
        <v>1261.3</v>
      </c>
      <c r="E19" s="76">
        <v>1195.5</v>
      </c>
      <c r="F19" s="76">
        <v>1274.02</v>
      </c>
      <c r="G19" s="76">
        <v>1495.7516399999997</v>
      </c>
      <c r="H19" s="76">
        <v>1127.7963</v>
      </c>
      <c r="I19" s="76">
        <v>834.47607999999991</v>
      </c>
      <c r="J19" s="76">
        <v>1084.3185000000001</v>
      </c>
      <c r="K19" s="76">
        <v>1327.5288400000002</v>
      </c>
      <c r="L19" s="106">
        <f t="shared" si="1"/>
        <v>1041.8999999999999</v>
      </c>
      <c r="M19" s="106">
        <f t="shared" si="2"/>
        <v>908.99999999999989</v>
      </c>
      <c r="N19" s="106">
        <f t="shared" si="3"/>
        <v>661.59999999999991</v>
      </c>
      <c r="O19" s="106">
        <f t="shared" si="4"/>
        <v>907</v>
      </c>
      <c r="P19" s="106">
        <f t="shared" si="5"/>
        <v>1042.0000000000002</v>
      </c>
    </row>
    <row r="20" spans="1:16" ht="22.5" customHeight="1" x14ac:dyDescent="0.2">
      <c r="A20" s="198" t="s">
        <v>29</v>
      </c>
      <c r="B20" s="76">
        <v>0.55000000000000004</v>
      </c>
      <c r="C20" s="76">
        <v>0.53</v>
      </c>
      <c r="D20" s="76">
        <v>0.53</v>
      </c>
      <c r="E20" s="76">
        <v>0.50900000000000001</v>
      </c>
      <c r="F20" s="76">
        <v>0.56000000000000005</v>
      </c>
      <c r="G20" s="76">
        <v>0.61</v>
      </c>
      <c r="H20" s="76">
        <v>0.59996000000000005</v>
      </c>
      <c r="I20" s="76">
        <v>0.55914999999999992</v>
      </c>
      <c r="J20" s="76">
        <v>0.45708199999999999</v>
      </c>
      <c r="K20" s="76">
        <v>0.57008000000000003</v>
      </c>
      <c r="L20" s="106">
        <f>G20/B20*1000</f>
        <v>1109.090909090909</v>
      </c>
      <c r="M20" s="106">
        <f>H20/C20*1000</f>
        <v>1132.0000000000002</v>
      </c>
      <c r="N20" s="106">
        <f>I20/D20*1000</f>
        <v>1054.9999999999998</v>
      </c>
      <c r="O20" s="106">
        <f>J20/E20*1000</f>
        <v>897.99999999999989</v>
      </c>
      <c r="P20" s="106">
        <f>K20/F20*1000</f>
        <v>1018</v>
      </c>
    </row>
    <row r="21" spans="1:16" ht="22.5" customHeight="1" x14ac:dyDescent="0.2">
      <c r="A21" s="198" t="s">
        <v>26</v>
      </c>
      <c r="B21" s="76">
        <v>1.17</v>
      </c>
      <c r="C21" s="76">
        <v>1.1779999999999999</v>
      </c>
      <c r="D21" s="76">
        <v>1.1830000000000001</v>
      </c>
      <c r="E21" s="76">
        <v>1.18</v>
      </c>
      <c r="F21" s="76">
        <v>1.1890000000000001</v>
      </c>
      <c r="G21" s="76">
        <v>1.52</v>
      </c>
      <c r="H21" s="76">
        <v>1.5255099999999999</v>
      </c>
      <c r="I21" s="76">
        <v>1.5319850000000002</v>
      </c>
      <c r="J21" s="76">
        <v>1.5316399999999999</v>
      </c>
      <c r="K21" s="76">
        <v>1.5480780000000001</v>
      </c>
      <c r="L21" s="106">
        <f t="shared" si="1"/>
        <v>1299.1452991452993</v>
      </c>
      <c r="M21" s="106">
        <f t="shared" si="2"/>
        <v>1295</v>
      </c>
      <c r="N21" s="106">
        <f t="shared" si="3"/>
        <v>1295.0000000000002</v>
      </c>
      <c r="O21" s="106">
        <f t="shared" si="4"/>
        <v>1298</v>
      </c>
      <c r="P21" s="106">
        <f t="shared" si="5"/>
        <v>1302</v>
      </c>
    </row>
    <row r="22" spans="1:16" ht="22.5" customHeight="1" x14ac:dyDescent="0.2">
      <c r="A22" s="198" t="s">
        <v>30</v>
      </c>
      <c r="B22" s="76">
        <v>0.318</v>
      </c>
      <c r="C22" s="76">
        <v>0.23980000000000001</v>
      </c>
      <c r="D22" s="76">
        <v>0.32900000000000001</v>
      </c>
      <c r="E22" s="76">
        <v>0.33700000000000002</v>
      </c>
      <c r="F22" s="76">
        <v>0.40400000000000003</v>
      </c>
      <c r="G22" s="76">
        <v>0.307</v>
      </c>
      <c r="H22" s="76">
        <v>0.24730000000000002</v>
      </c>
      <c r="I22" s="76">
        <v>0.33100000000000002</v>
      </c>
      <c r="J22" s="76">
        <v>0.31678000000000001</v>
      </c>
      <c r="K22" s="76">
        <v>0.41611999999999999</v>
      </c>
      <c r="L22" s="106">
        <f t="shared" si="1"/>
        <v>965.4088050314466</v>
      </c>
      <c r="M22" s="106">
        <f t="shared" si="2"/>
        <v>1031.2760633861551</v>
      </c>
      <c r="N22" s="106">
        <f t="shared" si="3"/>
        <v>1006.079027355623</v>
      </c>
      <c r="O22" s="106">
        <f t="shared" si="4"/>
        <v>940</v>
      </c>
      <c r="P22" s="106">
        <f t="shared" si="5"/>
        <v>1029.9999999999998</v>
      </c>
    </row>
    <row r="23" spans="1:16" ht="22.5" customHeight="1" x14ac:dyDescent="0.2">
      <c r="A23" s="198" t="s">
        <v>20</v>
      </c>
      <c r="B23" s="76">
        <v>3.2</v>
      </c>
      <c r="C23" s="76">
        <v>3.2</v>
      </c>
      <c r="D23" s="76">
        <v>3.21</v>
      </c>
      <c r="E23" s="76">
        <v>3.21</v>
      </c>
      <c r="F23" s="76">
        <v>3.21</v>
      </c>
      <c r="G23" s="76">
        <v>2.89</v>
      </c>
      <c r="H23" s="76">
        <v>2.9216000000000002</v>
      </c>
      <c r="I23" s="76">
        <v>2.9211</v>
      </c>
      <c r="J23" s="76">
        <v>2.9211</v>
      </c>
      <c r="K23" s="76">
        <v>2.9499899999999997</v>
      </c>
      <c r="L23" s="106">
        <f t="shared" si="1"/>
        <v>903.125</v>
      </c>
      <c r="M23" s="106">
        <f t="shared" si="2"/>
        <v>913</v>
      </c>
      <c r="N23" s="106">
        <f t="shared" si="3"/>
        <v>910</v>
      </c>
      <c r="O23" s="106">
        <f t="shared" si="4"/>
        <v>910</v>
      </c>
      <c r="P23" s="106">
        <f t="shared" si="5"/>
        <v>918.99999999999989</v>
      </c>
    </row>
    <row r="24" spans="1:16" ht="22.5" customHeight="1" x14ac:dyDescent="0.2">
      <c r="A24" s="249" t="s">
        <v>107</v>
      </c>
      <c r="B24" s="76">
        <v>135.54</v>
      </c>
      <c r="C24" s="76">
        <v>137.88999999999999</v>
      </c>
      <c r="D24" s="76">
        <v>144.06</v>
      </c>
      <c r="E24" s="76">
        <v>128.63</v>
      </c>
      <c r="F24" s="76">
        <v>129.69</v>
      </c>
      <c r="G24" s="76">
        <v>119.82</v>
      </c>
      <c r="H24" s="76">
        <v>123.68732999999999</v>
      </c>
      <c r="I24" s="76">
        <v>147.22932</v>
      </c>
      <c r="J24" s="76">
        <v>144.58011999999999</v>
      </c>
      <c r="K24" s="76">
        <v>151.21854000000002</v>
      </c>
      <c r="L24" s="106">
        <f t="shared" si="1"/>
        <v>884.01947764497572</v>
      </c>
      <c r="M24" s="106">
        <f t="shared" si="2"/>
        <v>897</v>
      </c>
      <c r="N24" s="106">
        <f t="shared" si="3"/>
        <v>1022</v>
      </c>
      <c r="O24" s="106">
        <f t="shared" si="4"/>
        <v>1124</v>
      </c>
      <c r="P24" s="106">
        <f t="shared" si="5"/>
        <v>1166.0000000000002</v>
      </c>
    </row>
    <row r="25" spans="1:16" ht="22.5" customHeight="1" x14ac:dyDescent="0.2">
      <c r="A25" s="249" t="s">
        <v>21</v>
      </c>
      <c r="B25" s="76">
        <v>5.7</v>
      </c>
      <c r="C25" s="76">
        <v>2.6</v>
      </c>
      <c r="D25" s="76">
        <v>2.2999999999999998</v>
      </c>
      <c r="E25" s="76">
        <v>2</v>
      </c>
      <c r="F25" s="76">
        <v>1.8</v>
      </c>
      <c r="G25" s="76">
        <v>4.9000000000000004</v>
      </c>
      <c r="H25" s="76">
        <v>2.6779999999999999</v>
      </c>
      <c r="I25" s="76">
        <v>2.4081000000000001</v>
      </c>
      <c r="J25" s="76">
        <v>2.19</v>
      </c>
      <c r="K25" s="76">
        <v>2.0933999999999999</v>
      </c>
      <c r="L25" s="106">
        <f t="shared" si="1"/>
        <v>859.64912280701753</v>
      </c>
      <c r="M25" s="106">
        <f t="shared" si="2"/>
        <v>1030</v>
      </c>
      <c r="N25" s="106">
        <f t="shared" si="3"/>
        <v>1047.0000000000002</v>
      </c>
      <c r="O25" s="106">
        <f t="shared" si="4"/>
        <v>1095</v>
      </c>
      <c r="P25" s="106">
        <f t="shared" si="5"/>
        <v>1163</v>
      </c>
    </row>
    <row r="26" spans="1:16" ht="22.5" customHeight="1" x14ac:dyDescent="0.2">
      <c r="A26" s="198" t="s">
        <v>36</v>
      </c>
      <c r="B26" s="76">
        <v>17.861000000000001</v>
      </c>
      <c r="C26" s="76">
        <v>12.452999999999999</v>
      </c>
      <c r="D26" s="76">
        <v>9.6579999999999995</v>
      </c>
      <c r="E26" s="76">
        <v>8.86</v>
      </c>
      <c r="F26" s="76">
        <v>7.77</v>
      </c>
      <c r="G26" s="76">
        <v>19.425999999999998</v>
      </c>
      <c r="H26" s="76">
        <v>12.664700999999999</v>
      </c>
      <c r="I26" s="76">
        <v>9.0881779999999992</v>
      </c>
      <c r="J26" s="76">
        <v>5.1919599999999999</v>
      </c>
      <c r="K26" s="76">
        <v>6.8298300000000003</v>
      </c>
      <c r="L26" s="106">
        <f t="shared" si="1"/>
        <v>1087.6210738480488</v>
      </c>
      <c r="M26" s="106">
        <f t="shared" si="2"/>
        <v>1016.9999999999999</v>
      </c>
      <c r="N26" s="106">
        <f t="shared" si="3"/>
        <v>941</v>
      </c>
      <c r="O26" s="106">
        <f t="shared" si="4"/>
        <v>586.00000000000011</v>
      </c>
      <c r="P26" s="106">
        <f t="shared" si="5"/>
        <v>879.00000000000011</v>
      </c>
    </row>
    <row r="27" spans="1:16" ht="22.5" customHeight="1" x14ac:dyDescent="0.2">
      <c r="A27" s="198" t="s">
        <v>11</v>
      </c>
      <c r="B27" s="76">
        <v>56.56</v>
      </c>
      <c r="C27" s="76">
        <v>49.23</v>
      </c>
      <c r="D27" s="76">
        <v>41.38</v>
      </c>
      <c r="E27" s="76">
        <v>41.81</v>
      </c>
      <c r="F27" s="76">
        <v>47.33</v>
      </c>
      <c r="G27" s="76">
        <v>37.050000000000004</v>
      </c>
      <c r="H27" s="76">
        <v>53.808390000000003</v>
      </c>
      <c r="I27" s="76">
        <v>51.642240000000008</v>
      </c>
      <c r="J27" s="76">
        <v>53.224130000000002</v>
      </c>
      <c r="K27" s="76">
        <v>49.629291399999993</v>
      </c>
      <c r="L27" s="106">
        <f t="shared" si="1"/>
        <v>655.05657708628007</v>
      </c>
      <c r="M27" s="106">
        <f t="shared" si="2"/>
        <v>1093.0000000000002</v>
      </c>
      <c r="N27" s="106">
        <f t="shared" si="3"/>
        <v>1248.0000000000002</v>
      </c>
      <c r="O27" s="106">
        <f t="shared" si="4"/>
        <v>1273</v>
      </c>
      <c r="P27" s="106">
        <f t="shared" si="5"/>
        <v>1048.58</v>
      </c>
    </row>
    <row r="28" spans="1:16" ht="22.5" customHeight="1" x14ac:dyDescent="0.2">
      <c r="A28" s="198" t="s">
        <v>109</v>
      </c>
      <c r="B28" s="76">
        <v>386</v>
      </c>
      <c r="C28" s="76">
        <v>330</v>
      </c>
      <c r="D28" s="76">
        <v>296</v>
      </c>
      <c r="E28" s="76">
        <v>295</v>
      </c>
      <c r="F28" s="76">
        <v>325.7</v>
      </c>
      <c r="G28" s="76">
        <v>261</v>
      </c>
      <c r="H28" s="76">
        <v>263.33999999999997</v>
      </c>
      <c r="I28" s="76">
        <v>191.512</v>
      </c>
      <c r="J28" s="76">
        <v>266.38499999999999</v>
      </c>
      <c r="K28" s="76">
        <v>252.41749999999999</v>
      </c>
      <c r="L28" s="106">
        <f t="shared" si="1"/>
        <v>676.16580310880829</v>
      </c>
      <c r="M28" s="106">
        <f t="shared" si="2"/>
        <v>797.99999999999989</v>
      </c>
      <c r="N28" s="106">
        <f t="shared" si="3"/>
        <v>647</v>
      </c>
      <c r="O28" s="106">
        <f t="shared" si="4"/>
        <v>902.99999999999989</v>
      </c>
      <c r="P28" s="106">
        <f t="shared" si="5"/>
        <v>775</v>
      </c>
    </row>
    <row r="29" spans="1:16" ht="22.5" customHeight="1" x14ac:dyDescent="0.2">
      <c r="A29" s="198" t="s">
        <v>59</v>
      </c>
      <c r="B29" s="76">
        <v>5.35</v>
      </c>
      <c r="C29" s="76">
        <v>5.59</v>
      </c>
      <c r="D29" s="76">
        <v>5.633</v>
      </c>
      <c r="E29" s="76">
        <v>4.8319999999999999</v>
      </c>
      <c r="F29" s="76">
        <v>4.84</v>
      </c>
      <c r="G29" s="76">
        <v>3.7720000000000002</v>
      </c>
      <c r="H29" s="76">
        <v>4.1254200000000001</v>
      </c>
      <c r="I29" s="76">
        <v>4.2754469999999998</v>
      </c>
      <c r="J29" s="76">
        <v>3.8752639999999996</v>
      </c>
      <c r="K29" s="76">
        <v>3.7751999999999999</v>
      </c>
      <c r="L29" s="106">
        <f t="shared" si="1"/>
        <v>705.04672897196269</v>
      </c>
      <c r="M29" s="106">
        <f t="shared" si="2"/>
        <v>738</v>
      </c>
      <c r="N29" s="106">
        <f t="shared" si="3"/>
        <v>759</v>
      </c>
      <c r="O29" s="106">
        <f t="shared" si="4"/>
        <v>801.99999999999989</v>
      </c>
      <c r="P29" s="106">
        <f t="shared" si="5"/>
        <v>780</v>
      </c>
    </row>
    <row r="30" spans="1:16" ht="22.5" customHeight="1" x14ac:dyDescent="0.2">
      <c r="A30" s="248" t="s">
        <v>12</v>
      </c>
      <c r="B30" s="76">
        <v>338</v>
      </c>
      <c r="C30" s="76">
        <v>282</v>
      </c>
      <c r="D30" s="76">
        <v>251</v>
      </c>
      <c r="E30" s="76">
        <v>285</v>
      </c>
      <c r="F30" s="76">
        <v>296</v>
      </c>
      <c r="G30" s="76">
        <v>363</v>
      </c>
      <c r="H30" s="76">
        <v>331.35</v>
      </c>
      <c r="I30" s="76">
        <v>272.084</v>
      </c>
      <c r="J30" s="76">
        <v>279.3</v>
      </c>
      <c r="K30" s="76">
        <v>297.48</v>
      </c>
      <c r="L30" s="106">
        <f t="shared" si="1"/>
        <v>1073.9644970414201</v>
      </c>
      <c r="M30" s="106">
        <f t="shared" si="2"/>
        <v>1175</v>
      </c>
      <c r="N30" s="106">
        <f t="shared" si="3"/>
        <v>1084</v>
      </c>
      <c r="O30" s="106">
        <f t="shared" si="4"/>
        <v>980.00000000000011</v>
      </c>
      <c r="P30" s="106">
        <f t="shared" si="5"/>
        <v>1005.0000000000001</v>
      </c>
    </row>
    <row r="31" spans="1:16" ht="22.5" customHeight="1" x14ac:dyDescent="0.2">
      <c r="A31" s="249" t="s">
        <v>90</v>
      </c>
      <c r="B31" s="76">
        <v>3</v>
      </c>
      <c r="C31" s="76">
        <v>4</v>
      </c>
      <c r="D31" s="76">
        <v>3</v>
      </c>
      <c r="E31" s="76">
        <v>3</v>
      </c>
      <c r="F31" s="76">
        <v>3</v>
      </c>
      <c r="G31" s="76">
        <v>3</v>
      </c>
      <c r="H31" s="76">
        <v>3.8679999999999999</v>
      </c>
      <c r="I31" s="76">
        <v>2.415</v>
      </c>
      <c r="J31" s="76">
        <v>2.5529999999999999</v>
      </c>
      <c r="K31" s="76">
        <v>3.5550000000000002</v>
      </c>
      <c r="L31" s="106">
        <f t="shared" si="1"/>
        <v>1000</v>
      </c>
      <c r="M31" s="106">
        <f t="shared" si="2"/>
        <v>967</v>
      </c>
      <c r="N31" s="106">
        <f t="shared" si="3"/>
        <v>805</v>
      </c>
      <c r="O31" s="106">
        <f t="shared" si="4"/>
        <v>851</v>
      </c>
      <c r="P31" s="106">
        <f t="shared" si="5"/>
        <v>1185</v>
      </c>
    </row>
    <row r="32" spans="1:16" ht="22.5" customHeight="1" x14ac:dyDescent="0.2">
      <c r="A32" s="248" t="s">
        <v>13</v>
      </c>
      <c r="B32" s="76">
        <v>2.9620000000000002</v>
      </c>
      <c r="C32" s="76">
        <v>4.5</v>
      </c>
      <c r="D32" s="76">
        <v>3.605</v>
      </c>
      <c r="E32" s="76">
        <v>4.8449999999999998</v>
      </c>
      <c r="F32" s="76">
        <v>4.4909999999999997</v>
      </c>
      <c r="G32" s="76">
        <v>3.7</v>
      </c>
      <c r="H32" s="76">
        <v>5.8499999999999988</v>
      </c>
      <c r="I32" s="76">
        <v>5.5625150000000003</v>
      </c>
      <c r="J32" s="76">
        <v>4.1279399999999997</v>
      </c>
      <c r="K32" s="76">
        <v>5.4341099999999996</v>
      </c>
      <c r="L32" s="106">
        <f t="shared" si="1"/>
        <v>1249.1559756921001</v>
      </c>
      <c r="M32" s="106">
        <f t="shared" si="2"/>
        <v>1299.9999999999998</v>
      </c>
      <c r="N32" s="106">
        <f t="shared" si="3"/>
        <v>1543.0000000000002</v>
      </c>
      <c r="O32" s="106">
        <f t="shared" si="4"/>
        <v>852</v>
      </c>
      <c r="P32" s="106">
        <f t="shared" si="5"/>
        <v>1210</v>
      </c>
    </row>
    <row r="33" spans="1:16" ht="22.5" customHeight="1" x14ac:dyDescent="0.2">
      <c r="A33" s="249" t="s">
        <v>32</v>
      </c>
      <c r="B33" s="76">
        <v>7.0000000000000001E-3</v>
      </c>
      <c r="C33" s="76">
        <v>1.1999999999999999E-3</v>
      </c>
      <c r="D33" s="76">
        <v>0.28100000000000003</v>
      </c>
      <c r="E33" s="76">
        <v>0</v>
      </c>
      <c r="F33" s="76">
        <v>2.0999999999999999E-3</v>
      </c>
      <c r="G33" s="76">
        <v>2.9999999999999997E-4</v>
      </c>
      <c r="H33" s="76">
        <v>5.9999999999999995E-4</v>
      </c>
      <c r="I33" s="76">
        <v>0.10397000000000001</v>
      </c>
      <c r="J33" s="76">
        <v>0</v>
      </c>
      <c r="K33" s="76">
        <v>2.1000000000000001E-4</v>
      </c>
      <c r="L33" s="106">
        <f t="shared" si="1"/>
        <v>42.857142857142854</v>
      </c>
      <c r="M33" s="106">
        <f t="shared" si="2"/>
        <v>500</v>
      </c>
      <c r="N33" s="106">
        <f t="shared" si="3"/>
        <v>370</v>
      </c>
      <c r="O33" s="106" t="e">
        <f t="shared" si="4"/>
        <v>#DIV/0!</v>
      </c>
      <c r="P33" s="106">
        <f t="shared" si="5"/>
        <v>100</v>
      </c>
    </row>
    <row r="34" spans="1:16" ht="22.5" customHeight="1" x14ac:dyDescent="0.2">
      <c r="A34" s="248" t="s">
        <v>54</v>
      </c>
      <c r="B34" s="76">
        <v>1.56</v>
      </c>
      <c r="C34" s="76">
        <v>1.55</v>
      </c>
      <c r="D34" s="76">
        <v>1.52</v>
      </c>
      <c r="E34" s="76">
        <v>1.4</v>
      </c>
      <c r="F34" s="76">
        <v>0</v>
      </c>
      <c r="G34" s="76">
        <v>4.5019999999999998</v>
      </c>
      <c r="H34" s="76">
        <v>1.55</v>
      </c>
      <c r="I34" s="76">
        <v>2.0291999999999999</v>
      </c>
      <c r="J34" s="76">
        <v>1.4</v>
      </c>
      <c r="K34" s="76">
        <v>0</v>
      </c>
      <c r="L34" s="106">
        <f t="shared" si="1"/>
        <v>2885.897435897436</v>
      </c>
      <c r="M34" s="106">
        <f t="shared" si="2"/>
        <v>1000</v>
      </c>
      <c r="N34" s="106">
        <f t="shared" si="3"/>
        <v>1335</v>
      </c>
      <c r="O34" s="106">
        <f t="shared" si="4"/>
        <v>1000</v>
      </c>
      <c r="P34" s="106" t="e">
        <f t="shared" si="5"/>
        <v>#DIV/0!</v>
      </c>
    </row>
    <row r="35" spans="1:16" ht="22.5" customHeight="1" x14ac:dyDescent="0.2">
      <c r="A35" s="334" t="s">
        <v>86</v>
      </c>
      <c r="B35" s="76">
        <v>0</v>
      </c>
      <c r="C35" s="76">
        <v>0</v>
      </c>
      <c r="D35" s="76">
        <v>0</v>
      </c>
      <c r="E35" s="76">
        <v>3.5000000000000003E-2</v>
      </c>
      <c r="F35" s="76">
        <v>0</v>
      </c>
      <c r="G35" s="76">
        <v>0</v>
      </c>
      <c r="H35" s="76">
        <v>0</v>
      </c>
      <c r="I35" s="76">
        <v>0</v>
      </c>
      <c r="J35" s="76">
        <v>3.5000000000000003E-2</v>
      </c>
      <c r="K35" s="76">
        <v>0</v>
      </c>
      <c r="L35" s="106"/>
      <c r="M35" s="106"/>
      <c r="N35" s="106"/>
      <c r="O35" s="106">
        <f t="shared" si="4"/>
        <v>1000</v>
      </c>
      <c r="P35" s="106"/>
    </row>
    <row r="36" spans="1:16" ht="22.5" customHeight="1" x14ac:dyDescent="0.2">
      <c r="A36" s="198" t="s">
        <v>52</v>
      </c>
      <c r="B36" s="96">
        <v>0</v>
      </c>
      <c r="C36" s="76">
        <v>0</v>
      </c>
      <c r="D36" s="76">
        <v>0</v>
      </c>
      <c r="E36" s="76">
        <v>0</v>
      </c>
      <c r="F36" s="76"/>
      <c r="G36" s="76">
        <v>0</v>
      </c>
      <c r="H36" s="76">
        <v>0</v>
      </c>
      <c r="I36" s="76">
        <v>0</v>
      </c>
      <c r="J36" s="76">
        <v>0</v>
      </c>
      <c r="K36" s="76"/>
      <c r="L36" s="106" t="e">
        <f t="shared" si="1"/>
        <v>#DIV/0!</v>
      </c>
      <c r="M36" s="106" t="e">
        <f t="shared" si="2"/>
        <v>#DIV/0!</v>
      </c>
      <c r="N36" s="106" t="e">
        <f t="shared" si="3"/>
        <v>#DIV/0!</v>
      </c>
      <c r="O36" s="106" t="e">
        <f t="shared" si="4"/>
        <v>#DIV/0!</v>
      </c>
      <c r="P36" s="106" t="e">
        <f t="shared" si="5"/>
        <v>#DIV/0!</v>
      </c>
    </row>
    <row r="37" spans="1:16" s="8" customFormat="1" ht="22.5" customHeight="1" x14ac:dyDescent="0.2">
      <c r="A37" s="27" t="s">
        <v>14</v>
      </c>
      <c r="B37" s="93">
        <f>SUM(B7:B36)</f>
        <v>5337.8860000000013</v>
      </c>
      <c r="C37" s="93">
        <f>SUM(C7:C36)</f>
        <v>4438.3059999999996</v>
      </c>
      <c r="D37" s="93">
        <f t="shared" ref="D37:K37" si="6">SUM(D7:D36)</f>
        <v>4549.5418</v>
      </c>
      <c r="E37" s="93">
        <f t="shared" si="6"/>
        <v>4532.47</v>
      </c>
      <c r="F37" s="93">
        <f t="shared" si="6"/>
        <v>4724.4450999999999</v>
      </c>
      <c r="G37" s="93">
        <f t="shared" si="6"/>
        <v>4873.2405399999998</v>
      </c>
      <c r="H37" s="93">
        <f t="shared" si="6"/>
        <v>4289.8223730000018</v>
      </c>
      <c r="I37" s="93">
        <f t="shared" si="6"/>
        <v>3315.4423622000004</v>
      </c>
      <c r="J37" s="93">
        <f t="shared" si="6"/>
        <v>3891.7251670000001</v>
      </c>
      <c r="K37" s="93">
        <f t="shared" si="6"/>
        <v>4315.8972464000008</v>
      </c>
      <c r="L37" s="107">
        <f t="shared" si="1"/>
        <v>912.95328150507498</v>
      </c>
      <c r="M37" s="107">
        <f t="shared" si="2"/>
        <v>966.54497752070324</v>
      </c>
      <c r="N37" s="107">
        <f t="shared" si="3"/>
        <v>728.74203775861565</v>
      </c>
      <c r="O37" s="107">
        <f t="shared" si="4"/>
        <v>858.6323057847045</v>
      </c>
      <c r="P37" s="107">
        <f>K37/F37*1000</f>
        <v>913.52469021176705</v>
      </c>
    </row>
  </sheetData>
  <mergeCells count="5">
    <mergeCell ref="A4:A5"/>
    <mergeCell ref="B4:F4"/>
    <mergeCell ref="G4:K4"/>
    <mergeCell ref="L4:P4"/>
    <mergeCell ref="A2:P2"/>
  </mergeCells>
  <phoneticPr fontId="0" type="noConversion"/>
  <printOptions horizontalCentered="1"/>
  <pageMargins left="0.511811023622047" right="0.511811023622047" top="0.23622047244094499" bottom="0.23622047244094499" header="0.511811023622047" footer="0.511811023622047"/>
  <pageSetup paperSize="9" scale="70" orientation="landscape" r:id="rId1"/>
  <headerFooter alignWithMargins="0"/>
  <rowBreaks count="1" manualBreakCount="1">
    <brk id="53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35"/>
  <sheetViews>
    <sheetView tabSelected="1" view="pageBreakPreview" zoomScale="60" zoomScaleNormal="75" workbookViewId="0">
      <pane xSplit="1" ySplit="6" topLeftCell="G28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6.85546875" style="4" customWidth="1"/>
    <col min="2" max="2" width="11.42578125" style="4" customWidth="1"/>
    <col min="3" max="3" width="12.5703125" style="4" customWidth="1"/>
    <col min="4" max="6" width="12.28515625" style="4" customWidth="1"/>
    <col min="7" max="7" width="11.42578125" style="4" customWidth="1"/>
    <col min="8" max="8" width="12.140625" style="4" customWidth="1"/>
    <col min="9" max="10" width="12.28515625" style="4" customWidth="1"/>
    <col min="11" max="11" width="13.7109375" style="4" customWidth="1"/>
    <col min="12" max="16" width="12" style="4" customWidth="1"/>
    <col min="17" max="16384" width="9.140625" style="4"/>
  </cols>
  <sheetData>
    <row r="2" spans="1:16" ht="29.25" customHeight="1" x14ac:dyDescent="0.2">
      <c r="A2" s="351" t="s">
        <v>184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</row>
    <row r="3" spans="1:16" ht="18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6"/>
      <c r="M3" s="16"/>
      <c r="N3" s="16"/>
      <c r="O3" s="16"/>
      <c r="P3" s="16"/>
    </row>
    <row r="4" spans="1:16" ht="14.25" customHeight="1" x14ac:dyDescent="0.2">
      <c r="A4" s="340" t="s">
        <v>1</v>
      </c>
      <c r="B4" s="342" t="s">
        <v>174</v>
      </c>
      <c r="C4" s="342"/>
      <c r="D4" s="342"/>
      <c r="E4" s="342"/>
      <c r="F4" s="342"/>
      <c r="G4" s="342" t="s">
        <v>68</v>
      </c>
      <c r="H4" s="342"/>
      <c r="I4" s="342"/>
      <c r="J4" s="342"/>
      <c r="K4" s="342"/>
      <c r="L4" s="342" t="s">
        <v>89</v>
      </c>
      <c r="M4" s="342"/>
      <c r="N4" s="342"/>
      <c r="O4" s="342"/>
      <c r="P4" s="342"/>
    </row>
    <row r="5" spans="1:16" ht="22.5" customHeight="1" x14ac:dyDescent="0.2">
      <c r="A5" s="340"/>
      <c r="B5" s="274" t="s">
        <v>112</v>
      </c>
      <c r="C5" s="274" t="s">
        <v>164</v>
      </c>
      <c r="D5" s="274" t="s">
        <v>199</v>
      </c>
      <c r="E5" s="274" t="s">
        <v>200</v>
      </c>
      <c r="F5" s="273" t="s">
        <v>202</v>
      </c>
      <c r="G5" s="274" t="s">
        <v>112</v>
      </c>
      <c r="H5" s="274" t="s">
        <v>164</v>
      </c>
      <c r="I5" s="274" t="s">
        <v>199</v>
      </c>
      <c r="J5" s="274" t="s">
        <v>200</v>
      </c>
      <c r="K5" s="273" t="s">
        <v>202</v>
      </c>
      <c r="L5" s="339" t="s">
        <v>112</v>
      </c>
      <c r="M5" s="339" t="s">
        <v>164</v>
      </c>
      <c r="N5" s="339" t="s">
        <v>199</v>
      </c>
      <c r="O5" s="339" t="s">
        <v>200</v>
      </c>
      <c r="P5" s="339" t="s">
        <v>202</v>
      </c>
    </row>
    <row r="6" spans="1:16" s="14" customFormat="1" ht="15.75" customHeight="1" x14ac:dyDescent="0.2">
      <c r="A6" s="187">
        <v>1</v>
      </c>
      <c r="B6" s="250">
        <v>2</v>
      </c>
      <c r="C6" s="250">
        <v>3</v>
      </c>
      <c r="D6" s="250">
        <v>4</v>
      </c>
      <c r="E6" s="250">
        <v>5</v>
      </c>
      <c r="F6" s="250">
        <v>6</v>
      </c>
      <c r="G6" s="250">
        <v>7</v>
      </c>
      <c r="H6" s="250">
        <v>8</v>
      </c>
      <c r="I6" s="250">
        <v>9</v>
      </c>
      <c r="J6" s="250">
        <v>10</v>
      </c>
      <c r="K6" s="250">
        <v>11</v>
      </c>
      <c r="L6" s="250">
        <v>12</v>
      </c>
      <c r="M6" s="250">
        <v>13</v>
      </c>
      <c r="N6" s="250">
        <v>14</v>
      </c>
      <c r="O6" s="250">
        <v>15</v>
      </c>
      <c r="P6" s="250">
        <v>16</v>
      </c>
    </row>
    <row r="7" spans="1:16" ht="25.5" customHeight="1" x14ac:dyDescent="0.2">
      <c r="A7" s="249" t="s">
        <v>2</v>
      </c>
      <c r="B7" s="97">
        <v>397</v>
      </c>
      <c r="C7" s="76">
        <v>520</v>
      </c>
      <c r="D7" s="96">
        <v>478</v>
      </c>
      <c r="E7" s="76">
        <v>459</v>
      </c>
      <c r="F7" s="76">
        <v>469</v>
      </c>
      <c r="G7" s="76">
        <v>381</v>
      </c>
      <c r="H7" s="76">
        <v>588.64</v>
      </c>
      <c r="I7" s="76">
        <v>242.82400000000001</v>
      </c>
      <c r="J7" s="76">
        <v>559.06200000000001</v>
      </c>
      <c r="K7" s="76">
        <v>532.78399999999999</v>
      </c>
      <c r="L7" s="99">
        <f>G7/B7*1000</f>
        <v>959.69773299748101</v>
      </c>
      <c r="M7" s="99">
        <f t="shared" ref="M7:P7" si="0">H7/C7*1000</f>
        <v>1132</v>
      </c>
      <c r="N7" s="99">
        <f t="shared" si="0"/>
        <v>508</v>
      </c>
      <c r="O7" s="99">
        <f t="shared" si="0"/>
        <v>1218</v>
      </c>
      <c r="P7" s="99">
        <f t="shared" si="0"/>
        <v>1136</v>
      </c>
    </row>
    <row r="8" spans="1:16" ht="25.5" customHeight="1" x14ac:dyDescent="0.2">
      <c r="A8" s="249" t="s">
        <v>24</v>
      </c>
      <c r="B8" s="97">
        <v>0</v>
      </c>
      <c r="C8" s="76">
        <v>0</v>
      </c>
      <c r="D8" s="96">
        <v>2.5919999999999996</v>
      </c>
      <c r="E8" s="76">
        <v>0</v>
      </c>
      <c r="F8" s="76">
        <v>0</v>
      </c>
      <c r="G8" s="76">
        <v>0</v>
      </c>
      <c r="H8" s="76">
        <v>0</v>
      </c>
      <c r="I8" s="76">
        <v>0</v>
      </c>
      <c r="J8" s="76">
        <v>0</v>
      </c>
      <c r="K8" s="76">
        <v>0</v>
      </c>
      <c r="L8" s="99" t="e">
        <f t="shared" ref="L8:L35" si="1">G8/B8*1000</f>
        <v>#DIV/0!</v>
      </c>
      <c r="M8" s="99" t="e">
        <f t="shared" ref="M8:M35" si="2">H8/C8*1000</f>
        <v>#DIV/0!</v>
      </c>
      <c r="N8" s="99">
        <f t="shared" ref="N8:N35" si="3">I8/D8*1000</f>
        <v>0</v>
      </c>
      <c r="O8" s="99" t="e">
        <f t="shared" ref="O8:O35" si="4">J8/E8*1000</f>
        <v>#DIV/0!</v>
      </c>
      <c r="P8" s="99" t="e">
        <f t="shared" ref="P8:P35" si="5">K8/F8*1000</f>
        <v>#DIV/0!</v>
      </c>
    </row>
    <row r="9" spans="1:16" ht="25.5" customHeight="1" x14ac:dyDescent="0.2">
      <c r="A9" s="249" t="s">
        <v>25</v>
      </c>
      <c r="B9" s="76">
        <v>2.4289999999999998</v>
      </c>
      <c r="C9" s="76">
        <v>2.2730000000000001</v>
      </c>
      <c r="D9" s="96">
        <v>2.2440000000000002</v>
      </c>
      <c r="E9" s="76">
        <v>2.1760000000000002</v>
      </c>
      <c r="F9" s="76">
        <v>2.089</v>
      </c>
      <c r="G9" s="76">
        <v>1.5820000000000001</v>
      </c>
      <c r="H9" s="76">
        <v>1.5615510000000001</v>
      </c>
      <c r="I9" s="76">
        <v>1.5685560000000001</v>
      </c>
      <c r="J9" s="76">
        <v>1.5188480000000002</v>
      </c>
      <c r="K9" s="76">
        <v>1.543771</v>
      </c>
      <c r="L9" s="99">
        <f t="shared" si="1"/>
        <v>651.29682997118164</v>
      </c>
      <c r="M9" s="99">
        <f t="shared" si="2"/>
        <v>687</v>
      </c>
      <c r="N9" s="99">
        <f t="shared" si="3"/>
        <v>699</v>
      </c>
      <c r="O9" s="99">
        <f t="shared" si="4"/>
        <v>698.00000000000011</v>
      </c>
      <c r="P9" s="99">
        <f t="shared" si="5"/>
        <v>739</v>
      </c>
    </row>
    <row r="10" spans="1:16" ht="25.5" customHeight="1" x14ac:dyDescent="0.2">
      <c r="A10" s="249" t="s">
        <v>48</v>
      </c>
      <c r="B10" s="97">
        <v>59.363999999999997</v>
      </c>
      <c r="C10" s="76">
        <v>58.220999999999997</v>
      </c>
      <c r="D10" s="96">
        <v>56.476999999999997</v>
      </c>
      <c r="E10" s="76">
        <v>52.802</v>
      </c>
      <c r="F10" s="76">
        <v>51.805</v>
      </c>
      <c r="G10" s="76">
        <v>66.501999999999995</v>
      </c>
      <c r="H10" s="76">
        <v>67.187033999999997</v>
      </c>
      <c r="I10" s="76">
        <v>67.715922999999989</v>
      </c>
      <c r="J10" s="76">
        <v>38.545459999999999</v>
      </c>
      <c r="K10" s="76">
        <v>54.498860000000001</v>
      </c>
      <c r="L10" s="99">
        <f t="shared" si="1"/>
        <v>1120.2412236372213</v>
      </c>
      <c r="M10" s="99">
        <f t="shared" si="2"/>
        <v>1154</v>
      </c>
      <c r="N10" s="99">
        <f t="shared" si="3"/>
        <v>1198.9999999999998</v>
      </c>
      <c r="O10" s="99">
        <f t="shared" si="4"/>
        <v>730</v>
      </c>
      <c r="P10" s="99">
        <f t="shared" si="5"/>
        <v>1052</v>
      </c>
    </row>
    <row r="11" spans="1:16" ht="25.5" customHeight="1" x14ac:dyDescent="0.2">
      <c r="A11" s="249" t="s">
        <v>47</v>
      </c>
      <c r="B11" s="97">
        <v>307.39999999999998</v>
      </c>
      <c r="C11" s="76">
        <v>317.75</v>
      </c>
      <c r="D11" s="96">
        <v>321.5</v>
      </c>
      <c r="E11" s="76">
        <v>381.77</v>
      </c>
      <c r="F11" s="76">
        <v>301.58999999999997</v>
      </c>
      <c r="G11" s="76">
        <v>359.9</v>
      </c>
      <c r="H11" s="76">
        <v>320.92750000000001</v>
      </c>
      <c r="I11" s="76">
        <v>329.85899999999998</v>
      </c>
      <c r="J11" s="76">
        <v>88.188869999999994</v>
      </c>
      <c r="K11" s="76">
        <v>267.51032999999995</v>
      </c>
      <c r="L11" s="99">
        <f t="shared" si="1"/>
        <v>1170.7872478854913</v>
      </c>
      <c r="M11" s="99">
        <f t="shared" si="2"/>
        <v>1010</v>
      </c>
      <c r="N11" s="99">
        <f t="shared" si="3"/>
        <v>1026</v>
      </c>
      <c r="O11" s="99">
        <f t="shared" si="4"/>
        <v>230.99999999999997</v>
      </c>
      <c r="P11" s="99">
        <f t="shared" si="5"/>
        <v>886.99999999999989</v>
      </c>
    </row>
    <row r="12" spans="1:16" ht="25.5" customHeight="1" x14ac:dyDescent="0.2">
      <c r="A12" s="249" t="s">
        <v>4</v>
      </c>
      <c r="B12" s="97">
        <v>164</v>
      </c>
      <c r="C12" s="76">
        <v>293</v>
      </c>
      <c r="D12" s="96">
        <v>172.95</v>
      </c>
      <c r="E12" s="76">
        <v>405.05</v>
      </c>
      <c r="F12" s="76">
        <v>816.21</v>
      </c>
      <c r="G12" s="76">
        <v>183</v>
      </c>
      <c r="H12" s="76">
        <v>376.505</v>
      </c>
      <c r="I12" s="76">
        <v>234.86609999999999</v>
      </c>
      <c r="J12" s="76">
        <v>635.11840000000007</v>
      </c>
      <c r="K12" s="76">
        <v>1279.81728</v>
      </c>
      <c r="L12" s="99">
        <f t="shared" si="1"/>
        <v>1115.8536585365855</v>
      </c>
      <c r="M12" s="99">
        <f t="shared" si="2"/>
        <v>1285</v>
      </c>
      <c r="N12" s="99">
        <f t="shared" si="3"/>
        <v>1358</v>
      </c>
      <c r="O12" s="99">
        <f t="shared" si="4"/>
        <v>1568</v>
      </c>
      <c r="P12" s="99">
        <f t="shared" si="5"/>
        <v>1567.9999999999998</v>
      </c>
    </row>
    <row r="13" spans="1:16" ht="25.5" customHeight="1" x14ac:dyDescent="0.2">
      <c r="A13" s="249" t="s">
        <v>18</v>
      </c>
      <c r="B13" s="76">
        <v>37</v>
      </c>
      <c r="C13" s="76">
        <v>32</v>
      </c>
      <c r="D13" s="96">
        <v>44.9</v>
      </c>
      <c r="E13" s="76">
        <v>43.97</v>
      </c>
      <c r="F13" s="76">
        <v>35.69</v>
      </c>
      <c r="G13" s="76">
        <v>44</v>
      </c>
      <c r="H13" s="76">
        <v>36</v>
      </c>
      <c r="I13" s="76">
        <v>62.186500000000002</v>
      </c>
      <c r="J13" s="76">
        <v>47.135839999999995</v>
      </c>
      <c r="K13" s="76">
        <v>35.868449999999996</v>
      </c>
      <c r="L13" s="99">
        <f t="shared" si="1"/>
        <v>1189.1891891891892</v>
      </c>
      <c r="M13" s="99">
        <f t="shared" si="2"/>
        <v>1125</v>
      </c>
      <c r="N13" s="99">
        <f t="shared" si="3"/>
        <v>1385</v>
      </c>
      <c r="O13" s="99">
        <f t="shared" si="4"/>
        <v>1071.9999999999998</v>
      </c>
      <c r="P13" s="99">
        <f t="shared" si="5"/>
        <v>1004.9999999999999</v>
      </c>
    </row>
    <row r="14" spans="1:16" ht="25.5" customHeight="1" x14ac:dyDescent="0.2">
      <c r="A14" s="249" t="s">
        <v>56</v>
      </c>
      <c r="B14" s="96">
        <v>0.42799999999999999</v>
      </c>
      <c r="C14" s="76">
        <v>0.35799999999999998</v>
      </c>
      <c r="D14" s="96">
        <v>0.38400000000000001</v>
      </c>
      <c r="E14" s="76">
        <v>0.39400000000000002</v>
      </c>
      <c r="F14" s="76">
        <v>0.33</v>
      </c>
      <c r="G14" s="76">
        <v>0.39500000000000002</v>
      </c>
      <c r="H14" s="76">
        <v>0.37299999999999994</v>
      </c>
      <c r="I14" s="76">
        <v>0.39935999999999999</v>
      </c>
      <c r="J14" s="76">
        <v>0.42158000000000007</v>
      </c>
      <c r="K14" s="76">
        <v>0.33792</v>
      </c>
      <c r="L14" s="99">
        <f t="shared" si="1"/>
        <v>922.89719626168232</v>
      </c>
      <c r="M14" s="99">
        <f t="shared" si="2"/>
        <v>1041.899441340782</v>
      </c>
      <c r="N14" s="99">
        <f t="shared" si="3"/>
        <v>1040</v>
      </c>
      <c r="O14" s="99">
        <f t="shared" si="4"/>
        <v>1070</v>
      </c>
      <c r="P14" s="99">
        <f t="shared" si="5"/>
        <v>1024</v>
      </c>
    </row>
    <row r="15" spans="1:16" ht="25.5" customHeight="1" x14ac:dyDescent="0.2">
      <c r="A15" s="249" t="s">
        <v>45</v>
      </c>
      <c r="B15" s="96">
        <v>0</v>
      </c>
      <c r="C15" s="76">
        <v>2.3E-2</v>
      </c>
      <c r="D15" s="96">
        <v>0</v>
      </c>
      <c r="E15" s="76">
        <v>8.9999999999999993E-3</v>
      </c>
      <c r="F15" s="76">
        <v>0</v>
      </c>
      <c r="G15" s="76">
        <v>0</v>
      </c>
      <c r="H15" s="76">
        <v>4.9909999999999998E-3</v>
      </c>
      <c r="I15" s="76">
        <v>0</v>
      </c>
      <c r="J15" s="76">
        <v>2.6999999999999997E-3</v>
      </c>
      <c r="K15" s="76">
        <v>0</v>
      </c>
      <c r="L15" s="99" t="e">
        <f t="shared" si="1"/>
        <v>#DIV/0!</v>
      </c>
      <c r="M15" s="99">
        <f t="shared" si="2"/>
        <v>217</v>
      </c>
      <c r="N15" s="99" t="e">
        <f t="shared" si="3"/>
        <v>#DIV/0!</v>
      </c>
      <c r="O15" s="99">
        <f t="shared" si="4"/>
        <v>300</v>
      </c>
      <c r="P15" s="99" t="e">
        <f t="shared" si="5"/>
        <v>#DIV/0!</v>
      </c>
    </row>
    <row r="16" spans="1:16" ht="25.5" customHeight="1" x14ac:dyDescent="0.2">
      <c r="A16" s="249" t="s">
        <v>83</v>
      </c>
      <c r="B16" s="97">
        <v>210.74199999999999</v>
      </c>
      <c r="C16" s="76">
        <v>232.684</v>
      </c>
      <c r="D16" s="96">
        <v>189.673</v>
      </c>
      <c r="E16" s="76">
        <v>230.07300000000001</v>
      </c>
      <c r="F16" s="76">
        <v>265.89999999999998</v>
      </c>
      <c r="G16" s="76">
        <v>247.41110799999998</v>
      </c>
      <c r="H16" s="76">
        <v>285.735952</v>
      </c>
      <c r="I16" s="76">
        <v>221.15871799999999</v>
      </c>
      <c r="J16" s="76">
        <v>275.397381</v>
      </c>
      <c r="K16" s="76">
        <v>334.23629999999997</v>
      </c>
      <c r="L16" s="99">
        <f t="shared" si="1"/>
        <v>1174</v>
      </c>
      <c r="M16" s="99">
        <f t="shared" si="2"/>
        <v>1228</v>
      </c>
      <c r="N16" s="99">
        <f t="shared" si="3"/>
        <v>1166</v>
      </c>
      <c r="O16" s="99">
        <f t="shared" si="4"/>
        <v>1196.9999999999998</v>
      </c>
      <c r="P16" s="99">
        <f t="shared" si="5"/>
        <v>1257</v>
      </c>
    </row>
    <row r="17" spans="1:16" ht="25.5" customHeight="1" x14ac:dyDescent="0.2">
      <c r="A17" s="249" t="s">
        <v>5</v>
      </c>
      <c r="B17" s="97">
        <v>1003</v>
      </c>
      <c r="C17" s="76">
        <v>1265</v>
      </c>
      <c r="D17" s="96">
        <v>1128.5999999999999</v>
      </c>
      <c r="E17" s="76">
        <v>864</v>
      </c>
      <c r="F17" s="76">
        <v>713</v>
      </c>
      <c r="G17" s="76">
        <v>592</v>
      </c>
      <c r="H17" s="76">
        <v>783.03499999999997</v>
      </c>
      <c r="I17" s="76">
        <v>574.45739999999989</v>
      </c>
      <c r="J17" s="76">
        <v>675.64800000000002</v>
      </c>
      <c r="K17" s="76">
        <v>445.625</v>
      </c>
      <c r="L17" s="99">
        <f t="shared" si="1"/>
        <v>590.22931206380861</v>
      </c>
      <c r="M17" s="99">
        <f t="shared" si="2"/>
        <v>619</v>
      </c>
      <c r="N17" s="99">
        <f t="shared" si="3"/>
        <v>508.99999999999989</v>
      </c>
      <c r="O17" s="99">
        <f t="shared" si="4"/>
        <v>782</v>
      </c>
      <c r="P17" s="99">
        <f t="shared" si="5"/>
        <v>625</v>
      </c>
    </row>
    <row r="18" spans="1:16" ht="25.5" customHeight="1" x14ac:dyDescent="0.2">
      <c r="A18" s="249" t="s">
        <v>106</v>
      </c>
      <c r="B18" s="76">
        <v>1.5620000000000001</v>
      </c>
      <c r="C18" s="76">
        <v>1.7849999999999999</v>
      </c>
      <c r="D18" s="96">
        <v>0.69089999999999996</v>
      </c>
      <c r="E18" s="76">
        <v>0.6</v>
      </c>
      <c r="F18" s="76">
        <v>0.60699999999999998</v>
      </c>
      <c r="G18" s="76">
        <v>1.4330000000000001</v>
      </c>
      <c r="H18" s="76">
        <v>1.7225249999999999</v>
      </c>
      <c r="I18" s="76">
        <v>0.54581099999999994</v>
      </c>
      <c r="J18" s="76">
        <v>0.45419999999999999</v>
      </c>
      <c r="K18" s="76">
        <v>0.50805899999999993</v>
      </c>
      <c r="L18" s="99">
        <f t="shared" si="1"/>
        <v>917.41357234314978</v>
      </c>
      <c r="M18" s="99">
        <f t="shared" si="2"/>
        <v>965</v>
      </c>
      <c r="N18" s="99">
        <f t="shared" si="3"/>
        <v>789.99999999999989</v>
      </c>
      <c r="O18" s="99">
        <f t="shared" si="4"/>
        <v>757</v>
      </c>
      <c r="P18" s="99">
        <f t="shared" si="5"/>
        <v>836.99999999999989</v>
      </c>
    </row>
    <row r="19" spans="1:16" ht="25.5" customHeight="1" x14ac:dyDescent="0.2">
      <c r="A19" s="249" t="s">
        <v>6</v>
      </c>
      <c r="B19" s="97">
        <v>3222</v>
      </c>
      <c r="C19" s="76">
        <v>3590</v>
      </c>
      <c r="D19" s="96">
        <v>3103</v>
      </c>
      <c r="E19" s="76">
        <v>1926</v>
      </c>
      <c r="F19" s="76">
        <v>2160</v>
      </c>
      <c r="G19" s="76">
        <v>3544.2</v>
      </c>
      <c r="H19" s="76">
        <v>4595.0204999999987</v>
      </c>
      <c r="I19" s="76">
        <v>3996.6640000000002</v>
      </c>
      <c r="J19" s="76">
        <v>2729.1419999999998</v>
      </c>
      <c r="K19" s="76">
        <v>3214.08</v>
      </c>
      <c r="L19" s="99">
        <f t="shared" si="1"/>
        <v>1099.9999999999998</v>
      </c>
      <c r="M19" s="99">
        <f t="shared" si="2"/>
        <v>1279.9499999999996</v>
      </c>
      <c r="N19" s="99">
        <f t="shared" si="3"/>
        <v>1288</v>
      </c>
      <c r="O19" s="99">
        <f t="shared" si="4"/>
        <v>1416.9999999999998</v>
      </c>
      <c r="P19" s="99">
        <f t="shared" si="5"/>
        <v>1488</v>
      </c>
    </row>
    <row r="20" spans="1:16" ht="25.5" customHeight="1" x14ac:dyDescent="0.2">
      <c r="A20" s="198" t="s">
        <v>7</v>
      </c>
      <c r="B20" s="97">
        <v>1929.3</v>
      </c>
      <c r="C20" s="76">
        <v>2000.3</v>
      </c>
      <c r="D20" s="96">
        <v>1694.2</v>
      </c>
      <c r="E20" s="76">
        <v>2043.21</v>
      </c>
      <c r="F20" s="76">
        <v>2231.3000000000002</v>
      </c>
      <c r="G20" s="76">
        <v>1719.0063</v>
      </c>
      <c r="H20" s="76">
        <v>1834.2750999999998</v>
      </c>
      <c r="I20" s="76">
        <v>1396.8679000000002</v>
      </c>
      <c r="J20" s="76">
        <v>2239.3581600000002</v>
      </c>
      <c r="K20" s="76">
        <v>2396.4162000000001</v>
      </c>
      <c r="L20" s="99">
        <f t="shared" si="1"/>
        <v>891</v>
      </c>
      <c r="M20" s="99">
        <f t="shared" si="2"/>
        <v>916.99999999999989</v>
      </c>
      <c r="N20" s="99">
        <f t="shared" si="3"/>
        <v>824.50000000000011</v>
      </c>
      <c r="O20" s="99">
        <f t="shared" si="4"/>
        <v>1096</v>
      </c>
      <c r="P20" s="99">
        <f t="shared" si="5"/>
        <v>1074</v>
      </c>
    </row>
    <row r="21" spans="1:16" ht="25.5" customHeight="1" x14ac:dyDescent="0.2">
      <c r="A21" s="198" t="s">
        <v>29</v>
      </c>
      <c r="B21" s="97">
        <v>0.78</v>
      </c>
      <c r="C21" s="76">
        <v>0.82</v>
      </c>
      <c r="D21" s="96">
        <v>0.85</v>
      </c>
      <c r="E21" s="76">
        <v>0.75900000000000001</v>
      </c>
      <c r="F21" s="76">
        <v>0.88900000000000001</v>
      </c>
      <c r="G21" s="76">
        <v>0.74</v>
      </c>
      <c r="H21" s="76">
        <v>0.76505999999999996</v>
      </c>
      <c r="I21" s="76">
        <v>0.78964999999999996</v>
      </c>
      <c r="J21" s="76">
        <v>0.69600300000000004</v>
      </c>
      <c r="K21" s="76">
        <v>0.82232500000000008</v>
      </c>
      <c r="L21" s="99">
        <f t="shared" si="1"/>
        <v>948.71794871794873</v>
      </c>
      <c r="M21" s="99">
        <f t="shared" si="2"/>
        <v>933</v>
      </c>
      <c r="N21" s="99">
        <f t="shared" si="3"/>
        <v>928.99999999999989</v>
      </c>
      <c r="O21" s="99">
        <f t="shared" si="4"/>
        <v>917</v>
      </c>
      <c r="P21" s="99">
        <f t="shared" si="5"/>
        <v>925</v>
      </c>
    </row>
    <row r="22" spans="1:16" ht="25.5" customHeight="1" x14ac:dyDescent="0.2">
      <c r="A22" s="198" t="s">
        <v>26</v>
      </c>
      <c r="B22" s="97">
        <v>1.85</v>
      </c>
      <c r="C22" s="76">
        <v>1.8580000000000001</v>
      </c>
      <c r="D22" s="96">
        <v>1.865</v>
      </c>
      <c r="E22" s="76">
        <v>1.86</v>
      </c>
      <c r="F22" s="76">
        <v>1.869</v>
      </c>
      <c r="G22" s="76">
        <v>1.97</v>
      </c>
      <c r="H22" s="76">
        <v>1.9806280000000001</v>
      </c>
      <c r="I22" s="76">
        <v>1.9918199999999999</v>
      </c>
      <c r="J22" s="76">
        <v>1.9939200000000001</v>
      </c>
      <c r="K22" s="76">
        <v>2.003568</v>
      </c>
      <c r="L22" s="99">
        <f t="shared" si="1"/>
        <v>1064.8648648648648</v>
      </c>
      <c r="M22" s="99">
        <f t="shared" si="2"/>
        <v>1066</v>
      </c>
      <c r="N22" s="99">
        <f t="shared" si="3"/>
        <v>1068</v>
      </c>
      <c r="O22" s="99">
        <f t="shared" si="4"/>
        <v>1072</v>
      </c>
      <c r="P22" s="99">
        <f t="shared" si="5"/>
        <v>1072</v>
      </c>
    </row>
    <row r="23" spans="1:16" ht="25.5" customHeight="1" x14ac:dyDescent="0.2">
      <c r="A23" s="198" t="s">
        <v>20</v>
      </c>
      <c r="B23" s="97">
        <v>0.75</v>
      </c>
      <c r="C23" s="76">
        <v>0.78</v>
      </c>
      <c r="D23" s="96">
        <v>0.76</v>
      </c>
      <c r="E23" s="76">
        <v>0.76</v>
      </c>
      <c r="F23" s="76">
        <v>0.76</v>
      </c>
      <c r="G23" s="76">
        <v>0.62</v>
      </c>
      <c r="H23" s="76">
        <v>0.65988000000000002</v>
      </c>
      <c r="I23" s="76">
        <v>0.63991999999999993</v>
      </c>
      <c r="J23" s="76">
        <v>0.63991999999999993</v>
      </c>
      <c r="K23" s="76">
        <v>0.63991999999999993</v>
      </c>
      <c r="L23" s="99">
        <f t="shared" si="1"/>
        <v>826.66666666666663</v>
      </c>
      <c r="M23" s="99">
        <f t="shared" si="2"/>
        <v>846</v>
      </c>
      <c r="N23" s="99">
        <f t="shared" si="3"/>
        <v>841.99999999999989</v>
      </c>
      <c r="O23" s="99">
        <f t="shared" si="4"/>
        <v>841.99999999999989</v>
      </c>
      <c r="P23" s="99">
        <f t="shared" si="5"/>
        <v>841.99999999999989</v>
      </c>
    </row>
    <row r="24" spans="1:16" ht="25.5" customHeight="1" x14ac:dyDescent="0.2">
      <c r="A24" s="198" t="s">
        <v>107</v>
      </c>
      <c r="B24" s="97">
        <v>40.32</v>
      </c>
      <c r="C24" s="76">
        <v>32.94</v>
      </c>
      <c r="D24" s="96">
        <v>30.57</v>
      </c>
      <c r="E24" s="76">
        <v>27.82</v>
      </c>
      <c r="F24" s="76">
        <v>29.19</v>
      </c>
      <c r="G24" s="76">
        <v>30.97</v>
      </c>
      <c r="H24" s="76">
        <v>25.627320000000001</v>
      </c>
      <c r="I24" s="76">
        <v>23.8446</v>
      </c>
      <c r="J24" s="76">
        <v>21.671779999999998</v>
      </c>
      <c r="K24" s="76">
        <v>22.563870000000001</v>
      </c>
      <c r="L24" s="99">
        <f t="shared" si="1"/>
        <v>768.10515873015868</v>
      </c>
      <c r="M24" s="99">
        <f t="shared" si="2"/>
        <v>778.00000000000011</v>
      </c>
      <c r="N24" s="99">
        <f t="shared" si="3"/>
        <v>780</v>
      </c>
      <c r="O24" s="99">
        <f t="shared" si="4"/>
        <v>778.99999999999989</v>
      </c>
      <c r="P24" s="99">
        <f t="shared" si="5"/>
        <v>773</v>
      </c>
    </row>
    <row r="25" spans="1:16" ht="25.5" customHeight="1" x14ac:dyDescent="0.2">
      <c r="A25" s="198" t="s">
        <v>21</v>
      </c>
      <c r="B25" s="76">
        <v>1.6</v>
      </c>
      <c r="C25" s="76">
        <v>1.7</v>
      </c>
      <c r="D25" s="96">
        <v>1.9</v>
      </c>
      <c r="E25" s="76">
        <v>1.5</v>
      </c>
      <c r="F25" s="76">
        <v>2</v>
      </c>
      <c r="G25" s="76">
        <v>2.2000000000000002</v>
      </c>
      <c r="H25" s="76">
        <v>2.0077000000000003</v>
      </c>
      <c r="I25" s="76">
        <v>2.5270000000000001</v>
      </c>
      <c r="J25" s="76">
        <v>1.8285</v>
      </c>
      <c r="K25" s="76">
        <v>2.6440000000000001</v>
      </c>
      <c r="L25" s="99">
        <f t="shared" si="1"/>
        <v>1375</v>
      </c>
      <c r="M25" s="99">
        <f t="shared" si="2"/>
        <v>1181.0000000000002</v>
      </c>
      <c r="N25" s="99">
        <f t="shared" si="3"/>
        <v>1330</v>
      </c>
      <c r="O25" s="99">
        <f t="shared" si="4"/>
        <v>1219</v>
      </c>
      <c r="P25" s="99">
        <f t="shared" si="5"/>
        <v>1322</v>
      </c>
    </row>
    <row r="26" spans="1:16" ht="25.5" customHeight="1" x14ac:dyDescent="0.2">
      <c r="A26" s="198" t="s">
        <v>36</v>
      </c>
      <c r="B26" s="97">
        <v>1547.9079999999999</v>
      </c>
      <c r="C26" s="76">
        <v>1572.4870000000001</v>
      </c>
      <c r="D26" s="96">
        <v>1596.749</v>
      </c>
      <c r="E26" s="76">
        <v>2463.0500000000002</v>
      </c>
      <c r="F26" s="76">
        <v>2113.1390000000001</v>
      </c>
      <c r="G26" s="76">
        <v>1409.3869999999999</v>
      </c>
      <c r="H26" s="76">
        <v>1688.8510380000002</v>
      </c>
      <c r="I26" s="76">
        <v>1839.4548480000001</v>
      </c>
      <c r="J26" s="76">
        <v>2657.6309500000002</v>
      </c>
      <c r="K26" s="76">
        <v>2265.2850079999998</v>
      </c>
      <c r="L26" s="99">
        <f t="shared" si="1"/>
        <v>910.51083139308025</v>
      </c>
      <c r="M26" s="99">
        <f t="shared" si="2"/>
        <v>1074</v>
      </c>
      <c r="N26" s="99">
        <f t="shared" si="3"/>
        <v>1152.0000000000002</v>
      </c>
      <c r="O26" s="99">
        <f t="shared" si="4"/>
        <v>1079</v>
      </c>
      <c r="P26" s="99">
        <f t="shared" si="5"/>
        <v>1071.9999999999998</v>
      </c>
    </row>
    <row r="27" spans="1:16" ht="25.5" customHeight="1" x14ac:dyDescent="0.2">
      <c r="A27" s="198" t="s">
        <v>11</v>
      </c>
      <c r="B27" s="76">
        <v>5.23</v>
      </c>
      <c r="C27" s="76">
        <v>5.21</v>
      </c>
      <c r="D27" s="96">
        <v>5.85</v>
      </c>
      <c r="E27" s="76">
        <v>5.55</v>
      </c>
      <c r="F27" s="76">
        <v>5.64</v>
      </c>
      <c r="G27" s="76">
        <v>3.39</v>
      </c>
      <c r="H27" s="76">
        <v>4.8244600000000002</v>
      </c>
      <c r="I27" s="76">
        <v>5.4170999999999996</v>
      </c>
      <c r="J27" s="76">
        <v>5.1393000000000004</v>
      </c>
      <c r="K27" s="76">
        <v>5.2226399999999993</v>
      </c>
      <c r="L27" s="99">
        <f t="shared" si="1"/>
        <v>648.18355640535378</v>
      </c>
      <c r="M27" s="99">
        <f t="shared" si="2"/>
        <v>926</v>
      </c>
      <c r="N27" s="99">
        <f t="shared" si="3"/>
        <v>925.99999999999989</v>
      </c>
      <c r="O27" s="99">
        <f t="shared" si="4"/>
        <v>926.00000000000011</v>
      </c>
      <c r="P27" s="99">
        <f t="shared" si="5"/>
        <v>925.99999999999989</v>
      </c>
    </row>
    <row r="28" spans="1:16" ht="25.5" customHeight="1" x14ac:dyDescent="0.2">
      <c r="A28" s="198" t="s">
        <v>109</v>
      </c>
      <c r="B28" s="76">
        <v>102</v>
      </c>
      <c r="C28" s="76">
        <v>97</v>
      </c>
      <c r="D28" s="96">
        <v>104</v>
      </c>
      <c r="E28" s="76">
        <v>130</v>
      </c>
      <c r="F28" s="76">
        <v>143</v>
      </c>
      <c r="G28" s="76">
        <v>132</v>
      </c>
      <c r="H28" s="76">
        <v>147.05199999999999</v>
      </c>
      <c r="I28" s="76">
        <v>163.17599999999999</v>
      </c>
      <c r="J28" s="76">
        <v>199.16</v>
      </c>
      <c r="K28" s="76">
        <v>238.381</v>
      </c>
      <c r="L28" s="99">
        <f t="shared" si="1"/>
        <v>1294.1176470588236</v>
      </c>
      <c r="M28" s="99">
        <f t="shared" si="2"/>
        <v>1516</v>
      </c>
      <c r="N28" s="99">
        <f t="shared" si="3"/>
        <v>1569</v>
      </c>
      <c r="O28" s="99">
        <f t="shared" si="4"/>
        <v>1532</v>
      </c>
      <c r="P28" s="99">
        <f t="shared" si="5"/>
        <v>1667</v>
      </c>
    </row>
    <row r="29" spans="1:16" ht="25.5" customHeight="1" x14ac:dyDescent="0.2">
      <c r="A29" s="198" t="s">
        <v>53</v>
      </c>
      <c r="B29" s="76">
        <v>0.25</v>
      </c>
      <c r="C29" s="76">
        <v>0.23499999999999999</v>
      </c>
      <c r="D29" s="96">
        <v>0.25700000000000001</v>
      </c>
      <c r="E29" s="76">
        <v>0.29099999999999998</v>
      </c>
      <c r="F29" s="76">
        <v>0.14000000000000001</v>
      </c>
      <c r="G29" s="76">
        <v>0.19500000000000001</v>
      </c>
      <c r="H29" s="76">
        <v>0.18588499999999999</v>
      </c>
      <c r="I29" s="76">
        <v>0.170905</v>
      </c>
      <c r="J29" s="76">
        <v>0.18012899999999998</v>
      </c>
      <c r="K29" s="76">
        <v>8.9040000000000008E-2</v>
      </c>
      <c r="L29" s="99">
        <f t="shared" si="1"/>
        <v>780</v>
      </c>
      <c r="M29" s="99">
        <f t="shared" si="2"/>
        <v>791</v>
      </c>
      <c r="N29" s="99">
        <f t="shared" si="3"/>
        <v>665</v>
      </c>
      <c r="O29" s="99">
        <f t="shared" si="4"/>
        <v>619</v>
      </c>
      <c r="P29" s="99">
        <f t="shared" si="5"/>
        <v>636</v>
      </c>
    </row>
    <row r="30" spans="1:16" ht="25.5" customHeight="1" x14ac:dyDescent="0.2">
      <c r="A30" s="198" t="s">
        <v>12</v>
      </c>
      <c r="B30" s="97">
        <v>562</v>
      </c>
      <c r="C30" s="76">
        <v>501</v>
      </c>
      <c r="D30" s="96">
        <v>572</v>
      </c>
      <c r="E30" s="76">
        <v>621</v>
      </c>
      <c r="F30" s="76">
        <v>611</v>
      </c>
      <c r="G30" s="76">
        <v>626</v>
      </c>
      <c r="H30" s="76">
        <v>578.65499999999997</v>
      </c>
      <c r="I30" s="76">
        <v>727.58399999999995</v>
      </c>
      <c r="J30" s="76">
        <v>851.39099999999996</v>
      </c>
      <c r="K30" s="76">
        <v>759.47299999999996</v>
      </c>
      <c r="L30" s="99">
        <f t="shared" si="1"/>
        <v>1113.879003558719</v>
      </c>
      <c r="M30" s="99">
        <f t="shared" si="2"/>
        <v>1155</v>
      </c>
      <c r="N30" s="99">
        <f t="shared" si="3"/>
        <v>1271.9999999999998</v>
      </c>
      <c r="O30" s="99">
        <f t="shared" si="4"/>
        <v>1371</v>
      </c>
      <c r="P30" s="99">
        <f t="shared" si="5"/>
        <v>1242.9999999999998</v>
      </c>
    </row>
    <row r="31" spans="1:16" ht="25.5" customHeight="1" x14ac:dyDescent="0.2">
      <c r="A31" s="249" t="s">
        <v>90</v>
      </c>
      <c r="B31" s="97">
        <v>1</v>
      </c>
      <c r="C31" s="76">
        <v>1</v>
      </c>
      <c r="D31" s="96">
        <v>1</v>
      </c>
      <c r="E31" s="76">
        <v>1</v>
      </c>
      <c r="F31" s="76">
        <v>1</v>
      </c>
      <c r="G31" s="76">
        <v>1</v>
      </c>
      <c r="H31" s="76">
        <v>0.78200000000000003</v>
      </c>
      <c r="I31" s="76">
        <v>0.8</v>
      </c>
      <c r="J31" s="76">
        <v>0.76300000000000001</v>
      </c>
      <c r="K31" s="76">
        <v>0.751</v>
      </c>
      <c r="L31" s="99">
        <f t="shared" si="1"/>
        <v>1000</v>
      </c>
      <c r="M31" s="99">
        <f t="shared" si="2"/>
        <v>782</v>
      </c>
      <c r="N31" s="99">
        <f t="shared" si="3"/>
        <v>800</v>
      </c>
      <c r="O31" s="99">
        <f t="shared" si="4"/>
        <v>763</v>
      </c>
      <c r="P31" s="99">
        <f t="shared" si="5"/>
        <v>751</v>
      </c>
    </row>
    <row r="32" spans="1:16" ht="25.5" customHeight="1" x14ac:dyDescent="0.2">
      <c r="A32" s="198" t="s">
        <v>13</v>
      </c>
      <c r="B32" s="97">
        <v>28.122</v>
      </c>
      <c r="C32" s="76">
        <v>32</v>
      </c>
      <c r="D32" s="76">
        <v>35.906999999999996</v>
      </c>
      <c r="E32" s="76">
        <v>36.103000000000002</v>
      </c>
      <c r="F32" s="76">
        <v>39.771000000000001</v>
      </c>
      <c r="G32" s="76">
        <v>28.498000000000001</v>
      </c>
      <c r="H32" s="76">
        <v>36.799999999999997</v>
      </c>
      <c r="I32" s="76">
        <v>42.334352999999993</v>
      </c>
      <c r="J32" s="76">
        <v>47.403238999999999</v>
      </c>
      <c r="K32" s="76">
        <v>50.071688999999999</v>
      </c>
      <c r="L32" s="99">
        <f t="shared" si="1"/>
        <v>1013.3703150558282</v>
      </c>
      <c r="M32" s="99">
        <f t="shared" si="2"/>
        <v>1150</v>
      </c>
      <c r="N32" s="99">
        <f t="shared" si="3"/>
        <v>1178.9999999999998</v>
      </c>
      <c r="O32" s="99">
        <f t="shared" si="4"/>
        <v>1313</v>
      </c>
      <c r="P32" s="99">
        <f t="shared" si="5"/>
        <v>1259</v>
      </c>
    </row>
    <row r="33" spans="1:16" ht="25.5" customHeight="1" x14ac:dyDescent="0.2">
      <c r="A33" s="198" t="s">
        <v>54</v>
      </c>
      <c r="B33" s="97">
        <v>0.1</v>
      </c>
      <c r="C33" s="76">
        <v>0</v>
      </c>
      <c r="D33" s="76">
        <v>0.11</v>
      </c>
      <c r="E33" s="76">
        <v>0</v>
      </c>
      <c r="F33" s="76">
        <v>0</v>
      </c>
      <c r="G33" s="76">
        <v>0.105</v>
      </c>
      <c r="H33" s="76">
        <v>0</v>
      </c>
      <c r="I33" s="76">
        <v>0.14608000000000002</v>
      </c>
      <c r="J33" s="76">
        <v>0</v>
      </c>
      <c r="K33" s="76">
        <v>0</v>
      </c>
      <c r="L33" s="99">
        <f t="shared" si="1"/>
        <v>1049.9999999999998</v>
      </c>
      <c r="M33" s="99" t="e">
        <f t="shared" si="2"/>
        <v>#DIV/0!</v>
      </c>
      <c r="N33" s="99">
        <f t="shared" si="3"/>
        <v>1328</v>
      </c>
      <c r="O33" s="99" t="e">
        <f t="shared" si="4"/>
        <v>#DIV/0!</v>
      </c>
      <c r="P33" s="99" t="e">
        <f t="shared" si="5"/>
        <v>#DIV/0!</v>
      </c>
    </row>
    <row r="34" spans="1:16" ht="25.5" customHeight="1" x14ac:dyDescent="0.2">
      <c r="A34" s="198" t="s">
        <v>55</v>
      </c>
      <c r="B34" s="97">
        <v>2.5000000000000001E-2</v>
      </c>
      <c r="C34" s="76">
        <v>5.0000000000000001E-3</v>
      </c>
      <c r="D34" s="76">
        <v>2E-3</v>
      </c>
      <c r="E34" s="76">
        <v>2E-3</v>
      </c>
      <c r="F34" s="76">
        <v>2E-3</v>
      </c>
      <c r="G34" s="76">
        <v>5.2999999999999999E-2</v>
      </c>
      <c r="H34" s="76">
        <v>0.01</v>
      </c>
      <c r="I34" s="76">
        <v>4.0000000000000001E-3</v>
      </c>
      <c r="J34" s="76">
        <v>4.0000000000000001E-3</v>
      </c>
      <c r="K34" s="76">
        <v>4.0000000000000001E-3</v>
      </c>
      <c r="L34" s="99">
        <f t="shared" si="1"/>
        <v>2119.9999999999995</v>
      </c>
      <c r="M34" s="99">
        <f t="shared" si="2"/>
        <v>2000</v>
      </c>
      <c r="N34" s="99">
        <f t="shared" si="3"/>
        <v>2000</v>
      </c>
      <c r="O34" s="99">
        <f t="shared" si="4"/>
        <v>2000</v>
      </c>
      <c r="P34" s="99">
        <f t="shared" si="5"/>
        <v>2000</v>
      </c>
    </row>
    <row r="35" spans="1:16" s="8" customFormat="1" ht="25.5" customHeight="1" x14ac:dyDescent="0.2">
      <c r="A35" s="27" t="s">
        <v>14</v>
      </c>
      <c r="B35" s="93">
        <f>SUM(B7:B34)</f>
        <v>9626.16</v>
      </c>
      <c r="C35" s="93">
        <f>SUM(C7:C34)</f>
        <v>10560.429000000002</v>
      </c>
      <c r="D35" s="93">
        <f t="shared" ref="D35:K35" si="6">SUM(D7:D34)</f>
        <v>9547.0308999999997</v>
      </c>
      <c r="E35" s="93">
        <f t="shared" si="6"/>
        <v>9698.748999999998</v>
      </c>
      <c r="F35" s="93">
        <f t="shared" si="6"/>
        <v>9995.9209999999985</v>
      </c>
      <c r="G35" s="93">
        <f t="shared" si="6"/>
        <v>9377.5574079999988</v>
      </c>
      <c r="H35" s="93">
        <f t="shared" si="6"/>
        <v>11379.189123999997</v>
      </c>
      <c r="I35" s="93">
        <f t="shared" si="6"/>
        <v>9937.9935440000027</v>
      </c>
      <c r="J35" s="93">
        <f t="shared" si="6"/>
        <v>11078.49518</v>
      </c>
      <c r="K35" s="93">
        <f t="shared" si="6"/>
        <v>11911.177229999999</v>
      </c>
      <c r="L35" s="285">
        <f t="shared" si="1"/>
        <v>974.17427177607669</v>
      </c>
      <c r="M35" s="285">
        <f t="shared" si="2"/>
        <v>1077.5309529565509</v>
      </c>
      <c r="N35" s="285">
        <f t="shared" si="3"/>
        <v>1040.9512285123119</v>
      </c>
      <c r="O35" s="285">
        <f t="shared" si="4"/>
        <v>1142.2602213955638</v>
      </c>
      <c r="P35" s="285">
        <f t="shared" si="5"/>
        <v>1191.6037781811201</v>
      </c>
    </row>
  </sheetData>
  <mergeCells count="5">
    <mergeCell ref="A4:A5"/>
    <mergeCell ref="B4:F4"/>
    <mergeCell ref="L4:P4"/>
    <mergeCell ref="G4:K4"/>
    <mergeCell ref="A2:P2"/>
  </mergeCells>
  <phoneticPr fontId="0" type="noConversion"/>
  <printOptions horizontalCentered="1"/>
  <pageMargins left="0.23622047244094499" right="0.23622047244094499" top="0.23622047244094499" bottom="0.23622047244094499" header="0.511811023622047" footer="0.511811023622047"/>
  <pageSetup paperSize="9" scale="66" orientation="landscape" r:id="rId1"/>
  <headerFooter alignWithMargins="0"/>
  <rowBreaks count="1" manualBreakCount="1">
    <brk id="48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view="pageBreakPreview" zoomScale="60" workbookViewId="0">
      <pane xSplit="2" ySplit="5" topLeftCell="F68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2.75" x14ac:dyDescent="0.2"/>
  <cols>
    <col min="1" max="1" width="27.140625" style="46" customWidth="1"/>
    <col min="2" max="2" width="10.5703125" style="46" bestFit="1" customWidth="1"/>
    <col min="3" max="5" width="11.5703125" style="47" bestFit="1" customWidth="1"/>
    <col min="6" max="7" width="11.5703125" style="47" customWidth="1"/>
    <col min="8" max="10" width="11.5703125" style="47" bestFit="1" customWidth="1"/>
    <col min="11" max="11" width="11.5703125" style="47" customWidth="1"/>
    <col min="12" max="12" width="11.7109375" style="47" bestFit="1" customWidth="1"/>
    <col min="13" max="13" width="11.5703125" style="48" bestFit="1" customWidth="1"/>
    <col min="14" max="14" width="12" style="48" customWidth="1"/>
    <col min="15" max="15" width="11.5703125" style="38" bestFit="1" customWidth="1"/>
    <col min="16" max="17" width="11.5703125" style="38" customWidth="1"/>
    <col min="18" max="16384" width="9.140625" style="38"/>
  </cols>
  <sheetData>
    <row r="1" spans="1:17" ht="27" customHeight="1" x14ac:dyDescent="0.2">
      <c r="A1" s="390" t="s">
        <v>176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17" ht="19.5" customHeight="1" x14ac:dyDescent="0.2">
      <c r="A2" s="39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N2" s="41"/>
    </row>
    <row r="3" spans="1:17" ht="18" x14ac:dyDescent="0.2">
      <c r="A3" s="389" t="s">
        <v>1</v>
      </c>
      <c r="B3" s="389" t="s">
        <v>0</v>
      </c>
      <c r="C3" s="342" t="s">
        <v>174</v>
      </c>
      <c r="D3" s="342"/>
      <c r="E3" s="342"/>
      <c r="F3" s="342"/>
      <c r="G3" s="342"/>
      <c r="H3" s="342" t="s">
        <v>68</v>
      </c>
      <c r="I3" s="342"/>
      <c r="J3" s="342"/>
      <c r="K3" s="342"/>
      <c r="L3" s="342"/>
      <c r="M3" s="342" t="s">
        <v>89</v>
      </c>
      <c r="N3" s="342"/>
      <c r="O3" s="342"/>
      <c r="P3" s="342"/>
      <c r="Q3" s="342"/>
    </row>
    <row r="4" spans="1:17" ht="24.75" customHeight="1" x14ac:dyDescent="0.2">
      <c r="A4" s="389"/>
      <c r="B4" s="389"/>
      <c r="C4" s="274" t="s">
        <v>112</v>
      </c>
      <c r="D4" s="274" t="s">
        <v>164</v>
      </c>
      <c r="E4" s="274" t="s">
        <v>199</v>
      </c>
      <c r="F4" s="274" t="s">
        <v>200</v>
      </c>
      <c r="G4" s="273" t="s">
        <v>202</v>
      </c>
      <c r="H4" s="274" t="s">
        <v>112</v>
      </c>
      <c r="I4" s="274" t="s">
        <v>164</v>
      </c>
      <c r="J4" s="274" t="s">
        <v>199</v>
      </c>
      <c r="K4" s="274" t="s">
        <v>200</v>
      </c>
      <c r="L4" s="273" t="s">
        <v>202</v>
      </c>
      <c r="M4" s="339" t="s">
        <v>112</v>
      </c>
      <c r="N4" s="339" t="s">
        <v>164</v>
      </c>
      <c r="O4" s="339" t="s">
        <v>199</v>
      </c>
      <c r="P4" s="339" t="s">
        <v>200</v>
      </c>
      <c r="Q4" s="339" t="s">
        <v>202</v>
      </c>
    </row>
    <row r="5" spans="1:17" ht="18" x14ac:dyDescent="0.2">
      <c r="A5" s="241">
        <v>1</v>
      </c>
      <c r="B5" s="117">
        <v>2</v>
      </c>
      <c r="C5" s="117">
        <v>3</v>
      </c>
      <c r="D5" s="117">
        <v>4</v>
      </c>
      <c r="E5" s="117">
        <v>5</v>
      </c>
      <c r="F5" s="117">
        <v>6</v>
      </c>
      <c r="G5" s="117">
        <v>7</v>
      </c>
      <c r="H5" s="117">
        <v>8</v>
      </c>
      <c r="I5" s="117">
        <v>9</v>
      </c>
      <c r="J5" s="117">
        <v>10</v>
      </c>
      <c r="K5" s="117">
        <v>11</v>
      </c>
      <c r="L5" s="117">
        <v>12</v>
      </c>
      <c r="M5" s="117">
        <v>13</v>
      </c>
      <c r="N5" s="117">
        <v>14</v>
      </c>
      <c r="O5" s="117">
        <v>15</v>
      </c>
      <c r="P5" s="117">
        <v>16</v>
      </c>
      <c r="Q5" s="117">
        <v>17</v>
      </c>
    </row>
    <row r="6" spans="1:17" ht="18" customHeight="1" x14ac:dyDescent="0.25">
      <c r="A6" s="386" t="s">
        <v>2</v>
      </c>
      <c r="B6" s="203" t="s">
        <v>8</v>
      </c>
      <c r="C6" s="178">
        <v>60</v>
      </c>
      <c r="D6" s="178">
        <v>46</v>
      </c>
      <c r="E6" s="178">
        <v>22</v>
      </c>
      <c r="F6" s="178">
        <v>15</v>
      </c>
      <c r="G6" s="178">
        <v>32</v>
      </c>
      <c r="H6" s="178">
        <v>49</v>
      </c>
      <c r="I6" s="178">
        <v>37.857999999999997</v>
      </c>
      <c r="J6" s="178">
        <v>17.82</v>
      </c>
      <c r="K6" s="178">
        <v>14.025</v>
      </c>
      <c r="L6" s="178">
        <v>25.216000000000001</v>
      </c>
      <c r="M6" s="119">
        <f>H6/C6*1000</f>
        <v>816.66666666666663</v>
      </c>
      <c r="N6" s="119">
        <f t="shared" ref="N6:Q6" si="0">I6/D6*1000</f>
        <v>823</v>
      </c>
      <c r="O6" s="119">
        <f t="shared" si="0"/>
        <v>810</v>
      </c>
      <c r="P6" s="119">
        <f t="shared" si="0"/>
        <v>935</v>
      </c>
      <c r="Q6" s="119">
        <f t="shared" si="0"/>
        <v>788</v>
      </c>
    </row>
    <row r="7" spans="1:17" ht="18" customHeight="1" x14ac:dyDescent="0.25">
      <c r="A7" s="386"/>
      <c r="B7" s="203" t="s">
        <v>9</v>
      </c>
      <c r="C7" s="178">
        <v>440</v>
      </c>
      <c r="D7" s="178">
        <v>357</v>
      </c>
      <c r="E7" s="178">
        <v>296</v>
      </c>
      <c r="F7" s="178">
        <v>288</v>
      </c>
      <c r="G7" s="178">
        <v>361</v>
      </c>
      <c r="H7" s="178">
        <v>280</v>
      </c>
      <c r="I7" s="178">
        <v>333.08100000000002</v>
      </c>
      <c r="J7" s="178">
        <v>292.74400000000003</v>
      </c>
      <c r="K7" s="178">
        <v>315.072</v>
      </c>
      <c r="L7" s="178">
        <v>339.70100000000002</v>
      </c>
      <c r="M7" s="119">
        <f t="shared" ref="M7:M43" si="1">H7/C7*1000</f>
        <v>636.36363636363637</v>
      </c>
      <c r="N7" s="119">
        <f t="shared" ref="N7:N43" si="2">I7/D7*1000</f>
        <v>933</v>
      </c>
      <c r="O7" s="119">
        <f t="shared" ref="O7:O43" si="3">J7/E7*1000</f>
        <v>989.00000000000011</v>
      </c>
      <c r="P7" s="119">
        <f t="shared" ref="P7:P43" si="4">K7/F7*1000</f>
        <v>1094</v>
      </c>
      <c r="Q7" s="119">
        <f t="shared" ref="Q7:Q43" si="5">L7/G7*1000</f>
        <v>941.00000000000011</v>
      </c>
    </row>
    <row r="8" spans="1:17" ht="18" customHeight="1" x14ac:dyDescent="0.25">
      <c r="A8" s="386"/>
      <c r="B8" s="206" t="s">
        <v>10</v>
      </c>
      <c r="C8" s="179">
        <f>C6+C7</f>
        <v>500</v>
      </c>
      <c r="D8" s="179">
        <f t="shared" ref="D8:K8" si="6">D6+D7</f>
        <v>403</v>
      </c>
      <c r="E8" s="179">
        <f t="shared" si="6"/>
        <v>318</v>
      </c>
      <c r="F8" s="179">
        <f t="shared" si="6"/>
        <v>303</v>
      </c>
      <c r="G8" s="179">
        <f t="shared" si="6"/>
        <v>393</v>
      </c>
      <c r="H8" s="179">
        <f t="shared" si="6"/>
        <v>329</v>
      </c>
      <c r="I8" s="179">
        <f t="shared" si="6"/>
        <v>370.93900000000002</v>
      </c>
      <c r="J8" s="179">
        <f t="shared" si="6"/>
        <v>310.56400000000002</v>
      </c>
      <c r="K8" s="179">
        <f t="shared" si="6"/>
        <v>329.09699999999998</v>
      </c>
      <c r="L8" s="179">
        <v>364.91700000000003</v>
      </c>
      <c r="M8" s="287">
        <f t="shared" si="1"/>
        <v>658</v>
      </c>
      <c r="N8" s="287">
        <f t="shared" si="2"/>
        <v>920.44416873449143</v>
      </c>
      <c r="O8" s="287">
        <f t="shared" si="3"/>
        <v>976.616352201258</v>
      </c>
      <c r="P8" s="287">
        <f t="shared" si="4"/>
        <v>1086.128712871287</v>
      </c>
      <c r="Q8" s="287">
        <f t="shared" si="5"/>
        <v>928.5419847328244</v>
      </c>
    </row>
    <row r="9" spans="1:17" ht="18" customHeight="1" x14ac:dyDescent="0.25">
      <c r="A9" s="386" t="s">
        <v>94</v>
      </c>
      <c r="B9" s="203" t="s">
        <v>8</v>
      </c>
      <c r="C9" s="178">
        <v>1.1180000000000001</v>
      </c>
      <c r="D9" s="178">
        <v>1.1339999999999999</v>
      </c>
      <c r="E9" s="178">
        <v>0</v>
      </c>
      <c r="F9" s="178">
        <v>1.1479999999999999</v>
      </c>
      <c r="G9" s="178">
        <v>1.1499999999999999</v>
      </c>
      <c r="H9" s="178">
        <v>0.96599999999999997</v>
      </c>
      <c r="I9" s="178">
        <v>0.98771399999999998</v>
      </c>
      <c r="J9" s="178">
        <v>0</v>
      </c>
      <c r="K9" s="178">
        <v>1.0389399999999998</v>
      </c>
      <c r="L9" s="178">
        <v>1.0522499999999999</v>
      </c>
      <c r="M9" s="119">
        <f t="shared" si="1"/>
        <v>864.04293381037553</v>
      </c>
      <c r="N9" s="119">
        <f t="shared" si="2"/>
        <v>871.00000000000011</v>
      </c>
      <c r="O9" s="119" t="e">
        <f t="shared" si="3"/>
        <v>#DIV/0!</v>
      </c>
      <c r="P9" s="119">
        <f t="shared" si="4"/>
        <v>904.99999999999977</v>
      </c>
      <c r="Q9" s="119">
        <f t="shared" si="5"/>
        <v>915</v>
      </c>
    </row>
    <row r="10" spans="1:17" ht="18" customHeight="1" x14ac:dyDescent="0.25">
      <c r="A10" s="386"/>
      <c r="B10" s="203" t="s">
        <v>9</v>
      </c>
      <c r="C10" s="178">
        <v>1.4079999999999999</v>
      </c>
      <c r="D10" s="178">
        <v>1.4330000000000001</v>
      </c>
      <c r="E10" s="178">
        <v>0</v>
      </c>
      <c r="F10" s="178">
        <v>1.454</v>
      </c>
      <c r="G10" s="178">
        <v>1.456</v>
      </c>
      <c r="H10" s="178">
        <v>1.2350000000000001</v>
      </c>
      <c r="I10" s="178">
        <v>1.285401</v>
      </c>
      <c r="J10" s="178">
        <v>0</v>
      </c>
      <c r="K10" s="178">
        <v>1.4002019999999999</v>
      </c>
      <c r="L10" s="178">
        <v>1.4196</v>
      </c>
      <c r="M10" s="119">
        <f t="shared" si="1"/>
        <v>877.13068181818198</v>
      </c>
      <c r="N10" s="119">
        <f t="shared" si="2"/>
        <v>897</v>
      </c>
      <c r="O10" s="119" t="e">
        <f t="shared" si="3"/>
        <v>#DIV/0!</v>
      </c>
      <c r="P10" s="119">
        <f t="shared" si="4"/>
        <v>963</v>
      </c>
      <c r="Q10" s="119">
        <f t="shared" si="5"/>
        <v>975</v>
      </c>
    </row>
    <row r="11" spans="1:17" ht="18" customHeight="1" x14ac:dyDescent="0.25">
      <c r="A11" s="386"/>
      <c r="B11" s="203" t="s">
        <v>10</v>
      </c>
      <c r="C11" s="178">
        <f>C9+C10</f>
        <v>2.5259999999999998</v>
      </c>
      <c r="D11" s="178">
        <f t="shared" ref="D11:K11" si="7">D9+D10</f>
        <v>2.5670000000000002</v>
      </c>
      <c r="E11" s="178">
        <f t="shared" si="7"/>
        <v>0</v>
      </c>
      <c r="F11" s="178">
        <f t="shared" si="7"/>
        <v>2.6019999999999999</v>
      </c>
      <c r="G11" s="178">
        <f t="shared" si="7"/>
        <v>2.6059999999999999</v>
      </c>
      <c r="H11" s="178">
        <f t="shared" si="7"/>
        <v>2.2010000000000001</v>
      </c>
      <c r="I11" s="178">
        <f t="shared" si="7"/>
        <v>2.2731149999999998</v>
      </c>
      <c r="J11" s="178">
        <f t="shared" si="7"/>
        <v>0</v>
      </c>
      <c r="K11" s="178">
        <f t="shared" si="7"/>
        <v>2.4391419999999995</v>
      </c>
      <c r="L11" s="178">
        <v>2.4718499999999999</v>
      </c>
      <c r="M11" s="119">
        <f t="shared" si="1"/>
        <v>871.33808392715764</v>
      </c>
      <c r="N11" s="119">
        <f t="shared" si="2"/>
        <v>885.5142189326059</v>
      </c>
      <c r="O11" s="119" t="e">
        <f t="shared" si="3"/>
        <v>#DIV/0!</v>
      </c>
      <c r="P11" s="119">
        <f t="shared" si="4"/>
        <v>937.4104534973095</v>
      </c>
      <c r="Q11" s="119">
        <f t="shared" si="5"/>
        <v>948.52264006139671</v>
      </c>
    </row>
    <row r="12" spans="1:17" s="57" customFormat="1" ht="18" customHeight="1" x14ac:dyDescent="0.25">
      <c r="A12" s="198" t="s">
        <v>25</v>
      </c>
      <c r="B12" s="204" t="s">
        <v>9</v>
      </c>
      <c r="C12" s="178">
        <v>57.42</v>
      </c>
      <c r="D12" s="178">
        <v>61.46</v>
      </c>
      <c r="E12" s="178">
        <v>59.866</v>
      </c>
      <c r="F12" s="178">
        <v>58.1</v>
      </c>
      <c r="G12" s="178">
        <v>56.189</v>
      </c>
      <c r="H12" s="178">
        <v>38.892000000000003</v>
      </c>
      <c r="I12" s="178">
        <v>39.826080000000005</v>
      </c>
      <c r="J12" s="178">
        <v>39.810890000000001</v>
      </c>
      <c r="K12" s="178">
        <v>34.7438</v>
      </c>
      <c r="L12" s="178">
        <v>36.579038999999995</v>
      </c>
      <c r="M12" s="119">
        <f t="shared" si="1"/>
        <v>677.3249738766981</v>
      </c>
      <c r="N12" s="119">
        <f t="shared" si="2"/>
        <v>648</v>
      </c>
      <c r="O12" s="119">
        <f t="shared" si="3"/>
        <v>665</v>
      </c>
      <c r="P12" s="119">
        <f t="shared" si="4"/>
        <v>598</v>
      </c>
      <c r="Q12" s="119">
        <f t="shared" si="5"/>
        <v>650.99999999999989</v>
      </c>
    </row>
    <row r="13" spans="1:17" ht="18" customHeight="1" x14ac:dyDescent="0.25">
      <c r="A13" s="205" t="s">
        <v>48</v>
      </c>
      <c r="B13" s="203" t="s">
        <v>8</v>
      </c>
      <c r="C13" s="178">
        <v>12.983000000000001</v>
      </c>
      <c r="D13" s="178">
        <v>7.9239999999999995</v>
      </c>
      <c r="E13" s="178">
        <v>8.18</v>
      </c>
      <c r="F13" s="178">
        <v>7.1020000000000003</v>
      </c>
      <c r="G13" s="178">
        <v>10.566000000000001</v>
      </c>
      <c r="H13" s="178">
        <v>11.491</v>
      </c>
      <c r="I13" s="178">
        <v>7.0523599999999993</v>
      </c>
      <c r="J13" s="178">
        <v>7.3129200000000001</v>
      </c>
      <c r="K13" s="178">
        <v>6.2923720000000003</v>
      </c>
      <c r="L13" s="178">
        <v>9.4037399999999991</v>
      </c>
      <c r="M13" s="119">
        <f t="shared" si="1"/>
        <v>885.08048987137022</v>
      </c>
      <c r="N13" s="119">
        <f t="shared" si="2"/>
        <v>890</v>
      </c>
      <c r="O13" s="119">
        <f t="shared" si="3"/>
        <v>894</v>
      </c>
      <c r="P13" s="119">
        <f t="shared" si="4"/>
        <v>886</v>
      </c>
      <c r="Q13" s="119">
        <f t="shared" si="5"/>
        <v>889.99999999999989</v>
      </c>
    </row>
    <row r="14" spans="1:17" ht="18" customHeight="1" x14ac:dyDescent="0.25">
      <c r="A14" s="386" t="s">
        <v>47</v>
      </c>
      <c r="B14" s="203" t="s">
        <v>8</v>
      </c>
      <c r="C14" s="178">
        <v>92.8</v>
      </c>
      <c r="D14" s="178">
        <v>92.71</v>
      </c>
      <c r="E14" s="178">
        <v>84.2</v>
      </c>
      <c r="F14" s="178">
        <v>72.05</v>
      </c>
      <c r="G14" s="178">
        <v>81.16</v>
      </c>
      <c r="H14" s="178">
        <v>30</v>
      </c>
      <c r="I14" s="178">
        <v>29.759909999999998</v>
      </c>
      <c r="J14" s="178">
        <v>27.870200000000001</v>
      </c>
      <c r="K14" s="178">
        <v>24.064700000000002</v>
      </c>
      <c r="L14" s="178">
        <v>30.029199999999996</v>
      </c>
      <c r="M14" s="119">
        <f t="shared" si="1"/>
        <v>323.27586206896552</v>
      </c>
      <c r="N14" s="119">
        <f t="shared" si="2"/>
        <v>321</v>
      </c>
      <c r="O14" s="119">
        <f t="shared" si="3"/>
        <v>331</v>
      </c>
      <c r="P14" s="119">
        <f t="shared" si="4"/>
        <v>334</v>
      </c>
      <c r="Q14" s="119">
        <f t="shared" si="5"/>
        <v>369.99999999999994</v>
      </c>
    </row>
    <row r="15" spans="1:17" ht="18" customHeight="1" x14ac:dyDescent="0.25">
      <c r="A15" s="386"/>
      <c r="B15" s="203" t="s">
        <v>9</v>
      </c>
      <c r="C15" s="178">
        <v>7</v>
      </c>
      <c r="D15" s="178">
        <v>5.25</v>
      </c>
      <c r="E15" s="178">
        <v>5</v>
      </c>
      <c r="F15" s="178">
        <v>3.39</v>
      </c>
      <c r="G15" s="178">
        <v>2.0499999999999998</v>
      </c>
      <c r="H15" s="178">
        <v>1.9</v>
      </c>
      <c r="I15" s="178">
        <v>1.4279999999999999</v>
      </c>
      <c r="J15" s="178">
        <v>1.4650000000000001</v>
      </c>
      <c r="K15" s="178">
        <v>0.92547000000000001</v>
      </c>
      <c r="L15" s="178">
        <v>0.79949999999999988</v>
      </c>
      <c r="M15" s="119">
        <f t="shared" si="1"/>
        <v>271.42857142857139</v>
      </c>
      <c r="N15" s="119">
        <f t="shared" si="2"/>
        <v>271.99999999999994</v>
      </c>
      <c r="O15" s="119">
        <f t="shared" si="3"/>
        <v>293.00000000000006</v>
      </c>
      <c r="P15" s="119">
        <f t="shared" si="4"/>
        <v>273</v>
      </c>
      <c r="Q15" s="119">
        <f t="shared" si="5"/>
        <v>389.99999999999994</v>
      </c>
    </row>
    <row r="16" spans="1:17" ht="18" customHeight="1" x14ac:dyDescent="0.25">
      <c r="A16" s="386"/>
      <c r="B16" s="203" t="s">
        <v>10</v>
      </c>
      <c r="C16" s="178">
        <f>C14+C15</f>
        <v>99.8</v>
      </c>
      <c r="D16" s="178">
        <f t="shared" ref="D16:K16" si="8">D14+D15</f>
        <v>97.96</v>
      </c>
      <c r="E16" s="178">
        <f t="shared" si="8"/>
        <v>89.2</v>
      </c>
      <c r="F16" s="178">
        <f t="shared" si="8"/>
        <v>75.44</v>
      </c>
      <c r="G16" s="178">
        <f t="shared" si="8"/>
        <v>83.21</v>
      </c>
      <c r="H16" s="178">
        <f t="shared" si="8"/>
        <v>31.9</v>
      </c>
      <c r="I16" s="178">
        <f t="shared" si="8"/>
        <v>31.187909999999999</v>
      </c>
      <c r="J16" s="178">
        <f t="shared" si="8"/>
        <v>29.3352</v>
      </c>
      <c r="K16" s="178">
        <f t="shared" si="8"/>
        <v>24.990170000000003</v>
      </c>
      <c r="L16" s="178">
        <v>30.828699999999994</v>
      </c>
      <c r="M16" s="119">
        <f t="shared" si="1"/>
        <v>319.63927855711421</v>
      </c>
      <c r="N16" s="119">
        <f t="shared" si="2"/>
        <v>318.37392813393222</v>
      </c>
      <c r="O16" s="119">
        <f t="shared" si="3"/>
        <v>328.86995515695065</v>
      </c>
      <c r="P16" s="119">
        <f t="shared" si="4"/>
        <v>331.25888123011669</v>
      </c>
      <c r="Q16" s="119">
        <f t="shared" si="5"/>
        <v>370.49272923927407</v>
      </c>
    </row>
    <row r="17" spans="1:17" ht="18" customHeight="1" x14ac:dyDescent="0.25">
      <c r="A17" s="386" t="s">
        <v>4</v>
      </c>
      <c r="B17" s="203" t="s">
        <v>8</v>
      </c>
      <c r="C17" s="178">
        <v>193</v>
      </c>
      <c r="D17" s="178">
        <v>128</v>
      </c>
      <c r="E17" s="178">
        <v>106.16</v>
      </c>
      <c r="F17" s="178">
        <v>86.47</v>
      </c>
      <c r="G17" s="178">
        <v>98.99</v>
      </c>
      <c r="H17" s="178">
        <v>117</v>
      </c>
      <c r="I17" s="178">
        <v>81.28</v>
      </c>
      <c r="J17" s="178">
        <v>67.942399999999992</v>
      </c>
      <c r="K17" s="178">
        <v>52.314349999999997</v>
      </c>
      <c r="L17" s="178">
        <v>65.828349999999986</v>
      </c>
      <c r="M17" s="119">
        <f t="shared" si="1"/>
        <v>606.21761658031096</v>
      </c>
      <c r="N17" s="119">
        <f t="shared" si="2"/>
        <v>635</v>
      </c>
      <c r="O17" s="119">
        <f t="shared" si="3"/>
        <v>639.99999999999989</v>
      </c>
      <c r="P17" s="119">
        <f t="shared" si="4"/>
        <v>605</v>
      </c>
      <c r="Q17" s="119">
        <f t="shared" si="5"/>
        <v>664.99999999999989</v>
      </c>
    </row>
    <row r="18" spans="1:17" ht="18" customHeight="1" x14ac:dyDescent="0.25">
      <c r="A18" s="386"/>
      <c r="B18" s="203" t="s">
        <v>9</v>
      </c>
      <c r="C18" s="178">
        <v>4</v>
      </c>
      <c r="D18" s="178">
        <v>8</v>
      </c>
      <c r="E18" s="178">
        <v>3.8</v>
      </c>
      <c r="F18" s="178">
        <v>13.46</v>
      </c>
      <c r="G18" s="178">
        <v>18.45</v>
      </c>
      <c r="H18" s="178">
        <v>2</v>
      </c>
      <c r="I18" s="178">
        <v>5.24</v>
      </c>
      <c r="J18" s="178">
        <v>5.6163999999999996</v>
      </c>
      <c r="K18" s="178">
        <v>21.334100000000003</v>
      </c>
      <c r="L18" s="178">
        <v>21.7254285</v>
      </c>
      <c r="M18" s="119">
        <f t="shared" si="1"/>
        <v>500</v>
      </c>
      <c r="N18" s="119">
        <f t="shared" si="2"/>
        <v>655</v>
      </c>
      <c r="O18" s="119">
        <f t="shared" si="3"/>
        <v>1478</v>
      </c>
      <c r="P18" s="119">
        <f t="shared" si="4"/>
        <v>1585.0000000000002</v>
      </c>
      <c r="Q18" s="119">
        <f t="shared" si="5"/>
        <v>1177.53</v>
      </c>
    </row>
    <row r="19" spans="1:17" ht="18" customHeight="1" x14ac:dyDescent="0.25">
      <c r="A19" s="386"/>
      <c r="B19" s="206" t="s">
        <v>10</v>
      </c>
      <c r="C19" s="179">
        <f>C17+C18</f>
        <v>197</v>
      </c>
      <c r="D19" s="179">
        <f t="shared" ref="D19:K19" si="9">D17+D18</f>
        <v>136</v>
      </c>
      <c r="E19" s="179">
        <f t="shared" si="9"/>
        <v>109.96</v>
      </c>
      <c r="F19" s="179">
        <f t="shared" si="9"/>
        <v>99.93</v>
      </c>
      <c r="G19" s="179">
        <f t="shared" si="9"/>
        <v>117.44</v>
      </c>
      <c r="H19" s="179">
        <f t="shared" si="9"/>
        <v>119</v>
      </c>
      <c r="I19" s="179">
        <f t="shared" si="9"/>
        <v>86.52</v>
      </c>
      <c r="J19" s="179">
        <f t="shared" si="9"/>
        <v>73.558799999999991</v>
      </c>
      <c r="K19" s="179">
        <f t="shared" si="9"/>
        <v>73.648449999999997</v>
      </c>
      <c r="L19" s="179">
        <v>87.553778499999993</v>
      </c>
      <c r="M19" s="287">
        <f t="shared" si="1"/>
        <v>604.06091370558374</v>
      </c>
      <c r="N19" s="287">
        <f t="shared" si="2"/>
        <v>636.17647058823525</v>
      </c>
      <c r="O19" s="287">
        <f t="shared" si="3"/>
        <v>668.95962168061112</v>
      </c>
      <c r="P19" s="287">
        <f t="shared" si="4"/>
        <v>737.00040028019612</v>
      </c>
      <c r="Q19" s="287">
        <f t="shared" si="5"/>
        <v>745.51923109673021</v>
      </c>
    </row>
    <row r="20" spans="1:17" ht="18" customHeight="1" x14ac:dyDescent="0.25">
      <c r="A20" s="205" t="s">
        <v>18</v>
      </c>
      <c r="B20" s="203" t="s">
        <v>8</v>
      </c>
      <c r="C20" s="178">
        <v>1</v>
      </c>
      <c r="D20" s="178">
        <v>0</v>
      </c>
      <c r="E20" s="178">
        <v>1</v>
      </c>
      <c r="F20" s="178">
        <v>0.03</v>
      </c>
      <c r="G20" s="178">
        <v>0.24</v>
      </c>
      <c r="H20" s="178">
        <v>0.4</v>
      </c>
      <c r="I20" s="178">
        <v>0</v>
      </c>
      <c r="J20" s="178">
        <v>0.4</v>
      </c>
      <c r="K20" s="178">
        <v>1.1730000000000001E-2</v>
      </c>
      <c r="L20" s="178">
        <v>0.13440000000000002</v>
      </c>
      <c r="M20" s="119">
        <f t="shared" si="1"/>
        <v>400</v>
      </c>
      <c r="N20" s="119" t="e">
        <f t="shared" si="2"/>
        <v>#DIV/0!</v>
      </c>
      <c r="O20" s="119">
        <f t="shared" si="3"/>
        <v>400</v>
      </c>
      <c r="P20" s="119">
        <f t="shared" si="4"/>
        <v>391.00000000000006</v>
      </c>
      <c r="Q20" s="119">
        <f t="shared" si="5"/>
        <v>560</v>
      </c>
    </row>
    <row r="21" spans="1:17" ht="18" customHeight="1" x14ac:dyDescent="0.25">
      <c r="A21" s="205" t="s">
        <v>44</v>
      </c>
      <c r="B21" s="203" t="s">
        <v>8</v>
      </c>
      <c r="C21" s="178">
        <v>8.5630000000000006</v>
      </c>
      <c r="D21" s="178">
        <v>6.9219999999999997</v>
      </c>
      <c r="E21" s="178">
        <v>7.0010000000000003</v>
      </c>
      <c r="F21" s="178">
        <v>7.0170000000000003</v>
      </c>
      <c r="G21" s="178">
        <v>6.976</v>
      </c>
      <c r="H21" s="178">
        <v>5.609</v>
      </c>
      <c r="I21" s="178">
        <v>4.6159999999999997</v>
      </c>
      <c r="J21" s="178">
        <v>4.6906699999999999</v>
      </c>
      <c r="K21" s="178">
        <v>5.1224099999999995</v>
      </c>
      <c r="L21" s="178">
        <v>5.0157439999999998</v>
      </c>
      <c r="M21" s="119">
        <f t="shared" si="1"/>
        <v>655.02744365292529</v>
      </c>
      <c r="N21" s="119">
        <f t="shared" si="2"/>
        <v>666.85928922276798</v>
      </c>
      <c r="O21" s="119">
        <f t="shared" si="3"/>
        <v>669.99999999999989</v>
      </c>
      <c r="P21" s="119">
        <f t="shared" si="4"/>
        <v>729.99999999999989</v>
      </c>
      <c r="Q21" s="119">
        <f t="shared" si="5"/>
        <v>719</v>
      </c>
    </row>
    <row r="22" spans="1:17" ht="18" customHeight="1" x14ac:dyDescent="0.25">
      <c r="A22" s="205" t="s">
        <v>19</v>
      </c>
      <c r="B22" s="203" t="s">
        <v>8</v>
      </c>
      <c r="C22" s="178">
        <v>0</v>
      </c>
      <c r="D22" s="178">
        <v>0</v>
      </c>
      <c r="E22" s="178">
        <v>0</v>
      </c>
      <c r="F22" s="178">
        <v>0</v>
      </c>
      <c r="G22" s="178"/>
      <c r="H22" s="178">
        <v>0</v>
      </c>
      <c r="I22" s="178">
        <v>0</v>
      </c>
      <c r="J22" s="178">
        <v>0</v>
      </c>
      <c r="K22" s="178">
        <v>0</v>
      </c>
      <c r="L22" s="178"/>
      <c r="M22" s="119" t="e">
        <f t="shared" si="1"/>
        <v>#DIV/0!</v>
      </c>
      <c r="N22" s="119" t="e">
        <f t="shared" si="2"/>
        <v>#DIV/0!</v>
      </c>
      <c r="O22" s="119" t="e">
        <f t="shared" si="3"/>
        <v>#DIV/0!</v>
      </c>
      <c r="P22" s="119" t="e">
        <f t="shared" si="4"/>
        <v>#DIV/0!</v>
      </c>
      <c r="Q22" s="119" t="e">
        <f t="shared" si="5"/>
        <v>#DIV/0!</v>
      </c>
    </row>
    <row r="23" spans="1:17" ht="18" customHeight="1" x14ac:dyDescent="0.25">
      <c r="A23" s="205" t="s">
        <v>41</v>
      </c>
      <c r="B23" s="203" t="s">
        <v>8</v>
      </c>
      <c r="C23" s="178">
        <v>151.92099999999999</v>
      </c>
      <c r="D23" s="178">
        <v>147.191</v>
      </c>
      <c r="E23" s="178">
        <v>128.65899999999999</v>
      </c>
      <c r="F23" s="178">
        <v>128.44</v>
      </c>
      <c r="G23" s="178">
        <v>131.67599999999999</v>
      </c>
      <c r="H23" s="178">
        <v>139.40600000000001</v>
      </c>
      <c r="I23" s="178">
        <v>128.64493400000001</v>
      </c>
      <c r="J23" s="178">
        <v>108.202219</v>
      </c>
      <c r="K23" s="178">
        <v>111.61436</v>
      </c>
      <c r="L23" s="178">
        <v>114.821472</v>
      </c>
      <c r="M23" s="119">
        <f t="shared" si="1"/>
        <v>917.62165862520658</v>
      </c>
      <c r="N23" s="119">
        <f t="shared" si="2"/>
        <v>874</v>
      </c>
      <c r="O23" s="119">
        <f t="shared" si="3"/>
        <v>841.00000000000011</v>
      </c>
      <c r="P23" s="119">
        <f t="shared" si="4"/>
        <v>869.00000000000011</v>
      </c>
      <c r="Q23" s="119">
        <f t="shared" si="5"/>
        <v>872.00000000000011</v>
      </c>
    </row>
    <row r="24" spans="1:17" ht="18" customHeight="1" x14ac:dyDescent="0.25">
      <c r="A24" s="386" t="s">
        <v>5</v>
      </c>
      <c r="B24" s="203" t="s">
        <v>8</v>
      </c>
      <c r="C24" s="178">
        <v>83</v>
      </c>
      <c r="D24" s="178">
        <v>132</v>
      </c>
      <c r="E24" s="178">
        <v>80.75</v>
      </c>
      <c r="F24" s="178">
        <v>65</v>
      </c>
      <c r="G24" s="178">
        <v>85</v>
      </c>
      <c r="H24" s="178">
        <v>40</v>
      </c>
      <c r="I24" s="178">
        <v>67.319999999999993</v>
      </c>
      <c r="J24" s="178">
        <v>41.021000000000001</v>
      </c>
      <c r="K24" s="178">
        <v>32.174999999999997</v>
      </c>
      <c r="L24" s="178">
        <v>49.045000000000002</v>
      </c>
      <c r="M24" s="119">
        <f t="shared" si="1"/>
        <v>481.92771084337352</v>
      </c>
      <c r="N24" s="119">
        <f t="shared" si="2"/>
        <v>509.99999999999989</v>
      </c>
      <c r="O24" s="119">
        <f t="shared" si="3"/>
        <v>508</v>
      </c>
      <c r="P24" s="119">
        <f t="shared" si="4"/>
        <v>494.99999999999994</v>
      </c>
      <c r="Q24" s="119">
        <f t="shared" si="5"/>
        <v>577.00000000000011</v>
      </c>
    </row>
    <row r="25" spans="1:17" ht="18" customHeight="1" x14ac:dyDescent="0.25">
      <c r="A25" s="386"/>
      <c r="B25" s="203" t="s">
        <v>9</v>
      </c>
      <c r="C25" s="178">
        <v>5</v>
      </c>
      <c r="D25" s="178">
        <v>4</v>
      </c>
      <c r="E25" s="178">
        <v>3.8</v>
      </c>
      <c r="F25" s="178">
        <v>3.2</v>
      </c>
      <c r="G25" s="178">
        <v>4.0049999999999999</v>
      </c>
      <c r="H25" s="178">
        <v>3</v>
      </c>
      <c r="I25" s="178">
        <v>1.5</v>
      </c>
      <c r="J25" s="178">
        <v>1.9</v>
      </c>
      <c r="K25" s="178">
        <v>1.1000000000000001</v>
      </c>
      <c r="L25" s="178">
        <v>2.2000000000000002</v>
      </c>
      <c r="M25" s="119">
        <f t="shared" si="1"/>
        <v>600</v>
      </c>
      <c r="N25" s="119">
        <f t="shared" si="2"/>
        <v>375</v>
      </c>
      <c r="O25" s="119">
        <f t="shared" si="3"/>
        <v>500</v>
      </c>
      <c r="P25" s="119">
        <f t="shared" si="4"/>
        <v>343.75</v>
      </c>
      <c r="Q25" s="119">
        <f t="shared" si="5"/>
        <v>549.31335830212231</v>
      </c>
    </row>
    <row r="26" spans="1:17" ht="18" customHeight="1" x14ac:dyDescent="0.25">
      <c r="A26" s="386"/>
      <c r="B26" s="203" t="s">
        <v>10</v>
      </c>
      <c r="C26" s="178">
        <f>C24+C25</f>
        <v>88</v>
      </c>
      <c r="D26" s="178">
        <f t="shared" ref="D26:K26" si="10">D24+D25</f>
        <v>136</v>
      </c>
      <c r="E26" s="178">
        <f t="shared" si="10"/>
        <v>84.55</v>
      </c>
      <c r="F26" s="178">
        <f t="shared" si="10"/>
        <v>68.2</v>
      </c>
      <c r="G26" s="178">
        <f t="shared" si="10"/>
        <v>89.004999999999995</v>
      </c>
      <c r="H26" s="178">
        <f t="shared" si="10"/>
        <v>43</v>
      </c>
      <c r="I26" s="178">
        <f t="shared" si="10"/>
        <v>68.819999999999993</v>
      </c>
      <c r="J26" s="178">
        <f t="shared" si="10"/>
        <v>42.920999999999999</v>
      </c>
      <c r="K26" s="178">
        <f t="shared" si="10"/>
        <v>33.274999999999999</v>
      </c>
      <c r="L26" s="178">
        <v>51.245000000000005</v>
      </c>
      <c r="M26" s="119">
        <f t="shared" si="1"/>
        <v>488.63636363636363</v>
      </c>
      <c r="N26" s="119">
        <f t="shared" si="2"/>
        <v>506.02941176470586</v>
      </c>
      <c r="O26" s="119">
        <f t="shared" si="3"/>
        <v>507.64044943820232</v>
      </c>
      <c r="P26" s="119">
        <f t="shared" si="4"/>
        <v>487.90322580645159</v>
      </c>
      <c r="Q26" s="119">
        <f t="shared" si="5"/>
        <v>575.75417111398247</v>
      </c>
    </row>
    <row r="27" spans="1:17" ht="18" hidden="1" customHeight="1" x14ac:dyDescent="0.25">
      <c r="A27" s="205" t="s">
        <v>17</v>
      </c>
      <c r="B27" s="203" t="s">
        <v>8</v>
      </c>
      <c r="C27" s="178">
        <v>0</v>
      </c>
      <c r="D27" s="178">
        <v>0</v>
      </c>
      <c r="E27" s="178">
        <v>0</v>
      </c>
      <c r="F27" s="178"/>
      <c r="G27" s="178"/>
      <c r="H27" s="178">
        <v>0</v>
      </c>
      <c r="I27" s="178">
        <v>0</v>
      </c>
      <c r="J27" s="178">
        <v>0</v>
      </c>
      <c r="K27" s="178"/>
      <c r="L27" s="178"/>
      <c r="M27" s="119" t="e">
        <f t="shared" si="1"/>
        <v>#DIV/0!</v>
      </c>
      <c r="N27" s="119" t="e">
        <f t="shared" si="2"/>
        <v>#DIV/0!</v>
      </c>
      <c r="O27" s="119" t="e">
        <f t="shared" si="3"/>
        <v>#DIV/0!</v>
      </c>
      <c r="P27" s="119" t="e">
        <f t="shared" si="4"/>
        <v>#DIV/0!</v>
      </c>
      <c r="Q27" s="119" t="e">
        <f t="shared" si="5"/>
        <v>#DIV/0!</v>
      </c>
    </row>
    <row r="28" spans="1:17" ht="18" customHeight="1" x14ac:dyDescent="0.25">
      <c r="A28" s="386" t="s">
        <v>6</v>
      </c>
      <c r="B28" s="203" t="s">
        <v>8</v>
      </c>
      <c r="C28" s="178">
        <v>1168</v>
      </c>
      <c r="D28" s="178">
        <v>1789</v>
      </c>
      <c r="E28" s="178">
        <v>2437</v>
      </c>
      <c r="F28" s="178">
        <v>1762</v>
      </c>
      <c r="G28" s="178">
        <v>1273</v>
      </c>
      <c r="H28" s="178">
        <v>770.88</v>
      </c>
      <c r="I28" s="178">
        <v>1298.8140000000005</v>
      </c>
      <c r="J28" s="178">
        <v>1133.2049999999999</v>
      </c>
      <c r="K28" s="178">
        <v>463.40600000000001</v>
      </c>
      <c r="L28" s="178">
        <v>394.63</v>
      </c>
      <c r="M28" s="119">
        <f t="shared" si="1"/>
        <v>660</v>
      </c>
      <c r="N28" s="119">
        <f t="shared" si="2"/>
        <v>726.00000000000034</v>
      </c>
      <c r="O28" s="119">
        <f t="shared" si="3"/>
        <v>464.99999999999994</v>
      </c>
      <c r="P28" s="119">
        <f t="shared" si="4"/>
        <v>263</v>
      </c>
      <c r="Q28" s="119">
        <f t="shared" si="5"/>
        <v>310</v>
      </c>
    </row>
    <row r="29" spans="1:17" ht="18" customHeight="1" x14ac:dyDescent="0.25">
      <c r="A29" s="386"/>
      <c r="B29" s="203" t="s">
        <v>9</v>
      </c>
      <c r="C29" s="178">
        <v>35</v>
      </c>
      <c r="D29" s="178">
        <v>35</v>
      </c>
      <c r="E29" s="178">
        <v>43</v>
      </c>
      <c r="F29" s="178">
        <v>32</v>
      </c>
      <c r="G29" s="178">
        <v>41</v>
      </c>
      <c r="H29" s="178">
        <v>46</v>
      </c>
      <c r="I29" s="178">
        <v>49</v>
      </c>
      <c r="J29" s="178">
        <v>57.448</v>
      </c>
      <c r="K29" s="178">
        <v>39.936</v>
      </c>
      <c r="L29" s="178">
        <v>53.177</v>
      </c>
      <c r="M29" s="119">
        <f t="shared" si="1"/>
        <v>1314.2857142857142</v>
      </c>
      <c r="N29" s="119">
        <f t="shared" si="2"/>
        <v>1400</v>
      </c>
      <c r="O29" s="119">
        <f t="shared" si="3"/>
        <v>1336</v>
      </c>
      <c r="P29" s="119">
        <f t="shared" si="4"/>
        <v>1248</v>
      </c>
      <c r="Q29" s="119">
        <f t="shared" si="5"/>
        <v>1297</v>
      </c>
    </row>
    <row r="30" spans="1:17" ht="18" customHeight="1" x14ac:dyDescent="0.25">
      <c r="A30" s="386"/>
      <c r="B30" s="206" t="s">
        <v>10</v>
      </c>
      <c r="C30" s="179">
        <f>C28+C29</f>
        <v>1203</v>
      </c>
      <c r="D30" s="179">
        <f t="shared" ref="D30:K30" si="11">D28+D29</f>
        <v>1824</v>
      </c>
      <c r="E30" s="179">
        <f t="shared" si="11"/>
        <v>2480</v>
      </c>
      <c r="F30" s="179">
        <f t="shared" si="11"/>
        <v>1794</v>
      </c>
      <c r="G30" s="179">
        <f t="shared" si="11"/>
        <v>1314</v>
      </c>
      <c r="H30" s="179">
        <f t="shared" si="11"/>
        <v>816.88</v>
      </c>
      <c r="I30" s="179">
        <f t="shared" si="11"/>
        <v>1347.8140000000005</v>
      </c>
      <c r="J30" s="179">
        <f t="shared" si="11"/>
        <v>1190.653</v>
      </c>
      <c r="K30" s="179">
        <f t="shared" si="11"/>
        <v>503.34199999999998</v>
      </c>
      <c r="L30" s="179">
        <v>447.80700000000002</v>
      </c>
      <c r="M30" s="287">
        <f t="shared" si="1"/>
        <v>679.0357439733998</v>
      </c>
      <c r="N30" s="287">
        <f t="shared" si="2"/>
        <v>738.93311403508801</v>
      </c>
      <c r="O30" s="287">
        <f t="shared" si="3"/>
        <v>480.10201612903222</v>
      </c>
      <c r="P30" s="287">
        <f t="shared" si="4"/>
        <v>280.56967670011147</v>
      </c>
      <c r="Q30" s="287">
        <f t="shared" si="5"/>
        <v>340.79680365296804</v>
      </c>
    </row>
    <row r="31" spans="1:17" ht="18" customHeight="1" x14ac:dyDescent="0.25">
      <c r="A31" s="386" t="s">
        <v>7</v>
      </c>
      <c r="B31" s="203" t="s">
        <v>8</v>
      </c>
      <c r="C31" s="178">
        <v>337.9</v>
      </c>
      <c r="D31" s="178">
        <v>351</v>
      </c>
      <c r="E31" s="178">
        <v>366.6</v>
      </c>
      <c r="F31" s="178">
        <v>340.53</v>
      </c>
      <c r="G31" s="178">
        <v>356.4</v>
      </c>
      <c r="H31" s="178">
        <v>183.1</v>
      </c>
      <c r="I31" s="178">
        <v>121.446</v>
      </c>
      <c r="J31" s="178">
        <v>154.44858000000002</v>
      </c>
      <c r="K31" s="178">
        <v>151.19531999999998</v>
      </c>
      <c r="L31" s="178">
        <v>226.6704</v>
      </c>
      <c r="M31" s="119">
        <f t="shared" si="1"/>
        <v>541.87629476176392</v>
      </c>
      <c r="N31" s="119">
        <f t="shared" si="2"/>
        <v>346</v>
      </c>
      <c r="O31" s="119">
        <f t="shared" si="3"/>
        <v>421.3</v>
      </c>
      <c r="P31" s="119">
        <f t="shared" si="4"/>
        <v>444</v>
      </c>
      <c r="Q31" s="119">
        <f t="shared" si="5"/>
        <v>636</v>
      </c>
    </row>
    <row r="32" spans="1:17" ht="18" hidden="1" customHeight="1" x14ac:dyDescent="0.25">
      <c r="A32" s="386"/>
      <c r="B32" s="203" t="s">
        <v>9</v>
      </c>
      <c r="C32" s="178">
        <v>0</v>
      </c>
      <c r="D32" s="178">
        <v>0</v>
      </c>
      <c r="E32" s="178">
        <v>0</v>
      </c>
      <c r="F32" s="178">
        <v>0</v>
      </c>
      <c r="G32" s="178"/>
      <c r="H32" s="178">
        <v>0</v>
      </c>
      <c r="I32" s="178">
        <v>0</v>
      </c>
      <c r="J32" s="178">
        <v>0</v>
      </c>
      <c r="K32" s="178">
        <v>0</v>
      </c>
      <c r="L32" s="178"/>
      <c r="M32" s="119" t="e">
        <f t="shared" si="1"/>
        <v>#DIV/0!</v>
      </c>
      <c r="N32" s="119" t="e">
        <f t="shared" si="2"/>
        <v>#DIV/0!</v>
      </c>
      <c r="O32" s="119" t="e">
        <f t="shared" si="3"/>
        <v>#DIV/0!</v>
      </c>
      <c r="P32" s="119" t="e">
        <f t="shared" si="4"/>
        <v>#DIV/0!</v>
      </c>
      <c r="Q32" s="119" t="e">
        <f t="shared" si="5"/>
        <v>#DIV/0!</v>
      </c>
    </row>
    <row r="33" spans="1:17" ht="18" customHeight="1" x14ac:dyDescent="0.25">
      <c r="A33" s="386"/>
      <c r="B33" s="206" t="s">
        <v>10</v>
      </c>
      <c r="C33" s="179">
        <f>C31+C32</f>
        <v>337.9</v>
      </c>
      <c r="D33" s="179">
        <f t="shared" ref="D33:L33" si="12">D31+D32</f>
        <v>351</v>
      </c>
      <c r="E33" s="179">
        <f t="shared" si="12"/>
        <v>366.6</v>
      </c>
      <c r="F33" s="179">
        <f t="shared" si="12"/>
        <v>340.53</v>
      </c>
      <c r="G33" s="179">
        <f t="shared" si="12"/>
        <v>356.4</v>
      </c>
      <c r="H33" s="179">
        <f t="shared" si="12"/>
        <v>183.1</v>
      </c>
      <c r="I33" s="179">
        <f t="shared" si="12"/>
        <v>121.446</v>
      </c>
      <c r="J33" s="179">
        <f t="shared" si="12"/>
        <v>154.44858000000002</v>
      </c>
      <c r="K33" s="179">
        <f t="shared" si="12"/>
        <v>151.19531999999998</v>
      </c>
      <c r="L33" s="179">
        <f t="shared" si="12"/>
        <v>226.6704</v>
      </c>
      <c r="M33" s="287">
        <f t="shared" si="1"/>
        <v>541.87629476176392</v>
      </c>
      <c r="N33" s="287">
        <f t="shared" si="2"/>
        <v>346</v>
      </c>
      <c r="O33" s="287">
        <f t="shared" si="3"/>
        <v>421.3</v>
      </c>
      <c r="P33" s="287">
        <f t="shared" si="4"/>
        <v>444</v>
      </c>
      <c r="Q33" s="287">
        <f t="shared" si="5"/>
        <v>636</v>
      </c>
    </row>
    <row r="34" spans="1:17" ht="18" customHeight="1" x14ac:dyDescent="0.25">
      <c r="A34" s="387" t="s">
        <v>29</v>
      </c>
      <c r="B34" s="203" t="s">
        <v>8</v>
      </c>
      <c r="C34" s="178">
        <v>0</v>
      </c>
      <c r="D34" s="178">
        <v>0</v>
      </c>
      <c r="E34" s="178">
        <v>0</v>
      </c>
      <c r="F34" s="178">
        <v>1.2909999999999999</v>
      </c>
      <c r="G34" s="178">
        <v>1.3580000000000001</v>
      </c>
      <c r="H34" s="178">
        <v>0</v>
      </c>
      <c r="I34" s="178">
        <v>0</v>
      </c>
      <c r="J34" s="178">
        <v>0</v>
      </c>
      <c r="K34" s="178">
        <v>1.1528629999999997</v>
      </c>
      <c r="L34" s="178">
        <v>1.3946660000000002</v>
      </c>
      <c r="M34" s="119" t="e">
        <f t="shared" si="1"/>
        <v>#DIV/0!</v>
      </c>
      <c r="N34" s="119" t="e">
        <f t="shared" si="2"/>
        <v>#DIV/0!</v>
      </c>
      <c r="O34" s="119" t="e">
        <f t="shared" si="3"/>
        <v>#DIV/0!</v>
      </c>
      <c r="P34" s="119">
        <f t="shared" si="4"/>
        <v>892.99999999999989</v>
      </c>
      <c r="Q34" s="119">
        <f t="shared" si="5"/>
        <v>1027.0000000000002</v>
      </c>
    </row>
    <row r="35" spans="1:17" ht="18" customHeight="1" x14ac:dyDescent="0.25">
      <c r="A35" s="388"/>
      <c r="B35" s="203" t="s">
        <v>9</v>
      </c>
      <c r="C35" s="178">
        <v>1.46</v>
      </c>
      <c r="D35" s="178">
        <v>1.44</v>
      </c>
      <c r="E35" s="178">
        <v>1.37</v>
      </c>
      <c r="F35" s="178">
        <v>0</v>
      </c>
      <c r="G35" s="178">
        <v>0</v>
      </c>
      <c r="H35" s="178">
        <v>1.63</v>
      </c>
      <c r="I35" s="178">
        <v>1.5796799999999998</v>
      </c>
      <c r="J35" s="178">
        <v>1.37822</v>
      </c>
      <c r="K35" s="178">
        <v>0</v>
      </c>
      <c r="L35" s="178">
        <v>0</v>
      </c>
      <c r="M35" s="119">
        <f t="shared" si="1"/>
        <v>1116.4383561643835</v>
      </c>
      <c r="N35" s="119">
        <f t="shared" si="2"/>
        <v>1097</v>
      </c>
      <c r="O35" s="119">
        <f t="shared" si="3"/>
        <v>1006</v>
      </c>
      <c r="P35" s="119" t="e">
        <f t="shared" si="4"/>
        <v>#DIV/0!</v>
      </c>
      <c r="Q35" s="119" t="e">
        <f t="shared" si="5"/>
        <v>#DIV/0!</v>
      </c>
    </row>
    <row r="36" spans="1:17" ht="18" customHeight="1" x14ac:dyDescent="0.25">
      <c r="A36" s="388"/>
      <c r="B36" s="203" t="s">
        <v>10</v>
      </c>
      <c r="C36" s="178">
        <f>SUM(C34:C35)</f>
        <v>1.46</v>
      </c>
      <c r="D36" s="178">
        <f t="shared" ref="D36:L36" si="13">SUM(D34:D35)</f>
        <v>1.44</v>
      </c>
      <c r="E36" s="178">
        <f t="shared" si="13"/>
        <v>1.37</v>
      </c>
      <c r="F36" s="178">
        <f t="shared" si="13"/>
        <v>1.2909999999999999</v>
      </c>
      <c r="G36" s="178">
        <f t="shared" si="13"/>
        <v>1.3580000000000001</v>
      </c>
      <c r="H36" s="178">
        <f t="shared" si="13"/>
        <v>1.63</v>
      </c>
      <c r="I36" s="178">
        <f t="shared" si="13"/>
        <v>1.5796799999999998</v>
      </c>
      <c r="J36" s="178">
        <f t="shared" si="13"/>
        <v>1.37822</v>
      </c>
      <c r="K36" s="178">
        <f t="shared" si="13"/>
        <v>1.1528629999999997</v>
      </c>
      <c r="L36" s="178">
        <f t="shared" si="13"/>
        <v>1.3946660000000002</v>
      </c>
      <c r="M36" s="119">
        <f t="shared" si="1"/>
        <v>1116.4383561643835</v>
      </c>
      <c r="N36" s="119">
        <f t="shared" si="2"/>
        <v>1097</v>
      </c>
      <c r="O36" s="119">
        <f t="shared" si="3"/>
        <v>1006</v>
      </c>
      <c r="P36" s="119">
        <f t="shared" si="4"/>
        <v>892.99999999999989</v>
      </c>
      <c r="Q36" s="119">
        <f t="shared" si="5"/>
        <v>1027.0000000000002</v>
      </c>
    </row>
    <row r="37" spans="1:17" ht="18" customHeight="1" x14ac:dyDescent="0.25">
      <c r="A37" s="386" t="s">
        <v>95</v>
      </c>
      <c r="B37" s="203" t="s">
        <v>8</v>
      </c>
      <c r="C37" s="178">
        <v>0.45</v>
      </c>
      <c r="D37" s="178">
        <v>0.83</v>
      </c>
      <c r="E37" s="178">
        <v>0.48</v>
      </c>
      <c r="F37" s="178">
        <v>0</v>
      </c>
      <c r="G37" s="178">
        <v>0</v>
      </c>
      <c r="H37" s="178">
        <v>0.46</v>
      </c>
      <c r="I37" s="178">
        <v>0.67976999999999999</v>
      </c>
      <c r="J37" s="178">
        <v>0.50015999999999994</v>
      </c>
      <c r="K37" s="178">
        <v>0</v>
      </c>
      <c r="L37" s="178">
        <v>0</v>
      </c>
      <c r="M37" s="119">
        <f t="shared" si="1"/>
        <v>1022.2222222222222</v>
      </c>
      <c r="N37" s="119">
        <f t="shared" si="2"/>
        <v>819.00000000000011</v>
      </c>
      <c r="O37" s="119">
        <f t="shared" si="3"/>
        <v>1041.9999999999998</v>
      </c>
      <c r="P37" s="119" t="e">
        <f t="shared" si="4"/>
        <v>#DIV/0!</v>
      </c>
      <c r="Q37" s="119" t="e">
        <f t="shared" si="5"/>
        <v>#DIV/0!</v>
      </c>
    </row>
    <row r="38" spans="1:17" ht="18" customHeight="1" x14ac:dyDescent="0.25">
      <c r="A38" s="386"/>
      <c r="B38" s="203" t="s">
        <v>9</v>
      </c>
      <c r="C38" s="178">
        <v>0.82</v>
      </c>
      <c r="D38" s="178">
        <v>0</v>
      </c>
      <c r="E38" s="178">
        <v>0.83</v>
      </c>
      <c r="F38" s="178">
        <v>0.83</v>
      </c>
      <c r="G38" s="178">
        <v>0.83</v>
      </c>
      <c r="H38" s="178">
        <v>0.67</v>
      </c>
      <c r="I38" s="178">
        <v>0</v>
      </c>
      <c r="J38" s="178">
        <v>0.67976999999999999</v>
      </c>
      <c r="K38" s="178">
        <v>0.67976999999999999</v>
      </c>
      <c r="L38" s="178">
        <v>0.67976999999999999</v>
      </c>
      <c r="M38" s="119">
        <f t="shared" si="1"/>
        <v>817.07317073170736</v>
      </c>
      <c r="N38" s="119" t="e">
        <f t="shared" si="2"/>
        <v>#DIV/0!</v>
      </c>
      <c r="O38" s="119">
        <f t="shared" si="3"/>
        <v>819.00000000000011</v>
      </c>
      <c r="P38" s="119">
        <f t="shared" si="4"/>
        <v>819.00000000000011</v>
      </c>
      <c r="Q38" s="119">
        <f t="shared" si="5"/>
        <v>819.00000000000011</v>
      </c>
    </row>
    <row r="39" spans="1:17" ht="18" customHeight="1" x14ac:dyDescent="0.25">
      <c r="A39" s="386"/>
      <c r="B39" s="207" t="s">
        <v>10</v>
      </c>
      <c r="C39" s="178">
        <f>C37+C38</f>
        <v>1.27</v>
      </c>
      <c r="D39" s="178">
        <f t="shared" ref="D39:L39" si="14">D37+D38</f>
        <v>0.83</v>
      </c>
      <c r="E39" s="178">
        <f t="shared" si="14"/>
        <v>1.31</v>
      </c>
      <c r="F39" s="178">
        <f t="shared" si="14"/>
        <v>0.83</v>
      </c>
      <c r="G39" s="178">
        <f t="shared" si="14"/>
        <v>0.83</v>
      </c>
      <c r="H39" s="178">
        <f t="shared" si="14"/>
        <v>1.1300000000000001</v>
      </c>
      <c r="I39" s="178">
        <f t="shared" si="14"/>
        <v>0.67976999999999999</v>
      </c>
      <c r="J39" s="178">
        <f t="shared" si="14"/>
        <v>1.1799299999999999</v>
      </c>
      <c r="K39" s="178">
        <f t="shared" si="14"/>
        <v>0.67976999999999999</v>
      </c>
      <c r="L39" s="178">
        <f t="shared" si="14"/>
        <v>0.67976999999999999</v>
      </c>
      <c r="M39" s="119">
        <f t="shared" si="1"/>
        <v>889.76377952755911</v>
      </c>
      <c r="N39" s="119">
        <f t="shared" si="2"/>
        <v>819.00000000000011</v>
      </c>
      <c r="O39" s="119">
        <f t="shared" si="3"/>
        <v>900.70992366412202</v>
      </c>
      <c r="P39" s="119">
        <f t="shared" si="4"/>
        <v>819.00000000000011</v>
      </c>
      <c r="Q39" s="119">
        <f t="shared" si="5"/>
        <v>819.00000000000011</v>
      </c>
    </row>
    <row r="40" spans="1:17" ht="18" customHeight="1" x14ac:dyDescent="0.25">
      <c r="A40" s="386" t="s">
        <v>107</v>
      </c>
      <c r="B40" s="207" t="s">
        <v>8</v>
      </c>
      <c r="C40" s="178">
        <f>27.9+65.57</f>
        <v>93.47</v>
      </c>
      <c r="D40" s="178">
        <v>63.19</v>
      </c>
      <c r="E40" s="178">
        <v>53.28</v>
      </c>
      <c r="F40" s="178">
        <v>49.120000000000005</v>
      </c>
      <c r="G40" s="178">
        <v>60.74</v>
      </c>
      <c r="H40" s="178">
        <f>11.11+29.99</f>
        <v>41.099999999999994</v>
      </c>
      <c r="I40" s="178">
        <v>21.73</v>
      </c>
      <c r="J40" s="178">
        <v>16.7</v>
      </c>
      <c r="K40" s="178">
        <v>18.010000000000002</v>
      </c>
      <c r="L40" s="178">
        <v>21.74492</v>
      </c>
      <c r="M40" s="119">
        <f t="shared" si="1"/>
        <v>439.71327698726861</v>
      </c>
      <c r="N40" s="119">
        <f t="shared" si="2"/>
        <v>343.88352587434724</v>
      </c>
      <c r="O40" s="119">
        <f t="shared" si="3"/>
        <v>313.43843843843842</v>
      </c>
      <c r="P40" s="119">
        <f t="shared" si="4"/>
        <v>366.65309446254076</v>
      </c>
      <c r="Q40" s="119">
        <f t="shared" si="5"/>
        <v>358</v>
      </c>
    </row>
    <row r="41" spans="1:17" ht="18" customHeight="1" x14ac:dyDescent="0.25">
      <c r="A41" s="386"/>
      <c r="B41" s="207" t="s">
        <v>9</v>
      </c>
      <c r="C41" s="178">
        <v>15.27</v>
      </c>
      <c r="D41" s="178">
        <v>13.99</v>
      </c>
      <c r="E41" s="178">
        <v>4.57</v>
      </c>
      <c r="F41" s="178">
        <v>8.52</v>
      </c>
      <c r="G41" s="178">
        <v>13.76</v>
      </c>
      <c r="H41" s="178">
        <v>8.31</v>
      </c>
      <c r="I41" s="178">
        <v>6.9670200000000007</v>
      </c>
      <c r="J41" s="178">
        <v>2.33527</v>
      </c>
      <c r="K41" s="178">
        <v>3.21204</v>
      </c>
      <c r="L41" s="178">
        <v>3.8665599999999998</v>
      </c>
      <c r="M41" s="119">
        <f t="shared" si="1"/>
        <v>544.20432220039299</v>
      </c>
      <c r="N41" s="119">
        <f t="shared" si="2"/>
        <v>498.00000000000006</v>
      </c>
      <c r="O41" s="119">
        <f t="shared" si="3"/>
        <v>511</v>
      </c>
      <c r="P41" s="119">
        <f t="shared" si="4"/>
        <v>377</v>
      </c>
      <c r="Q41" s="119">
        <f t="shared" si="5"/>
        <v>281</v>
      </c>
    </row>
    <row r="42" spans="1:17" ht="18" customHeight="1" x14ac:dyDescent="0.25">
      <c r="A42" s="386"/>
      <c r="B42" s="207" t="s">
        <v>10</v>
      </c>
      <c r="C42" s="178">
        <f>C40+C41</f>
        <v>108.74</v>
      </c>
      <c r="D42" s="178">
        <f t="shared" ref="D42:K42" si="15">D40+D41</f>
        <v>77.179999999999993</v>
      </c>
      <c r="E42" s="178">
        <f t="shared" si="15"/>
        <v>57.85</v>
      </c>
      <c r="F42" s="178">
        <f t="shared" si="15"/>
        <v>57.64</v>
      </c>
      <c r="G42" s="178">
        <f t="shared" si="15"/>
        <v>74.5</v>
      </c>
      <c r="H42" s="178">
        <f t="shared" si="15"/>
        <v>49.41</v>
      </c>
      <c r="I42" s="178">
        <f t="shared" si="15"/>
        <v>28.697020000000002</v>
      </c>
      <c r="J42" s="178">
        <f t="shared" si="15"/>
        <v>19.035270000000001</v>
      </c>
      <c r="K42" s="178">
        <f t="shared" si="15"/>
        <v>21.22204</v>
      </c>
      <c r="L42" s="178">
        <v>25.61148</v>
      </c>
      <c r="M42" s="119">
        <f t="shared" si="1"/>
        <v>454.3866102630127</v>
      </c>
      <c r="N42" s="119">
        <f t="shared" si="2"/>
        <v>371.81938325991194</v>
      </c>
      <c r="O42" s="119">
        <f t="shared" si="3"/>
        <v>329.04528954191875</v>
      </c>
      <c r="P42" s="119">
        <f t="shared" si="4"/>
        <v>368.18251214434423</v>
      </c>
      <c r="Q42" s="119">
        <f t="shared" si="5"/>
        <v>343.778255033557</v>
      </c>
    </row>
    <row r="43" spans="1:17" ht="18" customHeight="1" x14ac:dyDescent="0.25">
      <c r="A43" s="205" t="s">
        <v>21</v>
      </c>
      <c r="B43" s="207" t="s">
        <v>8</v>
      </c>
      <c r="C43" s="178">
        <v>2.1</v>
      </c>
      <c r="D43" s="178">
        <v>1.6</v>
      </c>
      <c r="E43" s="178">
        <v>2</v>
      </c>
      <c r="F43" s="178">
        <v>2</v>
      </c>
      <c r="G43" s="178">
        <v>2</v>
      </c>
      <c r="H43" s="178">
        <v>1.1000000000000001</v>
      </c>
      <c r="I43" s="178">
        <v>0.92800000000000005</v>
      </c>
      <c r="J43" s="178">
        <v>1.1100000000000001</v>
      </c>
      <c r="K43" s="178">
        <v>1.1559999999999999</v>
      </c>
      <c r="L43" s="178">
        <v>1.228</v>
      </c>
      <c r="M43" s="119">
        <f t="shared" si="1"/>
        <v>523.80952380952385</v>
      </c>
      <c r="N43" s="119">
        <f t="shared" si="2"/>
        <v>580</v>
      </c>
      <c r="O43" s="119">
        <f t="shared" si="3"/>
        <v>555</v>
      </c>
      <c r="P43" s="119">
        <f t="shared" si="4"/>
        <v>578</v>
      </c>
      <c r="Q43" s="119">
        <f t="shared" si="5"/>
        <v>614</v>
      </c>
    </row>
    <row r="44" spans="1:17" ht="18" customHeight="1" x14ac:dyDescent="0.25">
      <c r="A44" s="121"/>
      <c r="B44" s="122"/>
      <c r="C44" s="123"/>
      <c r="D44" s="123"/>
      <c r="E44" s="123"/>
      <c r="F44" s="123"/>
      <c r="G44" s="123"/>
      <c r="H44" s="123"/>
      <c r="I44" s="123"/>
      <c r="J44" s="124"/>
      <c r="K44" s="124"/>
      <c r="L44" s="124"/>
      <c r="M44" s="124"/>
      <c r="N44" s="125" t="s">
        <v>197</v>
      </c>
      <c r="O44" s="127"/>
      <c r="P44" s="127"/>
      <c r="Q44" s="127"/>
    </row>
    <row r="45" spans="1:17" ht="18" customHeight="1" x14ac:dyDescent="0.25">
      <c r="A45" s="121"/>
      <c r="B45" s="122"/>
      <c r="C45" s="123"/>
      <c r="D45" s="123"/>
      <c r="E45" s="123"/>
      <c r="F45" s="123"/>
      <c r="G45" s="123"/>
      <c r="H45" s="123"/>
      <c r="I45" s="123"/>
      <c r="J45" s="124"/>
      <c r="K45" s="124"/>
      <c r="L45" s="124"/>
      <c r="M45" s="124"/>
      <c r="N45" s="125"/>
      <c r="O45" s="127"/>
      <c r="P45" s="127"/>
      <c r="Q45" s="127"/>
    </row>
    <row r="46" spans="1:17" ht="18" customHeight="1" x14ac:dyDescent="0.25">
      <c r="A46" s="121"/>
      <c r="B46" s="122"/>
      <c r="C46" s="126" t="s">
        <v>114</v>
      </c>
      <c r="D46" s="123"/>
      <c r="E46" s="123"/>
      <c r="F46" s="123"/>
      <c r="G46" s="123"/>
      <c r="H46" s="123"/>
      <c r="I46" s="123"/>
      <c r="J46" s="120"/>
      <c r="K46" s="120"/>
      <c r="L46" s="120"/>
      <c r="M46" s="124"/>
      <c r="N46" s="124"/>
      <c r="O46" s="127"/>
      <c r="P46" s="127"/>
      <c r="Q46" s="127"/>
    </row>
    <row r="47" spans="1:17" ht="18" customHeight="1" x14ac:dyDescent="0.2">
      <c r="A47" s="389" t="s">
        <v>1</v>
      </c>
      <c r="B47" s="389" t="s">
        <v>0</v>
      </c>
      <c r="C47" s="342" t="s">
        <v>174</v>
      </c>
      <c r="D47" s="342"/>
      <c r="E47" s="342"/>
      <c r="F47" s="342"/>
      <c r="G47" s="342"/>
      <c r="H47" s="342" t="s">
        <v>68</v>
      </c>
      <c r="I47" s="342"/>
      <c r="J47" s="342"/>
      <c r="K47" s="342"/>
      <c r="L47" s="342"/>
      <c r="M47" s="342" t="s">
        <v>89</v>
      </c>
      <c r="N47" s="342"/>
      <c r="O47" s="342"/>
      <c r="P47" s="342"/>
      <c r="Q47" s="342"/>
    </row>
    <row r="48" spans="1:17" ht="18" customHeight="1" x14ac:dyDescent="0.2">
      <c r="A48" s="389"/>
      <c r="B48" s="389"/>
      <c r="C48" s="274" t="s">
        <v>112</v>
      </c>
      <c r="D48" s="274" t="s">
        <v>164</v>
      </c>
      <c r="E48" s="274" t="s">
        <v>199</v>
      </c>
      <c r="F48" s="274" t="s">
        <v>200</v>
      </c>
      <c r="G48" s="273" t="s">
        <v>202</v>
      </c>
      <c r="H48" s="274" t="s">
        <v>112</v>
      </c>
      <c r="I48" s="274" t="s">
        <v>164</v>
      </c>
      <c r="J48" s="274" t="s">
        <v>199</v>
      </c>
      <c r="K48" s="274" t="s">
        <v>200</v>
      </c>
      <c r="L48" s="273" t="s">
        <v>202</v>
      </c>
      <c r="M48" s="274" t="s">
        <v>112</v>
      </c>
      <c r="N48" s="274" t="s">
        <v>164</v>
      </c>
      <c r="O48" s="274" t="s">
        <v>199</v>
      </c>
      <c r="P48" s="274" t="s">
        <v>200</v>
      </c>
      <c r="Q48" s="273" t="s">
        <v>202</v>
      </c>
    </row>
    <row r="49" spans="1:17" ht="18" customHeight="1" x14ac:dyDescent="0.2">
      <c r="A49" s="241">
        <v>1</v>
      </c>
      <c r="B49" s="117">
        <v>2</v>
      </c>
      <c r="C49" s="117">
        <v>3</v>
      </c>
      <c r="D49" s="117">
        <v>4</v>
      </c>
      <c r="E49" s="117">
        <v>5</v>
      </c>
      <c r="F49" s="117">
        <v>6</v>
      </c>
      <c r="G49" s="117">
        <v>7</v>
      </c>
      <c r="H49" s="117">
        <v>8</v>
      </c>
      <c r="I49" s="117">
        <v>9</v>
      </c>
      <c r="J49" s="117">
        <v>10</v>
      </c>
      <c r="K49" s="117">
        <v>11</v>
      </c>
      <c r="L49" s="117">
        <v>12</v>
      </c>
      <c r="M49" s="117">
        <v>13</v>
      </c>
      <c r="N49" s="117">
        <v>14</v>
      </c>
      <c r="O49" s="117">
        <v>15</v>
      </c>
      <c r="P49" s="117">
        <v>16</v>
      </c>
      <c r="Q49" s="117">
        <v>17</v>
      </c>
    </row>
    <row r="50" spans="1:17" ht="18" customHeight="1" x14ac:dyDescent="0.25">
      <c r="A50" s="383" t="s">
        <v>22</v>
      </c>
      <c r="B50" s="207" t="s">
        <v>8</v>
      </c>
      <c r="C50" s="178">
        <v>476.72199999999998</v>
      </c>
      <c r="D50" s="178">
        <v>839.28899999999999</v>
      </c>
      <c r="E50" s="178">
        <v>750.72</v>
      </c>
      <c r="F50" s="178">
        <v>502.1</v>
      </c>
      <c r="G50" s="178">
        <v>411.20400000000001</v>
      </c>
      <c r="H50" s="178">
        <v>305.46899999999999</v>
      </c>
      <c r="I50" s="178">
        <v>523.71633599999996</v>
      </c>
      <c r="J50" s="178">
        <v>376.11072000000001</v>
      </c>
      <c r="K50" s="178">
        <v>123.5166</v>
      </c>
      <c r="L50" s="178">
        <v>160.36956000000001</v>
      </c>
      <c r="M50" s="119">
        <f>H50/C50*1000</f>
        <v>640.76967289111894</v>
      </c>
      <c r="N50" s="119">
        <f t="shared" ref="N50:Q50" si="16">I50/D50*1000</f>
        <v>624</v>
      </c>
      <c r="O50" s="119">
        <f t="shared" si="16"/>
        <v>501</v>
      </c>
      <c r="P50" s="119">
        <f t="shared" si="16"/>
        <v>246</v>
      </c>
      <c r="Q50" s="119">
        <f t="shared" si="16"/>
        <v>390</v>
      </c>
    </row>
    <row r="51" spans="1:17" ht="18" customHeight="1" x14ac:dyDescent="0.25">
      <c r="A51" s="384"/>
      <c r="B51" s="207" t="s">
        <v>9</v>
      </c>
      <c r="C51" s="178">
        <v>0</v>
      </c>
      <c r="D51" s="178">
        <v>0</v>
      </c>
      <c r="E51" s="178">
        <v>7.0000000000000001E-3</v>
      </c>
      <c r="F51" s="178">
        <v>0.04</v>
      </c>
      <c r="G51" s="178">
        <v>0</v>
      </c>
      <c r="H51" s="178">
        <v>0</v>
      </c>
      <c r="I51" s="178">
        <v>0</v>
      </c>
      <c r="J51" s="178">
        <v>1.0997E-2</v>
      </c>
      <c r="K51" s="178">
        <v>5.8520000000000003E-2</v>
      </c>
      <c r="L51" s="178">
        <v>0</v>
      </c>
      <c r="M51" s="119" t="e">
        <f t="shared" ref="M51:M82" si="17">H51/C51*1000</f>
        <v>#DIV/0!</v>
      </c>
      <c r="N51" s="119" t="e">
        <f t="shared" ref="N51:N82" si="18">I51/D51*1000</f>
        <v>#DIV/0!</v>
      </c>
      <c r="O51" s="119">
        <f t="shared" ref="O51:O82" si="19">J51/E51*1000</f>
        <v>1571</v>
      </c>
      <c r="P51" s="119">
        <f t="shared" ref="P51:P82" si="20">K51/F51*1000</f>
        <v>1463</v>
      </c>
      <c r="Q51" s="119" t="e">
        <f t="shared" ref="Q51:Q82" si="21">L51/G51*1000</f>
        <v>#DIV/0!</v>
      </c>
    </row>
    <row r="52" spans="1:17" ht="18" customHeight="1" x14ac:dyDescent="0.25">
      <c r="A52" s="385"/>
      <c r="B52" s="207" t="s">
        <v>10</v>
      </c>
      <c r="C52" s="178">
        <f>C51+C50</f>
        <v>476.72199999999998</v>
      </c>
      <c r="D52" s="178">
        <f t="shared" ref="D52:L52" si="22">D51+D50</f>
        <v>839.28899999999999</v>
      </c>
      <c r="E52" s="178">
        <f t="shared" si="22"/>
        <v>750.72699999999998</v>
      </c>
      <c r="F52" s="178">
        <f t="shared" si="22"/>
        <v>502.14000000000004</v>
      </c>
      <c r="G52" s="178">
        <f t="shared" si="22"/>
        <v>411.20400000000001</v>
      </c>
      <c r="H52" s="178">
        <f t="shared" si="22"/>
        <v>305.46899999999999</v>
      </c>
      <c r="I52" s="178">
        <f t="shared" si="22"/>
        <v>523.71633599999996</v>
      </c>
      <c r="J52" s="178">
        <f t="shared" si="22"/>
        <v>376.12171699999999</v>
      </c>
      <c r="K52" s="178">
        <f t="shared" si="22"/>
        <v>123.57512</v>
      </c>
      <c r="L52" s="178">
        <f t="shared" si="22"/>
        <v>160.36956000000001</v>
      </c>
      <c r="M52" s="119">
        <f t="shared" si="17"/>
        <v>640.76967289111894</v>
      </c>
      <c r="N52" s="119">
        <f t="shared" si="18"/>
        <v>624</v>
      </c>
      <c r="O52" s="119">
        <f t="shared" si="19"/>
        <v>501.0099769956322</v>
      </c>
      <c r="P52" s="119">
        <f t="shared" si="20"/>
        <v>246.09694507507865</v>
      </c>
      <c r="Q52" s="119">
        <f t="shared" si="21"/>
        <v>390</v>
      </c>
    </row>
    <row r="53" spans="1:17" ht="18" customHeight="1" x14ac:dyDescent="0.25">
      <c r="A53" s="205" t="s">
        <v>43</v>
      </c>
      <c r="B53" s="207" t="s">
        <v>8</v>
      </c>
      <c r="C53" s="178">
        <v>2.91</v>
      </c>
      <c r="D53" s="178">
        <v>2.69</v>
      </c>
      <c r="E53" s="178">
        <v>2.718</v>
      </c>
      <c r="F53" s="178">
        <v>2.7890000000000001</v>
      </c>
      <c r="G53" s="178">
        <v>2.855</v>
      </c>
      <c r="H53" s="178">
        <v>2.72</v>
      </c>
      <c r="I53" s="178">
        <v>2.4963200000000003</v>
      </c>
      <c r="J53" s="178">
        <v>2.5440479999999996</v>
      </c>
      <c r="K53" s="178">
        <v>2.6105040000000002</v>
      </c>
      <c r="L53" s="178">
        <v>2.6837</v>
      </c>
      <c r="M53" s="119">
        <f t="shared" si="17"/>
        <v>934.7079037800687</v>
      </c>
      <c r="N53" s="119">
        <f t="shared" si="18"/>
        <v>928.00000000000011</v>
      </c>
      <c r="O53" s="119">
        <f t="shared" si="19"/>
        <v>935.99999999999989</v>
      </c>
      <c r="P53" s="119">
        <f t="shared" si="20"/>
        <v>936</v>
      </c>
      <c r="Q53" s="119">
        <f t="shared" si="21"/>
        <v>940</v>
      </c>
    </row>
    <row r="54" spans="1:17" ht="18" customHeight="1" x14ac:dyDescent="0.25">
      <c r="A54" s="386" t="s">
        <v>11</v>
      </c>
      <c r="B54" s="207" t="s">
        <v>8</v>
      </c>
      <c r="C54" s="178">
        <v>71.849999999999994</v>
      </c>
      <c r="D54" s="178">
        <v>58.42</v>
      </c>
      <c r="E54" s="178">
        <v>44.49</v>
      </c>
      <c r="F54" s="178">
        <v>42.6</v>
      </c>
      <c r="G54" s="178">
        <v>45.68</v>
      </c>
      <c r="H54" s="178">
        <v>56.12</v>
      </c>
      <c r="I54" s="178">
        <v>53.220620000000004</v>
      </c>
      <c r="J54" s="178">
        <v>33.812400000000004</v>
      </c>
      <c r="K54" s="178">
        <v>35.869200000000006</v>
      </c>
      <c r="L54" s="178">
        <v>40.655199999999994</v>
      </c>
      <c r="M54" s="119">
        <f t="shared" si="17"/>
        <v>781.07167710508008</v>
      </c>
      <c r="N54" s="119">
        <f t="shared" si="18"/>
        <v>911</v>
      </c>
      <c r="O54" s="119">
        <f t="shared" si="19"/>
        <v>760</v>
      </c>
      <c r="P54" s="119">
        <f t="shared" si="20"/>
        <v>842.00000000000011</v>
      </c>
      <c r="Q54" s="119">
        <f t="shared" si="21"/>
        <v>889.99999999999989</v>
      </c>
    </row>
    <row r="55" spans="1:17" ht="18" customHeight="1" x14ac:dyDescent="0.25">
      <c r="A55" s="386"/>
      <c r="B55" s="207" t="s">
        <v>9</v>
      </c>
      <c r="C55" s="178">
        <v>357.93</v>
      </c>
      <c r="D55" s="178">
        <v>367.92</v>
      </c>
      <c r="E55" s="178">
        <v>396.46</v>
      </c>
      <c r="F55" s="178">
        <v>362.72</v>
      </c>
      <c r="G55" s="178">
        <v>356.51</v>
      </c>
      <c r="H55" s="178">
        <v>217.836198</v>
      </c>
      <c r="I55" s="178">
        <v>248.346</v>
      </c>
      <c r="J55" s="178">
        <v>240.65122</v>
      </c>
      <c r="K55" s="178">
        <v>281.47072000000003</v>
      </c>
      <c r="L55" s="178">
        <v>184.31566999999998</v>
      </c>
      <c r="M55" s="119">
        <f t="shared" si="17"/>
        <v>608.6</v>
      </c>
      <c r="N55" s="119">
        <f t="shared" si="18"/>
        <v>674.99999999999989</v>
      </c>
      <c r="O55" s="119">
        <f t="shared" si="19"/>
        <v>607</v>
      </c>
      <c r="P55" s="119">
        <f t="shared" si="20"/>
        <v>776</v>
      </c>
      <c r="Q55" s="119">
        <f t="shared" si="21"/>
        <v>517</v>
      </c>
    </row>
    <row r="56" spans="1:17" ht="18" customHeight="1" x14ac:dyDescent="0.25">
      <c r="A56" s="386"/>
      <c r="B56" s="208" t="s">
        <v>10</v>
      </c>
      <c r="C56" s="179">
        <f>C54+C55</f>
        <v>429.78</v>
      </c>
      <c r="D56" s="179">
        <f t="shared" ref="D56:L56" si="23">D54+D55</f>
        <v>426.34000000000003</v>
      </c>
      <c r="E56" s="179">
        <f t="shared" si="23"/>
        <v>440.95</v>
      </c>
      <c r="F56" s="179">
        <f t="shared" si="23"/>
        <v>405.32000000000005</v>
      </c>
      <c r="G56" s="179">
        <f t="shared" si="23"/>
        <v>402.19</v>
      </c>
      <c r="H56" s="179">
        <f t="shared" si="23"/>
        <v>273.95619799999997</v>
      </c>
      <c r="I56" s="179">
        <f t="shared" si="23"/>
        <v>301.56662</v>
      </c>
      <c r="J56" s="179">
        <f t="shared" si="23"/>
        <v>274.46361999999999</v>
      </c>
      <c r="K56" s="179">
        <f t="shared" si="23"/>
        <v>317.33992000000001</v>
      </c>
      <c r="L56" s="179">
        <f t="shared" si="23"/>
        <v>224.97086999999999</v>
      </c>
      <c r="M56" s="287">
        <f t="shared" si="17"/>
        <v>637.43356601051698</v>
      </c>
      <c r="N56" s="287">
        <f t="shared" si="18"/>
        <v>707.33832152741934</v>
      </c>
      <c r="O56" s="287">
        <f t="shared" si="19"/>
        <v>622.43705635559593</v>
      </c>
      <c r="P56" s="287">
        <f t="shared" si="20"/>
        <v>782.93674134017556</v>
      </c>
      <c r="Q56" s="287">
        <f t="shared" si="21"/>
        <v>559.36465352196717</v>
      </c>
    </row>
    <row r="57" spans="1:17" ht="18" customHeight="1" x14ac:dyDescent="0.25">
      <c r="A57" s="386" t="s">
        <v>109</v>
      </c>
      <c r="B57" s="207" t="s">
        <v>8</v>
      </c>
      <c r="C57" s="178">
        <v>41</v>
      </c>
      <c r="D57" s="178">
        <v>32</v>
      </c>
      <c r="E57" s="178">
        <v>27</v>
      </c>
      <c r="F57" s="178">
        <v>15</v>
      </c>
      <c r="G57" s="178">
        <v>19</v>
      </c>
      <c r="H57" s="178">
        <v>34</v>
      </c>
      <c r="I57" s="178">
        <v>25.824000000000002</v>
      </c>
      <c r="J57" s="178">
        <v>22.815000000000001</v>
      </c>
      <c r="K57" s="178">
        <v>14.07</v>
      </c>
      <c r="L57" s="178">
        <v>14.193</v>
      </c>
      <c r="M57" s="119">
        <f t="shared" si="17"/>
        <v>829.26829268292681</v>
      </c>
      <c r="N57" s="119">
        <f t="shared" si="18"/>
        <v>807</v>
      </c>
      <c r="O57" s="119">
        <f t="shared" si="19"/>
        <v>845.00000000000011</v>
      </c>
      <c r="P57" s="119">
        <f t="shared" si="20"/>
        <v>938</v>
      </c>
      <c r="Q57" s="119">
        <f t="shared" si="21"/>
        <v>747</v>
      </c>
    </row>
    <row r="58" spans="1:17" ht="18" customHeight="1" x14ac:dyDescent="0.25">
      <c r="A58" s="386"/>
      <c r="B58" s="207" t="s">
        <v>9</v>
      </c>
      <c r="C58" s="178">
        <v>11</v>
      </c>
      <c r="D58" s="178">
        <v>6</v>
      </c>
      <c r="E58" s="178">
        <v>5</v>
      </c>
      <c r="F58" s="178">
        <v>7</v>
      </c>
      <c r="G58" s="178">
        <v>19</v>
      </c>
      <c r="H58" s="178">
        <v>9</v>
      </c>
      <c r="I58" s="178">
        <v>5.274</v>
      </c>
      <c r="J58" s="178">
        <v>7.4</v>
      </c>
      <c r="K58" s="178">
        <v>12.6</v>
      </c>
      <c r="L58" s="178">
        <v>35.701000000000001</v>
      </c>
      <c r="M58" s="119">
        <f t="shared" si="17"/>
        <v>818.18181818181824</v>
      </c>
      <c r="N58" s="119">
        <f t="shared" si="18"/>
        <v>879</v>
      </c>
      <c r="O58" s="119">
        <f t="shared" si="19"/>
        <v>1480</v>
      </c>
      <c r="P58" s="119">
        <f t="shared" si="20"/>
        <v>1800</v>
      </c>
      <c r="Q58" s="119">
        <f t="shared" si="21"/>
        <v>1879</v>
      </c>
    </row>
    <row r="59" spans="1:17" ht="18" customHeight="1" x14ac:dyDescent="0.25">
      <c r="A59" s="386"/>
      <c r="B59" s="207" t="s">
        <v>10</v>
      </c>
      <c r="C59" s="178">
        <f>C57+C58</f>
        <v>52</v>
      </c>
      <c r="D59" s="178">
        <f t="shared" ref="D59:L59" si="24">D57+D58</f>
        <v>38</v>
      </c>
      <c r="E59" s="178">
        <f t="shared" si="24"/>
        <v>32</v>
      </c>
      <c r="F59" s="178">
        <f t="shared" si="24"/>
        <v>22</v>
      </c>
      <c r="G59" s="178">
        <f t="shared" si="24"/>
        <v>38</v>
      </c>
      <c r="H59" s="178">
        <f t="shared" si="24"/>
        <v>43</v>
      </c>
      <c r="I59" s="178">
        <f t="shared" si="24"/>
        <v>31.098000000000003</v>
      </c>
      <c r="J59" s="178">
        <f t="shared" si="24"/>
        <v>30.215000000000003</v>
      </c>
      <c r="K59" s="178">
        <f t="shared" si="24"/>
        <v>26.67</v>
      </c>
      <c r="L59" s="178">
        <f t="shared" si="24"/>
        <v>49.893999999999998</v>
      </c>
      <c r="M59" s="119">
        <f t="shared" si="17"/>
        <v>826.92307692307691</v>
      </c>
      <c r="N59" s="119">
        <f t="shared" si="18"/>
        <v>818.36842105263167</v>
      </c>
      <c r="O59" s="119">
        <f t="shared" si="19"/>
        <v>944.21875000000011</v>
      </c>
      <c r="P59" s="119">
        <f t="shared" si="20"/>
        <v>1212.2727272727275</v>
      </c>
      <c r="Q59" s="119">
        <f t="shared" si="21"/>
        <v>1313</v>
      </c>
    </row>
    <row r="60" spans="1:17" ht="18" customHeight="1" x14ac:dyDescent="0.25">
      <c r="A60" s="386" t="s">
        <v>59</v>
      </c>
      <c r="B60" s="207" t="s">
        <v>8</v>
      </c>
      <c r="C60" s="178">
        <f>1.35+1.24</f>
        <v>2.59</v>
      </c>
      <c r="D60" s="178">
        <v>2.8679999999999999</v>
      </c>
      <c r="E60" s="178">
        <v>2.5259999999999998</v>
      </c>
      <c r="F60" s="178">
        <v>2.952</v>
      </c>
      <c r="G60" s="178">
        <v>5.3</v>
      </c>
      <c r="H60" s="178">
        <f>0.78+7.16</f>
        <v>7.94</v>
      </c>
      <c r="I60" s="178">
        <v>1.6806479999999999</v>
      </c>
      <c r="J60" s="178">
        <v>1.4710000000000003</v>
      </c>
      <c r="K60" s="178">
        <v>1.856808</v>
      </c>
      <c r="L60" s="178">
        <v>3.8212999999999999</v>
      </c>
      <c r="M60" s="119">
        <f t="shared" si="17"/>
        <v>3065.6370656370664</v>
      </c>
      <c r="N60" s="119">
        <f t="shared" si="18"/>
        <v>586</v>
      </c>
      <c r="O60" s="119">
        <f t="shared" si="19"/>
        <v>582.34362628661927</v>
      </c>
      <c r="P60" s="119">
        <f t="shared" si="20"/>
        <v>629</v>
      </c>
      <c r="Q60" s="119">
        <f t="shared" si="21"/>
        <v>721</v>
      </c>
    </row>
    <row r="61" spans="1:17" ht="18" customHeight="1" x14ac:dyDescent="0.25">
      <c r="A61" s="386"/>
      <c r="B61" s="207" t="s">
        <v>9</v>
      </c>
      <c r="C61" s="178">
        <v>1.25</v>
      </c>
      <c r="D61" s="178">
        <v>2.4820000000000002</v>
      </c>
      <c r="E61" s="178">
        <v>2.3340000000000001</v>
      </c>
      <c r="F61" s="178">
        <v>1.9670000000000001</v>
      </c>
      <c r="G61" s="178">
        <v>4.0049999999999999</v>
      </c>
      <c r="H61" s="178">
        <v>0.96899999999999997</v>
      </c>
      <c r="I61" s="178">
        <v>1.7647020000000002</v>
      </c>
      <c r="J61" s="178">
        <v>1.6337999999999999</v>
      </c>
      <c r="K61" s="178">
        <v>1.4457450000000001</v>
      </c>
      <c r="L61" s="178">
        <v>3.1839749999999998</v>
      </c>
      <c r="M61" s="119">
        <f t="shared" si="17"/>
        <v>775.2</v>
      </c>
      <c r="N61" s="119">
        <f t="shared" si="18"/>
        <v>711.00000000000011</v>
      </c>
      <c r="O61" s="119">
        <f t="shared" si="19"/>
        <v>700</v>
      </c>
      <c r="P61" s="119">
        <f t="shared" si="20"/>
        <v>735</v>
      </c>
      <c r="Q61" s="119">
        <f t="shared" si="21"/>
        <v>794.99999999999989</v>
      </c>
    </row>
    <row r="62" spans="1:17" ht="18" customHeight="1" x14ac:dyDescent="0.25">
      <c r="A62" s="386"/>
      <c r="B62" s="207" t="s">
        <v>10</v>
      </c>
      <c r="C62" s="178">
        <f>C60+C61</f>
        <v>3.84</v>
      </c>
      <c r="D62" s="178">
        <f t="shared" ref="D62:L62" si="25">D60+D61</f>
        <v>5.35</v>
      </c>
      <c r="E62" s="178">
        <f t="shared" si="25"/>
        <v>4.8599999999999994</v>
      </c>
      <c r="F62" s="178">
        <f t="shared" si="25"/>
        <v>4.9190000000000005</v>
      </c>
      <c r="G62" s="178">
        <f t="shared" si="25"/>
        <v>9.3049999999999997</v>
      </c>
      <c r="H62" s="178">
        <f t="shared" si="25"/>
        <v>8.9090000000000007</v>
      </c>
      <c r="I62" s="178">
        <f t="shared" si="25"/>
        <v>3.4453500000000004</v>
      </c>
      <c r="J62" s="178">
        <f t="shared" si="25"/>
        <v>3.1048</v>
      </c>
      <c r="K62" s="178">
        <f t="shared" si="25"/>
        <v>3.3025530000000001</v>
      </c>
      <c r="L62" s="178">
        <f t="shared" si="25"/>
        <v>7.0052749999999993</v>
      </c>
      <c r="M62" s="119">
        <f t="shared" si="17"/>
        <v>2320.0520833333335</v>
      </c>
      <c r="N62" s="119">
        <f t="shared" si="18"/>
        <v>643.9906542056076</v>
      </c>
      <c r="O62" s="119">
        <f t="shared" si="19"/>
        <v>638.84773662551447</v>
      </c>
      <c r="P62" s="119">
        <f t="shared" si="20"/>
        <v>671.38707054279325</v>
      </c>
      <c r="Q62" s="119">
        <f t="shared" si="21"/>
        <v>752.85061794734008</v>
      </c>
    </row>
    <row r="63" spans="1:17" ht="18" customHeight="1" x14ac:dyDescent="0.25">
      <c r="A63" s="386" t="s">
        <v>12</v>
      </c>
      <c r="B63" s="207" t="s">
        <v>8</v>
      </c>
      <c r="C63" s="178">
        <v>595</v>
      </c>
      <c r="D63" s="178">
        <v>565</v>
      </c>
      <c r="E63" s="178">
        <v>521</v>
      </c>
      <c r="F63" s="178">
        <v>519</v>
      </c>
      <c r="G63" s="178">
        <v>508</v>
      </c>
      <c r="H63" s="178">
        <v>321</v>
      </c>
      <c r="I63" s="178">
        <v>283.065</v>
      </c>
      <c r="J63" s="178">
        <v>289.15499999999997</v>
      </c>
      <c r="K63" s="178">
        <v>212.79</v>
      </c>
      <c r="L63" s="178">
        <v>282.44799999999998</v>
      </c>
      <c r="M63" s="119">
        <f t="shared" si="17"/>
        <v>539.49579831932772</v>
      </c>
      <c r="N63" s="119">
        <f t="shared" si="18"/>
        <v>501</v>
      </c>
      <c r="O63" s="119">
        <f t="shared" si="19"/>
        <v>554.99999999999989</v>
      </c>
      <c r="P63" s="119">
        <f t="shared" si="20"/>
        <v>410</v>
      </c>
      <c r="Q63" s="119">
        <f t="shared" si="21"/>
        <v>555.99999999999989</v>
      </c>
    </row>
    <row r="64" spans="1:17" ht="18" customHeight="1" x14ac:dyDescent="0.25">
      <c r="A64" s="386"/>
      <c r="B64" s="207" t="s">
        <v>9</v>
      </c>
      <c r="C64" s="178">
        <v>49</v>
      </c>
      <c r="D64" s="178">
        <v>49</v>
      </c>
      <c r="E64" s="178">
        <v>46</v>
      </c>
      <c r="F64" s="178">
        <v>45</v>
      </c>
      <c r="G64" s="178">
        <v>46</v>
      </c>
      <c r="H64" s="178">
        <v>32</v>
      </c>
      <c r="I64" s="178">
        <v>30.968</v>
      </c>
      <c r="J64" s="178">
        <v>36.155999999999999</v>
      </c>
      <c r="K64" s="178">
        <v>32.22</v>
      </c>
      <c r="L64" s="178">
        <v>34.914000000000001</v>
      </c>
      <c r="M64" s="119">
        <f t="shared" si="17"/>
        <v>653.0612244897959</v>
      </c>
      <c r="N64" s="119">
        <f t="shared" si="18"/>
        <v>632</v>
      </c>
      <c r="O64" s="119">
        <f t="shared" si="19"/>
        <v>785.99999999999989</v>
      </c>
      <c r="P64" s="119">
        <f t="shared" si="20"/>
        <v>716</v>
      </c>
      <c r="Q64" s="119">
        <f t="shared" si="21"/>
        <v>759</v>
      </c>
    </row>
    <row r="65" spans="1:17" ht="18" customHeight="1" x14ac:dyDescent="0.25">
      <c r="A65" s="386"/>
      <c r="B65" s="208" t="s">
        <v>10</v>
      </c>
      <c r="C65" s="179">
        <f>C63+C64</f>
        <v>644</v>
      </c>
      <c r="D65" s="179">
        <f t="shared" ref="D65:L65" si="26">D63+D64</f>
        <v>614</v>
      </c>
      <c r="E65" s="179">
        <f t="shared" si="26"/>
        <v>567</v>
      </c>
      <c r="F65" s="179">
        <f t="shared" si="26"/>
        <v>564</v>
      </c>
      <c r="G65" s="179">
        <f t="shared" si="26"/>
        <v>554</v>
      </c>
      <c r="H65" s="179">
        <f t="shared" si="26"/>
        <v>353</v>
      </c>
      <c r="I65" s="179">
        <f t="shared" si="26"/>
        <v>314.03300000000002</v>
      </c>
      <c r="J65" s="179">
        <f t="shared" si="26"/>
        <v>325.31099999999998</v>
      </c>
      <c r="K65" s="179">
        <f t="shared" si="26"/>
        <v>245.01</v>
      </c>
      <c r="L65" s="179">
        <f t="shared" si="26"/>
        <v>317.36199999999997</v>
      </c>
      <c r="M65" s="287">
        <f t="shared" si="17"/>
        <v>548.13664596273293</v>
      </c>
      <c r="N65" s="287">
        <f t="shared" si="18"/>
        <v>511.45439739413678</v>
      </c>
      <c r="O65" s="287">
        <f t="shared" si="19"/>
        <v>573.74074074074065</v>
      </c>
      <c r="P65" s="287">
        <f t="shared" si="20"/>
        <v>434.41489361702122</v>
      </c>
      <c r="Q65" s="287">
        <f t="shared" si="21"/>
        <v>572.85559566786992</v>
      </c>
    </row>
    <row r="66" spans="1:17" ht="18" customHeight="1" x14ac:dyDescent="0.25">
      <c r="A66" s="386" t="s">
        <v>90</v>
      </c>
      <c r="B66" s="207" t="s">
        <v>8</v>
      </c>
      <c r="C66" s="178">
        <v>15</v>
      </c>
      <c r="D66" s="178">
        <v>14</v>
      </c>
      <c r="E66" s="178">
        <v>12</v>
      </c>
      <c r="F66" s="178">
        <v>12</v>
      </c>
      <c r="G66" s="178">
        <v>12</v>
      </c>
      <c r="H66" s="178">
        <v>12</v>
      </c>
      <c r="I66" s="178">
        <v>10.584</v>
      </c>
      <c r="J66" s="178">
        <v>10.416</v>
      </c>
      <c r="K66" s="178">
        <v>11.316000000000001</v>
      </c>
      <c r="L66" s="178">
        <v>12.827999999999999</v>
      </c>
      <c r="M66" s="119">
        <f t="shared" si="17"/>
        <v>800</v>
      </c>
      <c r="N66" s="119">
        <f t="shared" si="18"/>
        <v>756</v>
      </c>
      <c r="O66" s="119">
        <f t="shared" si="19"/>
        <v>868</v>
      </c>
      <c r="P66" s="119">
        <f t="shared" si="20"/>
        <v>943.00000000000011</v>
      </c>
      <c r="Q66" s="119">
        <f t="shared" si="21"/>
        <v>1069</v>
      </c>
    </row>
    <row r="67" spans="1:17" ht="18" hidden="1" customHeight="1" x14ac:dyDescent="0.25">
      <c r="A67" s="386"/>
      <c r="B67" s="207" t="s">
        <v>9</v>
      </c>
      <c r="C67" s="178">
        <v>0</v>
      </c>
      <c r="D67" s="178"/>
      <c r="E67" s="178"/>
      <c r="F67" s="178"/>
      <c r="G67" s="178"/>
      <c r="H67" s="178">
        <v>0</v>
      </c>
      <c r="I67" s="178">
        <v>0</v>
      </c>
      <c r="J67" s="178">
        <v>0</v>
      </c>
      <c r="K67" s="178">
        <v>0</v>
      </c>
      <c r="L67" s="178">
        <v>0</v>
      </c>
      <c r="M67" s="119" t="e">
        <f t="shared" si="17"/>
        <v>#DIV/0!</v>
      </c>
      <c r="N67" s="119" t="e">
        <f t="shared" si="18"/>
        <v>#DIV/0!</v>
      </c>
      <c r="O67" s="119" t="e">
        <f t="shared" si="19"/>
        <v>#DIV/0!</v>
      </c>
      <c r="P67" s="119" t="e">
        <f t="shared" si="20"/>
        <v>#DIV/0!</v>
      </c>
      <c r="Q67" s="119" t="e">
        <f t="shared" si="21"/>
        <v>#DIV/0!</v>
      </c>
    </row>
    <row r="68" spans="1:17" ht="18" customHeight="1" x14ac:dyDescent="0.25">
      <c r="A68" s="386"/>
      <c r="B68" s="207" t="s">
        <v>10</v>
      </c>
      <c r="C68" s="178">
        <f>C66+C67</f>
        <v>15</v>
      </c>
      <c r="D68" s="178">
        <f t="shared" ref="D68:L68" si="27">D66+D67</f>
        <v>14</v>
      </c>
      <c r="E68" s="178">
        <f t="shared" si="27"/>
        <v>12</v>
      </c>
      <c r="F68" s="178">
        <f t="shared" si="27"/>
        <v>12</v>
      </c>
      <c r="G68" s="178">
        <f t="shared" si="27"/>
        <v>12</v>
      </c>
      <c r="H68" s="178">
        <f t="shared" si="27"/>
        <v>12</v>
      </c>
      <c r="I68" s="178">
        <f t="shared" si="27"/>
        <v>10.584</v>
      </c>
      <c r="J68" s="178">
        <f t="shared" si="27"/>
        <v>10.416</v>
      </c>
      <c r="K68" s="178">
        <f t="shared" si="27"/>
        <v>11.316000000000001</v>
      </c>
      <c r="L68" s="178">
        <f t="shared" si="27"/>
        <v>12.827999999999999</v>
      </c>
      <c r="M68" s="119">
        <f t="shared" si="17"/>
        <v>800</v>
      </c>
      <c r="N68" s="119">
        <f t="shared" si="18"/>
        <v>756</v>
      </c>
      <c r="O68" s="119">
        <f t="shared" si="19"/>
        <v>868</v>
      </c>
      <c r="P68" s="119">
        <f t="shared" si="20"/>
        <v>943.00000000000011</v>
      </c>
      <c r="Q68" s="119">
        <f t="shared" si="21"/>
        <v>1069</v>
      </c>
    </row>
    <row r="69" spans="1:17" ht="18" customHeight="1" x14ac:dyDescent="0.25">
      <c r="A69" s="386" t="s">
        <v>96</v>
      </c>
      <c r="B69" s="207" t="s">
        <v>8</v>
      </c>
      <c r="C69" s="178">
        <v>65.540000000000006</v>
      </c>
      <c r="D69" s="178">
        <v>67.55</v>
      </c>
      <c r="E69" s="178">
        <v>66.685000000000002</v>
      </c>
      <c r="F69" s="178">
        <v>66.846000000000004</v>
      </c>
      <c r="G69" s="178">
        <v>67.649000000000001</v>
      </c>
      <c r="H69" s="178">
        <v>45.328000000000003</v>
      </c>
      <c r="I69" s="178">
        <v>48.37</v>
      </c>
      <c r="J69" s="178">
        <v>43.812044999999998</v>
      </c>
      <c r="K69" s="178">
        <v>44.853666000000004</v>
      </c>
      <c r="L69" s="178">
        <v>43.363008999999998</v>
      </c>
      <c r="M69" s="119">
        <f t="shared" si="17"/>
        <v>691.60817821177898</v>
      </c>
      <c r="N69" s="119">
        <f t="shared" si="18"/>
        <v>716.06217616580318</v>
      </c>
      <c r="O69" s="119">
        <f t="shared" si="19"/>
        <v>656.99999999999989</v>
      </c>
      <c r="P69" s="119">
        <f t="shared" si="20"/>
        <v>671</v>
      </c>
      <c r="Q69" s="119">
        <f t="shared" si="21"/>
        <v>641</v>
      </c>
    </row>
    <row r="70" spans="1:17" ht="18" customHeight="1" x14ac:dyDescent="0.25">
      <c r="A70" s="386"/>
      <c r="B70" s="207" t="s">
        <v>9</v>
      </c>
      <c r="C70" s="178">
        <v>12.18</v>
      </c>
      <c r="D70" s="178">
        <v>15</v>
      </c>
      <c r="E70" s="178">
        <v>8.1859999999999999</v>
      </c>
      <c r="F70" s="178">
        <v>5.5019999999999998</v>
      </c>
      <c r="G70" s="178">
        <v>4.4359999999999999</v>
      </c>
      <c r="H70" s="178">
        <v>11.680999999999999</v>
      </c>
      <c r="I70" s="178">
        <v>14.7</v>
      </c>
      <c r="J70" s="178">
        <v>8.0550239999999995</v>
      </c>
      <c r="K70" s="178">
        <v>5.2158959999999999</v>
      </c>
      <c r="L70" s="178">
        <v>4.2984840000000002</v>
      </c>
      <c r="M70" s="119">
        <f t="shared" si="17"/>
        <v>959.03119868637111</v>
      </c>
      <c r="N70" s="119">
        <f t="shared" si="18"/>
        <v>980</v>
      </c>
      <c r="O70" s="119">
        <f t="shared" si="19"/>
        <v>984</v>
      </c>
      <c r="P70" s="119">
        <f t="shared" si="20"/>
        <v>948.00000000000011</v>
      </c>
      <c r="Q70" s="119">
        <f t="shared" si="21"/>
        <v>969.00000000000011</v>
      </c>
    </row>
    <row r="71" spans="1:17" ht="18" customHeight="1" x14ac:dyDescent="0.25">
      <c r="A71" s="386"/>
      <c r="B71" s="208" t="s">
        <v>10</v>
      </c>
      <c r="C71" s="179">
        <f>C69+C70</f>
        <v>77.72</v>
      </c>
      <c r="D71" s="179">
        <f t="shared" ref="D71:L71" si="28">D69+D70</f>
        <v>82.55</v>
      </c>
      <c r="E71" s="179">
        <f t="shared" si="28"/>
        <v>74.871000000000009</v>
      </c>
      <c r="F71" s="179">
        <f t="shared" si="28"/>
        <v>72.347999999999999</v>
      </c>
      <c r="G71" s="179">
        <f t="shared" si="28"/>
        <v>72.085000000000008</v>
      </c>
      <c r="H71" s="179">
        <f t="shared" si="28"/>
        <v>57.009</v>
      </c>
      <c r="I71" s="179">
        <f t="shared" si="28"/>
        <v>63.069999999999993</v>
      </c>
      <c r="J71" s="179">
        <f t="shared" si="28"/>
        <v>51.867069000000001</v>
      </c>
      <c r="K71" s="179">
        <f t="shared" si="28"/>
        <v>50.069562000000005</v>
      </c>
      <c r="L71" s="179">
        <f t="shared" si="28"/>
        <v>47.661493</v>
      </c>
      <c r="M71" s="287">
        <f t="shared" si="17"/>
        <v>733.51775604734951</v>
      </c>
      <c r="N71" s="287">
        <f t="shared" si="18"/>
        <v>764.02180496668677</v>
      </c>
      <c r="O71" s="287">
        <f t="shared" si="19"/>
        <v>692.75245422126056</v>
      </c>
      <c r="P71" s="287">
        <f t="shared" si="20"/>
        <v>692.06559960192419</v>
      </c>
      <c r="Q71" s="287">
        <f t="shared" si="21"/>
        <v>661.18461538461531</v>
      </c>
    </row>
    <row r="72" spans="1:17" ht="18" customHeight="1" x14ac:dyDescent="0.25">
      <c r="A72" s="387" t="s">
        <v>102</v>
      </c>
      <c r="B72" s="207" t="s">
        <v>8</v>
      </c>
      <c r="C72" s="178">
        <v>0</v>
      </c>
      <c r="D72" s="178">
        <v>0</v>
      </c>
      <c r="E72" s="178">
        <v>0.1812</v>
      </c>
      <c r="F72" s="178">
        <v>0</v>
      </c>
      <c r="G72" s="178">
        <v>0</v>
      </c>
      <c r="H72" s="178">
        <v>0</v>
      </c>
      <c r="I72" s="178">
        <v>0</v>
      </c>
      <c r="J72" s="178">
        <v>2.8992E-2</v>
      </c>
      <c r="K72" s="178">
        <v>0</v>
      </c>
      <c r="L72" s="178">
        <v>0</v>
      </c>
      <c r="M72" s="119" t="e">
        <f t="shared" si="17"/>
        <v>#DIV/0!</v>
      </c>
      <c r="N72" s="119" t="e">
        <f t="shared" si="18"/>
        <v>#DIV/0!</v>
      </c>
      <c r="O72" s="119">
        <f t="shared" si="19"/>
        <v>160</v>
      </c>
      <c r="P72" s="119" t="e">
        <f t="shared" si="20"/>
        <v>#DIV/0!</v>
      </c>
      <c r="Q72" s="119" t="e">
        <f t="shared" si="21"/>
        <v>#DIV/0!</v>
      </c>
    </row>
    <row r="73" spans="1:17" ht="18" customHeight="1" x14ac:dyDescent="0.25">
      <c r="A73" s="387"/>
      <c r="B73" s="207" t="s">
        <v>9</v>
      </c>
      <c r="C73" s="178">
        <v>0.76</v>
      </c>
      <c r="D73" s="178">
        <v>0.3548</v>
      </c>
      <c r="E73" s="178">
        <v>0</v>
      </c>
      <c r="F73" s="178">
        <v>0.15590000000000001</v>
      </c>
      <c r="G73" s="178">
        <v>0.41260000000000002</v>
      </c>
      <c r="H73" s="178">
        <v>0.2445</v>
      </c>
      <c r="I73" s="178">
        <v>0.1160196</v>
      </c>
      <c r="J73" s="178">
        <v>0</v>
      </c>
      <c r="K73" s="178">
        <v>8.3094700000000007E-2</v>
      </c>
      <c r="L73" s="178">
        <v>0.16504000000000002</v>
      </c>
      <c r="M73" s="119">
        <f t="shared" si="17"/>
        <v>321.71052631578942</v>
      </c>
      <c r="N73" s="119">
        <f t="shared" si="18"/>
        <v>327</v>
      </c>
      <c r="O73" s="119" t="e">
        <f t="shared" si="19"/>
        <v>#DIV/0!</v>
      </c>
      <c r="P73" s="119">
        <f t="shared" si="20"/>
        <v>533</v>
      </c>
      <c r="Q73" s="119">
        <f t="shared" si="21"/>
        <v>400</v>
      </c>
    </row>
    <row r="74" spans="1:17" ht="18" customHeight="1" x14ac:dyDescent="0.25">
      <c r="A74" s="387"/>
      <c r="B74" s="207" t="s">
        <v>10</v>
      </c>
      <c r="C74" s="178">
        <f>SUM(C72,C73)</f>
        <v>0.76</v>
      </c>
      <c r="D74" s="178">
        <f t="shared" ref="D74:L74" si="29">SUM(D72,D73)</f>
        <v>0.3548</v>
      </c>
      <c r="E74" s="178">
        <f t="shared" si="29"/>
        <v>0.1812</v>
      </c>
      <c r="F74" s="178">
        <f t="shared" si="29"/>
        <v>0.15590000000000001</v>
      </c>
      <c r="G74" s="178">
        <f t="shared" si="29"/>
        <v>0.41260000000000002</v>
      </c>
      <c r="H74" s="178">
        <f t="shared" si="29"/>
        <v>0.2445</v>
      </c>
      <c r="I74" s="178">
        <f t="shared" si="29"/>
        <v>0.1160196</v>
      </c>
      <c r="J74" s="178">
        <f t="shared" si="29"/>
        <v>2.8992E-2</v>
      </c>
      <c r="K74" s="178">
        <f t="shared" si="29"/>
        <v>8.3094700000000007E-2</v>
      </c>
      <c r="L74" s="178">
        <f t="shared" si="29"/>
        <v>0.16504000000000002</v>
      </c>
      <c r="M74" s="119">
        <f t="shared" si="17"/>
        <v>321.71052631578942</v>
      </c>
      <c r="N74" s="119">
        <f t="shared" si="18"/>
        <v>327</v>
      </c>
      <c r="O74" s="119">
        <f t="shared" si="19"/>
        <v>160</v>
      </c>
      <c r="P74" s="119">
        <f t="shared" si="20"/>
        <v>533</v>
      </c>
      <c r="Q74" s="119">
        <f t="shared" si="21"/>
        <v>400</v>
      </c>
    </row>
    <row r="75" spans="1:17" ht="18" customHeight="1" x14ac:dyDescent="0.25">
      <c r="A75" s="205" t="s">
        <v>51</v>
      </c>
      <c r="B75" s="207" t="s">
        <v>8</v>
      </c>
      <c r="C75" s="178">
        <v>0.99</v>
      </c>
      <c r="D75" s="178">
        <v>0.9</v>
      </c>
      <c r="E75" s="178">
        <v>1.1299999999999999</v>
      </c>
      <c r="F75" s="178">
        <v>0.9</v>
      </c>
      <c r="G75" s="178">
        <v>0</v>
      </c>
      <c r="H75" s="178">
        <v>0.99</v>
      </c>
      <c r="I75" s="178">
        <v>0.9</v>
      </c>
      <c r="J75" s="178">
        <v>1.0192599999999998</v>
      </c>
      <c r="K75" s="178">
        <v>0.86399999999999999</v>
      </c>
      <c r="L75" s="178">
        <v>0</v>
      </c>
      <c r="M75" s="119">
        <f t="shared" si="17"/>
        <v>1000</v>
      </c>
      <c r="N75" s="119">
        <f t="shared" si="18"/>
        <v>1000</v>
      </c>
      <c r="O75" s="119">
        <f t="shared" si="19"/>
        <v>901.99999999999989</v>
      </c>
      <c r="P75" s="119">
        <f t="shared" si="20"/>
        <v>960</v>
      </c>
      <c r="Q75" s="119" t="e">
        <f t="shared" si="21"/>
        <v>#DIV/0!</v>
      </c>
    </row>
    <row r="76" spans="1:17" ht="18" customHeight="1" x14ac:dyDescent="0.25">
      <c r="A76" s="205" t="s">
        <v>86</v>
      </c>
      <c r="B76" s="207" t="s">
        <v>8</v>
      </c>
      <c r="C76" s="178">
        <v>0</v>
      </c>
      <c r="D76" s="178">
        <v>0</v>
      </c>
      <c r="E76" s="178">
        <v>0</v>
      </c>
      <c r="F76" s="178">
        <v>0.15</v>
      </c>
      <c r="G76" s="178">
        <v>0</v>
      </c>
      <c r="H76" s="178">
        <v>0</v>
      </c>
      <c r="I76" s="178">
        <v>0</v>
      </c>
      <c r="J76" s="178">
        <v>0</v>
      </c>
      <c r="K76" s="178">
        <v>0.16500000000000001</v>
      </c>
      <c r="L76" s="178">
        <v>0</v>
      </c>
      <c r="M76" s="119" t="e">
        <f t="shared" si="17"/>
        <v>#DIV/0!</v>
      </c>
      <c r="N76" s="119" t="e">
        <f t="shared" si="18"/>
        <v>#DIV/0!</v>
      </c>
      <c r="O76" s="119" t="e">
        <f t="shared" si="19"/>
        <v>#DIV/0!</v>
      </c>
      <c r="P76" s="119">
        <f t="shared" si="20"/>
        <v>1100</v>
      </c>
      <c r="Q76" s="119" t="e">
        <f t="shared" si="21"/>
        <v>#DIV/0!</v>
      </c>
    </row>
    <row r="77" spans="1:17" ht="18" customHeight="1" x14ac:dyDescent="0.25">
      <c r="A77" s="386" t="s">
        <v>113</v>
      </c>
      <c r="B77" s="207" t="s">
        <v>8</v>
      </c>
      <c r="C77" s="178">
        <f>0.015+0.335</f>
        <v>0.35000000000000003</v>
      </c>
      <c r="D77" s="178">
        <v>0.26900000000000002</v>
      </c>
      <c r="E77" s="178">
        <v>0.161</v>
      </c>
      <c r="F77" s="178">
        <v>0.14799999999999999</v>
      </c>
      <c r="G77" s="178">
        <v>1.0999999999999999E-2</v>
      </c>
      <c r="H77" s="178">
        <f>0.021+0.318</f>
        <v>0.33900000000000002</v>
      </c>
      <c r="I77" s="178">
        <v>0.26800000000000002</v>
      </c>
      <c r="J77" s="178">
        <v>0.16</v>
      </c>
      <c r="K77" s="178">
        <v>0.14799999999999999</v>
      </c>
      <c r="L77" s="178">
        <v>1.0999999999999999E-2</v>
      </c>
      <c r="M77" s="119">
        <f t="shared" si="17"/>
        <v>968.57142857142856</v>
      </c>
      <c r="N77" s="119">
        <f t="shared" si="18"/>
        <v>996.28252788104089</v>
      </c>
      <c r="O77" s="119">
        <f t="shared" si="19"/>
        <v>993.78881987577643</v>
      </c>
      <c r="P77" s="119">
        <f t="shared" si="20"/>
        <v>1000</v>
      </c>
      <c r="Q77" s="119">
        <f t="shared" si="21"/>
        <v>1000</v>
      </c>
    </row>
    <row r="78" spans="1:17" ht="18" customHeight="1" x14ac:dyDescent="0.25">
      <c r="A78" s="386"/>
      <c r="B78" s="207" t="s">
        <v>9</v>
      </c>
      <c r="C78" s="178">
        <v>0.40200000000000002</v>
      </c>
      <c r="D78" s="178">
        <v>0.27200000000000002</v>
      </c>
      <c r="E78" s="178">
        <v>0.33800000000000002</v>
      </c>
      <c r="F78" s="178">
        <v>0.32100000000000001</v>
      </c>
      <c r="G78" s="178">
        <v>0.44600000000000001</v>
      </c>
      <c r="H78" s="178">
        <v>0.106</v>
      </c>
      <c r="I78" s="178">
        <v>0.10608000000000001</v>
      </c>
      <c r="J78" s="178">
        <v>0.15210000000000001</v>
      </c>
      <c r="K78" s="178">
        <v>0.13899300000000001</v>
      </c>
      <c r="L78" s="178">
        <v>0.26581600000000005</v>
      </c>
      <c r="M78" s="119">
        <f t="shared" si="17"/>
        <v>263.68159203980093</v>
      </c>
      <c r="N78" s="119">
        <f t="shared" si="18"/>
        <v>390</v>
      </c>
      <c r="O78" s="119">
        <f t="shared" si="19"/>
        <v>450</v>
      </c>
      <c r="P78" s="119">
        <f t="shared" si="20"/>
        <v>433</v>
      </c>
      <c r="Q78" s="119">
        <f t="shared" si="21"/>
        <v>596.00000000000011</v>
      </c>
    </row>
    <row r="79" spans="1:17" ht="18" customHeight="1" x14ac:dyDescent="0.25">
      <c r="A79" s="386"/>
      <c r="B79" s="207" t="s">
        <v>10</v>
      </c>
      <c r="C79" s="178">
        <f>C77+C78</f>
        <v>0.752</v>
      </c>
      <c r="D79" s="178">
        <f t="shared" ref="D79:L79" si="30">D77+D78</f>
        <v>0.54100000000000004</v>
      </c>
      <c r="E79" s="178">
        <f t="shared" si="30"/>
        <v>0.499</v>
      </c>
      <c r="F79" s="178">
        <f t="shared" si="30"/>
        <v>0.46899999999999997</v>
      </c>
      <c r="G79" s="178">
        <f t="shared" si="30"/>
        <v>0.45700000000000002</v>
      </c>
      <c r="H79" s="178">
        <f t="shared" si="30"/>
        <v>0.44500000000000001</v>
      </c>
      <c r="I79" s="178">
        <f t="shared" si="30"/>
        <v>0.37408000000000002</v>
      </c>
      <c r="J79" s="178">
        <f t="shared" si="30"/>
        <v>0.31210000000000004</v>
      </c>
      <c r="K79" s="178">
        <f t="shared" si="30"/>
        <v>0.286993</v>
      </c>
      <c r="L79" s="178">
        <f t="shared" si="30"/>
        <v>0.27681600000000006</v>
      </c>
      <c r="M79" s="119">
        <f t="shared" si="17"/>
        <v>591.75531914893622</v>
      </c>
      <c r="N79" s="119">
        <f t="shared" si="18"/>
        <v>691.46025878003695</v>
      </c>
      <c r="O79" s="119">
        <f t="shared" si="19"/>
        <v>625.45090180360728</v>
      </c>
      <c r="P79" s="119">
        <f t="shared" si="20"/>
        <v>611.92537313432842</v>
      </c>
      <c r="Q79" s="119">
        <f t="shared" si="21"/>
        <v>605.72428884026272</v>
      </c>
    </row>
    <row r="80" spans="1:17" s="81" customFormat="1" ht="18" customHeight="1" x14ac:dyDescent="0.25">
      <c r="A80" s="386" t="s">
        <v>46</v>
      </c>
      <c r="B80" s="208" t="s">
        <v>8</v>
      </c>
      <c r="C80" s="179">
        <f>C77+C76+C75+C69+C66+C63+C60+C57+C54+C53+C50+C43+C40+C37+C31+C28+C27+C24+C23+C22+C21+C20+C17+C14+C13+C9+C6+C34</f>
        <v>3478.2570000000001</v>
      </c>
      <c r="D80" s="179">
        <f t="shared" ref="D80:L80" si="31">D77+D75+D69+D66+D63+D60+D57+D54+D53+D50+D43+D40+D37+D31+D28+D27+D24+D23+D22+D21+D20+D17+D14+D13+D9+D6+D34</f>
        <v>4350.4869999999992</v>
      </c>
      <c r="E80" s="179">
        <f>E77+E75+E69+E66+E63+E60+E57+E54+E53+E50+E43+E40+E37+E31+E28+E27+E24+E23+E22+E21+E20+E17+E14+E13+E9+E6+E34+E72</f>
        <v>4725.9211999999998</v>
      </c>
      <c r="F80" s="179">
        <f>F77+F75+F69+F66+F63+F60+F57+F54+F53+F50+F43+F40+F37+F31+F28+F27+F24+F23+F22+F21+F20+F17+F14+F13+F9+F6+F34+F76</f>
        <v>3701.683</v>
      </c>
      <c r="G80" s="179">
        <f t="shared" si="31"/>
        <v>3212.9549999999995</v>
      </c>
      <c r="H80" s="179">
        <f t="shared" si="31"/>
        <v>2176.4180000000001</v>
      </c>
      <c r="I80" s="179">
        <f t="shared" si="31"/>
        <v>2751.2416120000012</v>
      </c>
      <c r="J80" s="179">
        <f>J77+J75+J69+J66+J63+J60+J57+J54+J53+J50+J43+J40+J37+J31+J28+J27+J24+J23+J22+J21+J20+J17+J14+J13+J9+J6+J34+J72</f>
        <v>2362.5676139999996</v>
      </c>
      <c r="K80" s="179">
        <f>K77+K75+K69+K66+K63+K60+K57+K54+K53+K50+K43+K40+K37+K31+K28+K27+K24+K23+K22+K21+K20+K17+K14+K13+K9+K6+K34+K76</f>
        <v>1329.638823</v>
      </c>
      <c r="L80" s="179">
        <f t="shared" si="31"/>
        <v>1506.5869109999996</v>
      </c>
      <c r="M80" s="287">
        <f t="shared" si="17"/>
        <v>625.72087111446922</v>
      </c>
      <c r="N80" s="287">
        <f t="shared" si="18"/>
        <v>632.39853653165767</v>
      </c>
      <c r="O80" s="287">
        <f t="shared" si="19"/>
        <v>499.91684457201688</v>
      </c>
      <c r="P80" s="287">
        <f t="shared" si="20"/>
        <v>359.19845729631629</v>
      </c>
      <c r="Q80" s="287">
        <f t="shared" si="21"/>
        <v>468.91005663011146</v>
      </c>
    </row>
    <row r="81" spans="1:17" s="81" customFormat="1" ht="18" customHeight="1" x14ac:dyDescent="0.25">
      <c r="A81" s="386"/>
      <c r="B81" s="208" t="s">
        <v>9</v>
      </c>
      <c r="C81" s="179">
        <f>C78+C73+C70+C67+C64+C61+C58+C55+C41+C38+C32+C29+C25+C18+C15+C10+C7+C12+C35+C51</f>
        <v>999.9</v>
      </c>
      <c r="D81" s="179">
        <f t="shared" ref="D81:L81" si="32">D78+D73+D70+D67+D64+D61+D58+D55+D41+D38+D32+D29+D25+D18+D15+D10+D7+D12+D35+D51</f>
        <v>928.60180000000014</v>
      </c>
      <c r="E81" s="179">
        <f t="shared" si="32"/>
        <v>876.56099999999992</v>
      </c>
      <c r="F81" s="179">
        <f t="shared" si="32"/>
        <v>831.65989999999999</v>
      </c>
      <c r="G81" s="179">
        <f t="shared" si="32"/>
        <v>929.54959999999994</v>
      </c>
      <c r="H81" s="179">
        <f t="shared" si="32"/>
        <v>655.47369800000013</v>
      </c>
      <c r="I81" s="179">
        <f t="shared" si="32"/>
        <v>741.18198260000008</v>
      </c>
      <c r="J81" s="179">
        <f t="shared" si="32"/>
        <v>697.436691</v>
      </c>
      <c r="K81" s="179">
        <f t="shared" si="32"/>
        <v>751.63635070000009</v>
      </c>
      <c r="L81" s="179">
        <f t="shared" si="32"/>
        <v>722.99188249999997</v>
      </c>
      <c r="M81" s="287">
        <f t="shared" si="17"/>
        <v>655.53925192519273</v>
      </c>
      <c r="N81" s="287">
        <f t="shared" si="18"/>
        <v>798.16987496685874</v>
      </c>
      <c r="O81" s="287">
        <f t="shared" si="19"/>
        <v>795.65106250449207</v>
      </c>
      <c r="P81" s="287">
        <f t="shared" si="20"/>
        <v>903.77851655466395</v>
      </c>
      <c r="Q81" s="287">
        <f t="shared" si="21"/>
        <v>777.78730957444338</v>
      </c>
    </row>
    <row r="82" spans="1:17" s="81" customFormat="1" ht="18" customHeight="1" x14ac:dyDescent="0.25">
      <c r="A82" s="386"/>
      <c r="B82" s="208" t="s">
        <v>10</v>
      </c>
      <c r="C82" s="179">
        <f>C81+C80</f>
        <v>4478.1570000000002</v>
      </c>
      <c r="D82" s="179">
        <f t="shared" ref="D82:L82" si="33">D81+D80</f>
        <v>5279.0887999999995</v>
      </c>
      <c r="E82" s="179">
        <f t="shared" si="33"/>
        <v>5602.4821999999995</v>
      </c>
      <c r="F82" s="179">
        <f t="shared" si="33"/>
        <v>4533.3428999999996</v>
      </c>
      <c r="G82" s="179">
        <f t="shared" si="33"/>
        <v>4142.5045999999993</v>
      </c>
      <c r="H82" s="179">
        <f t="shared" si="33"/>
        <v>2831.8916980000004</v>
      </c>
      <c r="I82" s="179">
        <f t="shared" si="33"/>
        <v>3492.4235946000013</v>
      </c>
      <c r="J82" s="179">
        <f t="shared" si="33"/>
        <v>3060.0043049999995</v>
      </c>
      <c r="K82" s="179">
        <f t="shared" si="33"/>
        <v>2081.2751736999999</v>
      </c>
      <c r="L82" s="179">
        <f t="shared" si="33"/>
        <v>2229.5787934999998</v>
      </c>
      <c r="M82" s="287">
        <f t="shared" si="17"/>
        <v>632.37883307798279</v>
      </c>
      <c r="N82" s="287">
        <f t="shared" si="18"/>
        <v>661.55803149210169</v>
      </c>
      <c r="O82" s="287">
        <f t="shared" si="19"/>
        <v>546.18724268325207</v>
      </c>
      <c r="P82" s="287">
        <f t="shared" si="20"/>
        <v>459.10384888378945</v>
      </c>
      <c r="Q82" s="287">
        <f t="shared" si="21"/>
        <v>538.219992199888</v>
      </c>
    </row>
    <row r="83" spans="1:17" ht="18" customHeight="1" x14ac:dyDescent="0.3">
      <c r="A83" s="45"/>
      <c r="B83" s="42"/>
      <c r="C83" s="43"/>
      <c r="D83" s="43"/>
      <c r="H83" s="43"/>
      <c r="I83" s="43"/>
      <c r="M83" s="44"/>
      <c r="N83" s="181" t="s">
        <v>115</v>
      </c>
    </row>
  </sheetData>
  <mergeCells count="31">
    <mergeCell ref="A1:Q1"/>
    <mergeCell ref="A54:A56"/>
    <mergeCell ref="A57:A59"/>
    <mergeCell ref="A77:A79"/>
    <mergeCell ref="A80:A82"/>
    <mergeCell ref="A60:A62"/>
    <mergeCell ref="A63:A65"/>
    <mergeCell ref="A66:A68"/>
    <mergeCell ref="A69:A71"/>
    <mergeCell ref="A72:A74"/>
    <mergeCell ref="A3:A4"/>
    <mergeCell ref="B3:B4"/>
    <mergeCell ref="A6:A8"/>
    <mergeCell ref="A9:A11"/>
    <mergeCell ref="A14:A16"/>
    <mergeCell ref="A50:A52"/>
    <mergeCell ref="C3:G3"/>
    <mergeCell ref="M3:Q3"/>
    <mergeCell ref="H3:L3"/>
    <mergeCell ref="C47:G47"/>
    <mergeCell ref="H47:L47"/>
    <mergeCell ref="M47:Q47"/>
    <mergeCell ref="A17:A19"/>
    <mergeCell ref="A24:A26"/>
    <mergeCell ref="A34:A36"/>
    <mergeCell ref="A47:A48"/>
    <mergeCell ref="B47:B48"/>
    <mergeCell ref="A31:A33"/>
    <mergeCell ref="A37:A39"/>
    <mergeCell ref="A40:A42"/>
    <mergeCell ref="A28:A30"/>
  </mergeCells>
  <printOptions horizontalCentered="1" verticalCentered="1"/>
  <pageMargins left="0" right="0" top="0.511811023622047" bottom="0" header="0.31496062992126" footer="0.31496062992126"/>
  <pageSetup paperSize="9" scale="69" orientation="landscape" r:id="rId1"/>
  <rowBreaks count="1" manualBreakCount="1">
    <brk id="44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view="pageBreakPreview" zoomScale="70" zoomScaleSheetLayoutView="70" workbookViewId="0">
      <pane xSplit="2" ySplit="5" topLeftCell="C6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2.75" x14ac:dyDescent="0.2"/>
  <cols>
    <col min="1" max="1" width="26" style="38" customWidth="1"/>
    <col min="2" max="2" width="10.5703125" style="38" bestFit="1" customWidth="1"/>
    <col min="3" max="5" width="11.5703125" style="38" bestFit="1" customWidth="1"/>
    <col min="6" max="7" width="11.5703125" style="38" customWidth="1"/>
    <col min="8" max="10" width="11.5703125" style="38" bestFit="1" customWidth="1"/>
    <col min="11" max="12" width="11.5703125" style="38" customWidth="1"/>
    <col min="13" max="13" width="11.5703125" style="38" bestFit="1" customWidth="1"/>
    <col min="14" max="14" width="11.7109375" style="38" customWidth="1"/>
    <col min="15" max="15" width="11.5703125" style="38" bestFit="1" customWidth="1"/>
    <col min="16" max="17" width="11.5703125" style="38" customWidth="1"/>
    <col min="18" max="16384" width="9.140625" style="38"/>
  </cols>
  <sheetData>
    <row r="1" spans="1:17" ht="23.25" customHeight="1" x14ac:dyDescent="0.2">
      <c r="A1" s="390" t="s">
        <v>177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17" ht="15" x14ac:dyDescent="0.2">
      <c r="A2" s="49"/>
      <c r="B2" s="49"/>
      <c r="C2" s="51"/>
      <c r="D2" s="51"/>
      <c r="E2" s="51"/>
      <c r="F2" s="51"/>
      <c r="G2" s="51"/>
      <c r="H2" s="50"/>
      <c r="I2" s="50"/>
      <c r="J2" s="50"/>
      <c r="K2" s="50"/>
      <c r="L2" s="50"/>
      <c r="M2" s="52"/>
      <c r="N2" s="52"/>
      <c r="O2" s="52"/>
      <c r="P2" s="52"/>
      <c r="Q2" s="52"/>
    </row>
    <row r="3" spans="1:17" ht="20.25" customHeight="1" x14ac:dyDescent="0.2">
      <c r="A3" s="389" t="s">
        <v>1</v>
      </c>
      <c r="B3" s="391" t="s">
        <v>0</v>
      </c>
      <c r="C3" s="342" t="s">
        <v>174</v>
      </c>
      <c r="D3" s="342"/>
      <c r="E3" s="342"/>
      <c r="F3" s="342"/>
      <c r="G3" s="342"/>
      <c r="H3" s="342" t="s">
        <v>68</v>
      </c>
      <c r="I3" s="342"/>
      <c r="J3" s="342"/>
      <c r="K3" s="342"/>
      <c r="L3" s="342"/>
      <c r="M3" s="342" t="s">
        <v>89</v>
      </c>
      <c r="N3" s="342"/>
      <c r="O3" s="342"/>
      <c r="P3" s="342"/>
      <c r="Q3" s="342"/>
    </row>
    <row r="4" spans="1:17" ht="30" customHeight="1" x14ac:dyDescent="0.2">
      <c r="A4" s="389"/>
      <c r="B4" s="391"/>
      <c r="C4" s="274" t="s">
        <v>112</v>
      </c>
      <c r="D4" s="274" t="s">
        <v>164</v>
      </c>
      <c r="E4" s="274" t="s">
        <v>199</v>
      </c>
      <c r="F4" s="274" t="s">
        <v>200</v>
      </c>
      <c r="G4" s="273" t="s">
        <v>202</v>
      </c>
      <c r="H4" s="274" t="s">
        <v>112</v>
      </c>
      <c r="I4" s="274" t="s">
        <v>164</v>
      </c>
      <c r="J4" s="274" t="s">
        <v>199</v>
      </c>
      <c r="K4" s="274" t="s">
        <v>200</v>
      </c>
      <c r="L4" s="273" t="s">
        <v>202</v>
      </c>
      <c r="M4" s="339" t="s">
        <v>112</v>
      </c>
      <c r="N4" s="339" t="s">
        <v>164</v>
      </c>
      <c r="O4" s="339" t="s">
        <v>199</v>
      </c>
      <c r="P4" s="339" t="s">
        <v>200</v>
      </c>
      <c r="Q4" s="339" t="s">
        <v>202</v>
      </c>
    </row>
    <row r="5" spans="1:17" ht="18" x14ac:dyDescent="0.2">
      <c r="A5" s="241">
        <v>1</v>
      </c>
      <c r="B5" s="117">
        <v>2</v>
      </c>
      <c r="C5" s="117">
        <v>3</v>
      </c>
      <c r="D5" s="117">
        <v>4</v>
      </c>
      <c r="E5" s="117">
        <v>5</v>
      </c>
      <c r="F5" s="117">
        <v>6</v>
      </c>
      <c r="G5" s="117">
        <v>7</v>
      </c>
      <c r="H5" s="117">
        <v>8</v>
      </c>
      <c r="I5" s="117">
        <v>9</v>
      </c>
      <c r="J5" s="117">
        <v>10</v>
      </c>
      <c r="K5" s="117">
        <v>11</v>
      </c>
      <c r="L5" s="117">
        <v>12</v>
      </c>
      <c r="M5" s="117">
        <v>13</v>
      </c>
      <c r="N5" s="117">
        <v>14</v>
      </c>
      <c r="O5" s="117">
        <v>15</v>
      </c>
      <c r="P5" s="117">
        <v>16</v>
      </c>
      <c r="Q5" s="117">
        <v>17</v>
      </c>
    </row>
    <row r="6" spans="1:17" s="53" customFormat="1" ht="18" customHeight="1" x14ac:dyDescent="0.2">
      <c r="A6" s="392" t="s">
        <v>2</v>
      </c>
      <c r="B6" s="128" t="s">
        <v>8</v>
      </c>
      <c r="C6" s="128">
        <v>32</v>
      </c>
      <c r="D6" s="128">
        <v>18</v>
      </c>
      <c r="E6" s="128">
        <v>18</v>
      </c>
      <c r="F6" s="128">
        <v>13</v>
      </c>
      <c r="G6" s="128">
        <v>11</v>
      </c>
      <c r="H6" s="128">
        <v>16</v>
      </c>
      <c r="I6" s="128">
        <v>10.692</v>
      </c>
      <c r="J6" s="128">
        <v>5.2919999999999998</v>
      </c>
      <c r="K6" s="128">
        <v>4.9660000000000002</v>
      </c>
      <c r="L6" s="128">
        <v>4.5430000000000001</v>
      </c>
      <c r="M6" s="129">
        <f>H6/C6*1000</f>
        <v>500</v>
      </c>
      <c r="N6" s="129">
        <f t="shared" ref="N6:Q6" si="0">I6/D6*1000</f>
        <v>594</v>
      </c>
      <c r="O6" s="129">
        <f t="shared" si="0"/>
        <v>294</v>
      </c>
      <c r="P6" s="129">
        <f t="shared" si="0"/>
        <v>382</v>
      </c>
      <c r="Q6" s="129">
        <f t="shared" si="0"/>
        <v>413.00000000000006</v>
      </c>
    </row>
    <row r="7" spans="1:17" s="53" customFormat="1" ht="18" customHeight="1" x14ac:dyDescent="0.2">
      <c r="A7" s="392"/>
      <c r="B7" s="128" t="s">
        <v>9</v>
      </c>
      <c r="C7" s="128">
        <v>102</v>
      </c>
      <c r="D7" s="128">
        <v>121</v>
      </c>
      <c r="E7" s="128">
        <v>103</v>
      </c>
      <c r="F7" s="128">
        <v>94</v>
      </c>
      <c r="G7" s="128">
        <v>94</v>
      </c>
      <c r="H7" s="128">
        <v>50</v>
      </c>
      <c r="I7" s="128">
        <v>81.191000000000003</v>
      </c>
      <c r="J7" s="128">
        <v>79.412999999999997</v>
      </c>
      <c r="K7" s="128">
        <v>81.498000000000005</v>
      </c>
      <c r="L7" s="128">
        <v>76.516000000000005</v>
      </c>
      <c r="M7" s="129">
        <f t="shared" ref="M7:M42" si="1">H7/C7*1000</f>
        <v>490.19607843137254</v>
      </c>
      <c r="N7" s="129">
        <f t="shared" ref="N7:N42" si="2">I7/D7*1000</f>
        <v>671</v>
      </c>
      <c r="O7" s="129">
        <f t="shared" ref="O7:O42" si="3">J7/E7*1000</f>
        <v>771</v>
      </c>
      <c r="P7" s="129">
        <f t="shared" ref="P7:P42" si="4">K7/F7*1000</f>
        <v>867.00000000000011</v>
      </c>
      <c r="Q7" s="129">
        <f t="shared" ref="Q7:Q42" si="5">L7/G7*1000</f>
        <v>814</v>
      </c>
    </row>
    <row r="8" spans="1:17" s="53" customFormat="1" ht="18" customHeight="1" x14ac:dyDescent="0.2">
      <c r="A8" s="392"/>
      <c r="B8" s="238" t="s">
        <v>10</v>
      </c>
      <c r="C8" s="238">
        <f>C6+C7</f>
        <v>134</v>
      </c>
      <c r="D8" s="283">
        <f t="shared" ref="D8:L8" si="6">D6+D7</f>
        <v>139</v>
      </c>
      <c r="E8" s="283">
        <f t="shared" si="6"/>
        <v>121</v>
      </c>
      <c r="F8" s="283">
        <f t="shared" si="6"/>
        <v>107</v>
      </c>
      <c r="G8" s="291">
        <f t="shared" si="6"/>
        <v>105</v>
      </c>
      <c r="H8" s="283">
        <f t="shared" si="6"/>
        <v>66</v>
      </c>
      <c r="I8" s="283">
        <f t="shared" si="6"/>
        <v>91.88300000000001</v>
      </c>
      <c r="J8" s="283">
        <f t="shared" si="6"/>
        <v>84.704999999999998</v>
      </c>
      <c r="K8" s="283">
        <f t="shared" si="6"/>
        <v>86.463999999999999</v>
      </c>
      <c r="L8" s="291">
        <f t="shared" si="6"/>
        <v>81.059000000000012</v>
      </c>
      <c r="M8" s="288">
        <f t="shared" si="1"/>
        <v>492.53731343283579</v>
      </c>
      <c r="N8" s="288">
        <f t="shared" si="2"/>
        <v>661.02877697841734</v>
      </c>
      <c r="O8" s="288">
        <f t="shared" si="3"/>
        <v>700.04132231404958</v>
      </c>
      <c r="P8" s="288">
        <f t="shared" si="4"/>
        <v>808.07476635514024</v>
      </c>
      <c r="Q8" s="288">
        <f t="shared" si="5"/>
        <v>771.99047619047633</v>
      </c>
    </row>
    <row r="9" spans="1:17" s="53" customFormat="1" ht="18" customHeight="1" x14ac:dyDescent="0.2">
      <c r="A9" s="238" t="s">
        <v>94</v>
      </c>
      <c r="B9" s="128" t="s">
        <v>8</v>
      </c>
      <c r="C9" s="128">
        <v>1.2869999999999999</v>
      </c>
      <c r="D9" s="128">
        <v>1.3029999999999999</v>
      </c>
      <c r="E9" s="128">
        <v>1.3129999999999999</v>
      </c>
      <c r="F9" s="128">
        <v>1.3180000000000001</v>
      </c>
      <c r="G9" s="128">
        <v>1.319</v>
      </c>
      <c r="H9" s="128">
        <v>1.2769999999999999</v>
      </c>
      <c r="I9" s="128">
        <v>1.299091</v>
      </c>
      <c r="J9" s="128">
        <v>1.3392599999999999</v>
      </c>
      <c r="K9" s="128">
        <v>1.353586</v>
      </c>
      <c r="L9" s="128">
        <v>1.3638460000000001</v>
      </c>
      <c r="M9" s="129">
        <f t="shared" si="1"/>
        <v>992.22999222999215</v>
      </c>
      <c r="N9" s="129">
        <f t="shared" si="2"/>
        <v>997</v>
      </c>
      <c r="O9" s="129">
        <f t="shared" si="3"/>
        <v>1020</v>
      </c>
      <c r="P9" s="129">
        <f t="shared" si="4"/>
        <v>1027</v>
      </c>
      <c r="Q9" s="129">
        <f t="shared" si="5"/>
        <v>1034</v>
      </c>
    </row>
    <row r="10" spans="1:17" s="53" customFormat="1" ht="18" customHeight="1" x14ac:dyDescent="0.2">
      <c r="A10" s="238" t="s">
        <v>25</v>
      </c>
      <c r="B10" s="128" t="s">
        <v>9</v>
      </c>
      <c r="C10" s="128">
        <v>10.702</v>
      </c>
      <c r="D10" s="128">
        <v>11.41</v>
      </c>
      <c r="E10" s="128">
        <v>11.113</v>
      </c>
      <c r="F10" s="128">
        <v>10.837</v>
      </c>
      <c r="G10" s="128">
        <v>10.904999999999999</v>
      </c>
      <c r="H10" s="128">
        <v>7.423</v>
      </c>
      <c r="I10" s="128">
        <v>8.0440500000000004</v>
      </c>
      <c r="J10" s="128">
        <v>7.7013089999999993</v>
      </c>
      <c r="K10" s="128">
        <v>7.7918029999999998</v>
      </c>
      <c r="L10" s="128">
        <v>8.5822349999999989</v>
      </c>
      <c r="M10" s="129">
        <f t="shared" si="1"/>
        <v>693.60867127639688</v>
      </c>
      <c r="N10" s="129">
        <f t="shared" si="2"/>
        <v>705.00000000000011</v>
      </c>
      <c r="O10" s="129">
        <f t="shared" si="3"/>
        <v>693</v>
      </c>
      <c r="P10" s="129">
        <f t="shared" si="4"/>
        <v>719</v>
      </c>
      <c r="Q10" s="129">
        <f t="shared" si="5"/>
        <v>786.99999999999989</v>
      </c>
    </row>
    <row r="11" spans="1:17" s="53" customFormat="1" ht="18" customHeight="1" x14ac:dyDescent="0.2">
      <c r="A11" s="392" t="s">
        <v>48</v>
      </c>
      <c r="B11" s="128" t="s">
        <v>8</v>
      </c>
      <c r="C11" s="128">
        <f>8.638+2.013</f>
        <v>10.651</v>
      </c>
      <c r="D11" s="128">
        <v>7.4370000000000003</v>
      </c>
      <c r="E11" s="128">
        <v>9.1549999999999994</v>
      </c>
      <c r="F11" s="128">
        <v>7.383</v>
      </c>
      <c r="G11" s="128">
        <v>6.9790000000000001</v>
      </c>
      <c r="H11" s="128">
        <f>7.085+1.244</f>
        <v>8.3290000000000006</v>
      </c>
      <c r="I11" s="128">
        <v>5.5256910000000001</v>
      </c>
      <c r="J11" s="128">
        <v>5.3190549999999996</v>
      </c>
      <c r="K11" s="128">
        <v>4.6365240000000005</v>
      </c>
      <c r="L11" s="128">
        <v>4.7875940000000003</v>
      </c>
      <c r="M11" s="129">
        <f t="shared" si="1"/>
        <v>781.99230119237643</v>
      </c>
      <c r="N11" s="129">
        <f t="shared" si="2"/>
        <v>743</v>
      </c>
      <c r="O11" s="129">
        <f t="shared" si="3"/>
        <v>581</v>
      </c>
      <c r="P11" s="129">
        <f t="shared" si="4"/>
        <v>628.00000000000011</v>
      </c>
      <c r="Q11" s="129">
        <f t="shared" si="5"/>
        <v>686</v>
      </c>
    </row>
    <row r="12" spans="1:17" s="53" customFormat="1" ht="18" customHeight="1" x14ac:dyDescent="0.2">
      <c r="A12" s="392"/>
      <c r="B12" s="128" t="s">
        <v>9</v>
      </c>
      <c r="C12" s="128">
        <v>161.583</v>
      </c>
      <c r="D12" s="128">
        <v>169.94399999999999</v>
      </c>
      <c r="E12" s="128">
        <v>160.47</v>
      </c>
      <c r="F12" s="128">
        <v>158.285</v>
      </c>
      <c r="G12" s="128">
        <v>159.45400000000001</v>
      </c>
      <c r="H12" s="128">
        <v>111.547</v>
      </c>
      <c r="I12" s="128">
        <v>120.150408</v>
      </c>
      <c r="J12" s="128">
        <v>113.13135000000001</v>
      </c>
      <c r="K12" s="128">
        <v>105.41781</v>
      </c>
      <c r="L12" s="128">
        <v>88.337516000000008</v>
      </c>
      <c r="M12" s="129">
        <f t="shared" si="1"/>
        <v>690.33871137434016</v>
      </c>
      <c r="N12" s="129">
        <f t="shared" si="2"/>
        <v>707.00000000000011</v>
      </c>
      <c r="O12" s="129">
        <f t="shared" si="3"/>
        <v>705.00000000000011</v>
      </c>
      <c r="P12" s="129">
        <f t="shared" si="4"/>
        <v>666</v>
      </c>
      <c r="Q12" s="129">
        <f t="shared" si="5"/>
        <v>554</v>
      </c>
    </row>
    <row r="13" spans="1:17" s="53" customFormat="1" ht="18" customHeight="1" x14ac:dyDescent="0.2">
      <c r="A13" s="392"/>
      <c r="B13" s="238" t="s">
        <v>10</v>
      </c>
      <c r="C13" s="262">
        <f>C12+C11</f>
        <v>172.23400000000001</v>
      </c>
      <c r="D13" s="283">
        <f t="shared" ref="D13:L13" si="7">D12+D11</f>
        <v>177.381</v>
      </c>
      <c r="E13" s="283">
        <f t="shared" si="7"/>
        <v>169.625</v>
      </c>
      <c r="F13" s="283">
        <f t="shared" si="7"/>
        <v>165.66800000000001</v>
      </c>
      <c r="G13" s="291">
        <f t="shared" si="7"/>
        <v>166.43300000000002</v>
      </c>
      <c r="H13" s="283">
        <f t="shared" si="7"/>
        <v>119.876</v>
      </c>
      <c r="I13" s="283">
        <f t="shared" si="7"/>
        <v>125.67609899999999</v>
      </c>
      <c r="J13" s="283">
        <f t="shared" si="7"/>
        <v>118.45040500000002</v>
      </c>
      <c r="K13" s="283">
        <f t="shared" si="7"/>
        <v>110.054334</v>
      </c>
      <c r="L13" s="291">
        <f t="shared" si="7"/>
        <v>93.125110000000006</v>
      </c>
      <c r="M13" s="288">
        <f t="shared" si="1"/>
        <v>696.006595677973</v>
      </c>
      <c r="N13" s="288">
        <f t="shared" si="2"/>
        <v>708.50936120554059</v>
      </c>
      <c r="O13" s="288">
        <f t="shared" si="3"/>
        <v>698.30747236551224</v>
      </c>
      <c r="P13" s="288">
        <f t="shared" si="4"/>
        <v>664.3065287200908</v>
      </c>
      <c r="Q13" s="288">
        <f t="shared" si="5"/>
        <v>559.53512824980623</v>
      </c>
    </row>
    <row r="14" spans="1:17" s="53" customFormat="1" ht="18" customHeight="1" x14ac:dyDescent="0.2">
      <c r="A14" s="392" t="s">
        <v>47</v>
      </c>
      <c r="B14" s="128" t="s">
        <v>8</v>
      </c>
      <c r="C14" s="128">
        <v>9</v>
      </c>
      <c r="D14" s="128">
        <v>10.34</v>
      </c>
      <c r="E14" s="128">
        <v>8.5500000000000007</v>
      </c>
      <c r="F14" s="128">
        <v>6.18</v>
      </c>
      <c r="G14" s="128">
        <v>3.94</v>
      </c>
      <c r="H14" s="128">
        <v>4</v>
      </c>
      <c r="I14" s="128">
        <v>4.8701400000000001</v>
      </c>
      <c r="J14" s="128">
        <v>4.1638500000000001</v>
      </c>
      <c r="K14" s="128">
        <v>2.5708800000000003</v>
      </c>
      <c r="L14" s="128">
        <v>1.72966</v>
      </c>
      <c r="M14" s="129">
        <f t="shared" si="1"/>
        <v>444.4444444444444</v>
      </c>
      <c r="N14" s="129">
        <f t="shared" si="2"/>
        <v>471.00000000000006</v>
      </c>
      <c r="O14" s="129">
        <f t="shared" si="3"/>
        <v>487</v>
      </c>
      <c r="P14" s="129">
        <f t="shared" si="4"/>
        <v>416.00000000000006</v>
      </c>
      <c r="Q14" s="129">
        <f t="shared" si="5"/>
        <v>439</v>
      </c>
    </row>
    <row r="15" spans="1:17" s="53" customFormat="1" ht="18" customHeight="1" x14ac:dyDescent="0.2">
      <c r="A15" s="392"/>
      <c r="B15" s="128" t="s">
        <v>9</v>
      </c>
      <c r="C15" s="128">
        <v>10.5</v>
      </c>
      <c r="D15" s="128">
        <v>7.21</v>
      </c>
      <c r="E15" s="128">
        <v>4.99</v>
      </c>
      <c r="F15" s="128">
        <v>4.46</v>
      </c>
      <c r="G15" s="128">
        <v>4.12</v>
      </c>
      <c r="H15" s="128">
        <v>3.3</v>
      </c>
      <c r="I15" s="128">
        <v>1.4780499999999999</v>
      </c>
      <c r="J15" s="128">
        <v>1.6816300000000002</v>
      </c>
      <c r="K15" s="128">
        <v>1.56992</v>
      </c>
      <c r="L15" s="128">
        <v>1.47496</v>
      </c>
      <c r="M15" s="129">
        <f t="shared" si="1"/>
        <v>314.28571428571428</v>
      </c>
      <c r="N15" s="129">
        <f t="shared" si="2"/>
        <v>205</v>
      </c>
      <c r="O15" s="129">
        <f t="shared" si="3"/>
        <v>337</v>
      </c>
      <c r="P15" s="129">
        <f t="shared" si="4"/>
        <v>352</v>
      </c>
      <c r="Q15" s="129">
        <f t="shared" si="5"/>
        <v>358</v>
      </c>
    </row>
    <row r="16" spans="1:17" s="53" customFormat="1" ht="18" customHeight="1" x14ac:dyDescent="0.2">
      <c r="A16" s="392"/>
      <c r="B16" s="128" t="s">
        <v>10</v>
      </c>
      <c r="C16" s="128">
        <f>C14+C15</f>
        <v>19.5</v>
      </c>
      <c r="D16" s="128">
        <f t="shared" ref="D16:L16" si="8">D14+D15</f>
        <v>17.55</v>
      </c>
      <c r="E16" s="128">
        <f t="shared" si="8"/>
        <v>13.540000000000001</v>
      </c>
      <c r="F16" s="128">
        <f t="shared" si="8"/>
        <v>10.64</v>
      </c>
      <c r="G16" s="128">
        <f t="shared" si="8"/>
        <v>8.06</v>
      </c>
      <c r="H16" s="128">
        <f t="shared" si="8"/>
        <v>7.3</v>
      </c>
      <c r="I16" s="128">
        <f t="shared" si="8"/>
        <v>6.3481899999999998</v>
      </c>
      <c r="J16" s="128">
        <f t="shared" si="8"/>
        <v>5.8454800000000002</v>
      </c>
      <c r="K16" s="128">
        <f t="shared" si="8"/>
        <v>4.1408000000000005</v>
      </c>
      <c r="L16" s="128">
        <f t="shared" si="8"/>
        <v>3.2046200000000002</v>
      </c>
      <c r="M16" s="129">
        <f t="shared" si="1"/>
        <v>374.35897435897436</v>
      </c>
      <c r="N16" s="129">
        <f t="shared" si="2"/>
        <v>361.7202279202279</v>
      </c>
      <c r="O16" s="129">
        <f t="shared" si="3"/>
        <v>431.71935007385525</v>
      </c>
      <c r="P16" s="129">
        <f t="shared" si="4"/>
        <v>389.17293233082711</v>
      </c>
      <c r="Q16" s="129">
        <f t="shared" si="5"/>
        <v>397.59553349875932</v>
      </c>
    </row>
    <row r="17" spans="1:17" s="53" customFormat="1" ht="18" customHeight="1" x14ac:dyDescent="0.2">
      <c r="A17" s="392" t="s">
        <v>4</v>
      </c>
      <c r="B17" s="128" t="s">
        <v>8</v>
      </c>
      <c r="C17" s="128">
        <v>152</v>
      </c>
      <c r="D17" s="128">
        <v>125</v>
      </c>
      <c r="E17" s="128">
        <v>63.06</v>
      </c>
      <c r="F17" s="128">
        <v>91.51</v>
      </c>
      <c r="G17" s="128">
        <v>91.63</v>
      </c>
      <c r="H17" s="128">
        <v>69</v>
      </c>
      <c r="I17" s="128">
        <v>71</v>
      </c>
      <c r="J17" s="128">
        <v>21.06204</v>
      </c>
      <c r="K17" s="128">
        <v>58.749420000000008</v>
      </c>
      <c r="L17" s="128">
        <v>37.751559999999998</v>
      </c>
      <c r="M17" s="129">
        <f t="shared" si="1"/>
        <v>453.94736842105266</v>
      </c>
      <c r="N17" s="129">
        <f t="shared" si="2"/>
        <v>568</v>
      </c>
      <c r="O17" s="129">
        <f t="shared" si="3"/>
        <v>333.99999999999994</v>
      </c>
      <c r="P17" s="129">
        <f t="shared" si="4"/>
        <v>642</v>
      </c>
      <c r="Q17" s="129">
        <f t="shared" si="5"/>
        <v>412</v>
      </c>
    </row>
    <row r="18" spans="1:17" s="53" customFormat="1" ht="18" customHeight="1" x14ac:dyDescent="0.2">
      <c r="A18" s="392"/>
      <c r="B18" s="128" t="s">
        <v>9</v>
      </c>
      <c r="C18" s="128">
        <v>27</v>
      </c>
      <c r="D18" s="128">
        <v>27</v>
      </c>
      <c r="E18" s="128">
        <v>23.78</v>
      </c>
      <c r="F18" s="128">
        <v>43.41</v>
      </c>
      <c r="G18" s="128">
        <v>63.06</v>
      </c>
      <c r="H18" s="128">
        <v>15</v>
      </c>
      <c r="I18" s="128">
        <v>13.715999999999999</v>
      </c>
      <c r="J18" s="128">
        <v>28.08418</v>
      </c>
      <c r="K18" s="128">
        <v>45.36345</v>
      </c>
      <c r="L18" s="128">
        <v>72.392880000000005</v>
      </c>
      <c r="M18" s="129">
        <f t="shared" si="1"/>
        <v>555.55555555555554</v>
      </c>
      <c r="N18" s="129">
        <f t="shared" si="2"/>
        <v>508</v>
      </c>
      <c r="O18" s="129">
        <f t="shared" si="3"/>
        <v>1181</v>
      </c>
      <c r="P18" s="129">
        <f t="shared" si="4"/>
        <v>1045.0000000000002</v>
      </c>
      <c r="Q18" s="129">
        <f t="shared" si="5"/>
        <v>1148.0000000000002</v>
      </c>
    </row>
    <row r="19" spans="1:17" s="53" customFormat="1" ht="18" customHeight="1" x14ac:dyDescent="0.2">
      <c r="A19" s="392"/>
      <c r="B19" s="238" t="s">
        <v>10</v>
      </c>
      <c r="C19" s="238">
        <f>C17+C18</f>
        <v>179</v>
      </c>
      <c r="D19" s="283">
        <f t="shared" ref="D19:L19" si="9">D17+D18</f>
        <v>152</v>
      </c>
      <c r="E19" s="283">
        <f t="shared" si="9"/>
        <v>86.84</v>
      </c>
      <c r="F19" s="283">
        <f t="shared" si="9"/>
        <v>134.92000000000002</v>
      </c>
      <c r="G19" s="291">
        <f t="shared" si="9"/>
        <v>154.69</v>
      </c>
      <c r="H19" s="283">
        <f t="shared" si="9"/>
        <v>84</v>
      </c>
      <c r="I19" s="283">
        <f t="shared" si="9"/>
        <v>84.715999999999994</v>
      </c>
      <c r="J19" s="283">
        <f t="shared" si="9"/>
        <v>49.14622</v>
      </c>
      <c r="K19" s="283">
        <f t="shared" si="9"/>
        <v>104.11287000000002</v>
      </c>
      <c r="L19" s="291">
        <f t="shared" si="9"/>
        <v>110.14444</v>
      </c>
      <c r="M19" s="288">
        <f t="shared" si="1"/>
        <v>469.27374301675979</v>
      </c>
      <c r="N19" s="288">
        <f t="shared" si="2"/>
        <v>557.3421052631578</v>
      </c>
      <c r="O19" s="288">
        <f t="shared" si="3"/>
        <v>565.9398894518655</v>
      </c>
      <c r="P19" s="288">
        <f t="shared" si="4"/>
        <v>771.66372665283131</v>
      </c>
      <c r="Q19" s="288">
        <f t="shared" si="5"/>
        <v>712.03335703665391</v>
      </c>
    </row>
    <row r="20" spans="1:17" s="53" customFormat="1" ht="18" customHeight="1" x14ac:dyDescent="0.2">
      <c r="A20" s="392" t="s">
        <v>18</v>
      </c>
      <c r="B20" s="128" t="s">
        <v>8</v>
      </c>
      <c r="C20" s="128">
        <v>27.2</v>
      </c>
      <c r="D20" s="128">
        <v>13.6</v>
      </c>
      <c r="E20" s="128">
        <v>19.100000000000001</v>
      </c>
      <c r="F20" s="128">
        <v>20.170000000000002</v>
      </c>
      <c r="G20" s="128">
        <v>45.96</v>
      </c>
      <c r="H20" s="128">
        <v>13.7</v>
      </c>
      <c r="I20" s="128">
        <v>9.3976000000000006</v>
      </c>
      <c r="J20" s="128">
        <v>12.491400000000002</v>
      </c>
      <c r="K20" s="128">
        <v>12.001150000000001</v>
      </c>
      <c r="L20" s="128">
        <v>31.023</v>
      </c>
      <c r="M20" s="129">
        <f t="shared" si="1"/>
        <v>503.6764705882353</v>
      </c>
      <c r="N20" s="129">
        <f t="shared" si="2"/>
        <v>691.00000000000011</v>
      </c>
      <c r="O20" s="129">
        <f t="shared" si="3"/>
        <v>654</v>
      </c>
      <c r="P20" s="129">
        <f t="shared" si="4"/>
        <v>595</v>
      </c>
      <c r="Q20" s="129">
        <f t="shared" si="5"/>
        <v>674.99999999999989</v>
      </c>
    </row>
    <row r="21" spans="1:17" s="53" customFormat="1" ht="18" customHeight="1" x14ac:dyDescent="0.25">
      <c r="A21" s="392"/>
      <c r="B21" s="128" t="s">
        <v>9</v>
      </c>
      <c r="C21" s="128">
        <v>0</v>
      </c>
      <c r="D21" s="128">
        <v>16</v>
      </c>
      <c r="E21" s="128">
        <v>0</v>
      </c>
      <c r="F21" s="128">
        <v>0</v>
      </c>
      <c r="G21" s="128"/>
      <c r="H21" s="118">
        <v>0</v>
      </c>
      <c r="I21" s="128">
        <v>14.992000000000001</v>
      </c>
      <c r="J21" s="128">
        <v>0</v>
      </c>
      <c r="K21" s="128">
        <v>0</v>
      </c>
      <c r="L21" s="128">
        <v>0</v>
      </c>
      <c r="M21" s="129" t="e">
        <f t="shared" si="1"/>
        <v>#DIV/0!</v>
      </c>
      <c r="N21" s="129">
        <f t="shared" si="2"/>
        <v>937</v>
      </c>
      <c r="O21" s="129" t="e">
        <f t="shared" si="3"/>
        <v>#DIV/0!</v>
      </c>
      <c r="P21" s="129" t="e">
        <f t="shared" si="4"/>
        <v>#DIV/0!</v>
      </c>
      <c r="Q21" s="129" t="e">
        <f t="shared" si="5"/>
        <v>#DIV/0!</v>
      </c>
    </row>
    <row r="22" spans="1:17" s="53" customFormat="1" ht="18" customHeight="1" x14ac:dyDescent="0.2">
      <c r="A22" s="392"/>
      <c r="B22" s="238" t="s">
        <v>10</v>
      </c>
      <c r="C22" s="238">
        <f>C20+C21</f>
        <v>27.2</v>
      </c>
      <c r="D22" s="283">
        <f t="shared" ref="D22:L22" si="10">D20+D21</f>
        <v>29.6</v>
      </c>
      <c r="E22" s="283">
        <f t="shared" si="10"/>
        <v>19.100000000000001</v>
      </c>
      <c r="F22" s="283">
        <f t="shared" si="10"/>
        <v>20.170000000000002</v>
      </c>
      <c r="G22" s="291">
        <f t="shared" si="10"/>
        <v>45.96</v>
      </c>
      <c r="H22" s="283">
        <f t="shared" si="10"/>
        <v>13.7</v>
      </c>
      <c r="I22" s="283">
        <f t="shared" si="10"/>
        <v>24.389600000000002</v>
      </c>
      <c r="J22" s="283">
        <f t="shared" si="10"/>
        <v>12.491400000000002</v>
      </c>
      <c r="K22" s="283">
        <f t="shared" si="10"/>
        <v>12.001150000000001</v>
      </c>
      <c r="L22" s="291">
        <f t="shared" si="10"/>
        <v>31.023</v>
      </c>
      <c r="M22" s="288">
        <f t="shared" si="1"/>
        <v>503.6764705882353</v>
      </c>
      <c r="N22" s="288">
        <f t="shared" si="2"/>
        <v>823.97297297297303</v>
      </c>
      <c r="O22" s="288">
        <f t="shared" si="3"/>
        <v>654</v>
      </c>
      <c r="P22" s="288">
        <f t="shared" si="4"/>
        <v>595</v>
      </c>
      <c r="Q22" s="288">
        <f t="shared" si="5"/>
        <v>674.99999999999989</v>
      </c>
    </row>
    <row r="23" spans="1:17" s="53" customFormat="1" ht="18" customHeight="1" x14ac:dyDescent="0.2">
      <c r="A23" s="238" t="s">
        <v>44</v>
      </c>
      <c r="B23" s="128" t="s">
        <v>8</v>
      </c>
      <c r="C23" s="128">
        <v>0.28599999999999998</v>
      </c>
      <c r="D23" s="128">
        <v>0.13</v>
      </c>
      <c r="E23" s="128">
        <v>0.108</v>
      </c>
      <c r="F23" s="128">
        <v>0.11700000000000001</v>
      </c>
      <c r="G23" s="128">
        <v>0.19600000000000001</v>
      </c>
      <c r="H23" s="128">
        <v>0.14000000000000001</v>
      </c>
      <c r="I23" s="128">
        <v>9.1999999999999998E-2</v>
      </c>
      <c r="J23" s="128">
        <v>7.6679999999999998E-2</v>
      </c>
      <c r="K23" s="128">
        <v>8.3070000000000005E-2</v>
      </c>
      <c r="L23" s="128">
        <v>0.12367600000000001</v>
      </c>
      <c r="M23" s="129">
        <f t="shared" si="1"/>
        <v>489.51048951048961</v>
      </c>
      <c r="N23" s="129">
        <f t="shared" si="2"/>
        <v>707.69230769230762</v>
      </c>
      <c r="O23" s="129">
        <f t="shared" si="3"/>
        <v>710</v>
      </c>
      <c r="P23" s="129">
        <f t="shared" si="4"/>
        <v>710</v>
      </c>
      <c r="Q23" s="129">
        <f t="shared" si="5"/>
        <v>631</v>
      </c>
    </row>
    <row r="24" spans="1:17" s="53" customFormat="1" ht="18" customHeight="1" x14ac:dyDescent="0.2">
      <c r="A24" s="238" t="s">
        <v>19</v>
      </c>
      <c r="B24" s="128" t="s">
        <v>8</v>
      </c>
      <c r="C24" s="128">
        <v>0.80600000000000005</v>
      </c>
      <c r="D24" s="128">
        <v>0.61399999999999999</v>
      </c>
      <c r="E24" s="128">
        <v>0.38100000000000001</v>
      </c>
      <c r="F24" s="128">
        <v>0.308</v>
      </c>
      <c r="G24" s="128">
        <v>0.36</v>
      </c>
      <c r="H24" s="128">
        <v>0.45800000000000002</v>
      </c>
      <c r="I24" s="128">
        <v>0.23946000000000001</v>
      </c>
      <c r="J24" s="128">
        <v>0.16497300000000001</v>
      </c>
      <c r="K24" s="128">
        <v>0.13182400000000002</v>
      </c>
      <c r="L24" s="128">
        <v>0.15875999999999998</v>
      </c>
      <c r="M24" s="129">
        <f t="shared" si="1"/>
        <v>568.23821339950371</v>
      </c>
      <c r="N24" s="129">
        <f t="shared" si="2"/>
        <v>390</v>
      </c>
      <c r="O24" s="129">
        <f t="shared" si="3"/>
        <v>433</v>
      </c>
      <c r="P24" s="129">
        <f t="shared" si="4"/>
        <v>428.00000000000011</v>
      </c>
      <c r="Q24" s="129">
        <f t="shared" si="5"/>
        <v>440.99999999999994</v>
      </c>
    </row>
    <row r="25" spans="1:17" s="53" customFormat="1" ht="18" customHeight="1" x14ac:dyDescent="0.2">
      <c r="A25" s="238" t="s">
        <v>41</v>
      </c>
      <c r="B25" s="128" t="s">
        <v>8</v>
      </c>
      <c r="C25" s="128">
        <v>30.423999999999999</v>
      </c>
      <c r="D25" s="128">
        <v>29.004000000000001</v>
      </c>
      <c r="E25" s="128">
        <v>30.364999999999998</v>
      </c>
      <c r="F25" s="128">
        <v>22.936</v>
      </c>
      <c r="G25" s="128">
        <v>25.701000000000001</v>
      </c>
      <c r="H25" s="128">
        <v>24.239000000000001</v>
      </c>
      <c r="I25" s="128">
        <v>23.580252000000002</v>
      </c>
      <c r="J25" s="128">
        <v>22.652289999999997</v>
      </c>
      <c r="K25" s="128">
        <v>18.555223999999999</v>
      </c>
      <c r="L25" s="128">
        <v>21.33183</v>
      </c>
      <c r="M25" s="129">
        <f t="shared" si="1"/>
        <v>796.70654746252967</v>
      </c>
      <c r="N25" s="129">
        <f t="shared" si="2"/>
        <v>813</v>
      </c>
      <c r="O25" s="129">
        <f t="shared" si="3"/>
        <v>746</v>
      </c>
      <c r="P25" s="129">
        <f t="shared" si="4"/>
        <v>808.99999999999989</v>
      </c>
      <c r="Q25" s="129">
        <f t="shared" si="5"/>
        <v>830</v>
      </c>
    </row>
    <row r="26" spans="1:17" s="53" customFormat="1" ht="18" customHeight="1" x14ac:dyDescent="0.2">
      <c r="A26" s="392" t="s">
        <v>5</v>
      </c>
      <c r="B26" s="128" t="s">
        <v>8</v>
      </c>
      <c r="C26" s="128">
        <v>415</v>
      </c>
      <c r="D26" s="128">
        <v>392</v>
      </c>
      <c r="E26" s="128">
        <v>415.15</v>
      </c>
      <c r="F26" s="128">
        <v>372</v>
      </c>
      <c r="G26" s="128">
        <v>427</v>
      </c>
      <c r="H26" s="128">
        <v>115</v>
      </c>
      <c r="I26" s="128">
        <v>134.06399999999999</v>
      </c>
      <c r="J26" s="128">
        <v>141.56614999999999</v>
      </c>
      <c r="K26" s="128">
        <v>138.012</v>
      </c>
      <c r="L26" s="128">
        <v>172.935</v>
      </c>
      <c r="M26" s="129">
        <f t="shared" si="1"/>
        <v>277.10843373493975</v>
      </c>
      <c r="N26" s="129">
        <f t="shared" si="2"/>
        <v>341.99999999999994</v>
      </c>
      <c r="O26" s="129">
        <f t="shared" si="3"/>
        <v>341</v>
      </c>
      <c r="P26" s="129">
        <f t="shared" si="4"/>
        <v>371</v>
      </c>
      <c r="Q26" s="129">
        <f t="shared" si="5"/>
        <v>405</v>
      </c>
    </row>
    <row r="27" spans="1:17" s="53" customFormat="1" ht="18" customHeight="1" x14ac:dyDescent="0.2">
      <c r="A27" s="392"/>
      <c r="B27" s="128" t="s">
        <v>9</v>
      </c>
      <c r="C27" s="128">
        <f>4+0.7</f>
        <v>4.7</v>
      </c>
      <c r="D27" s="128">
        <v>4.7</v>
      </c>
      <c r="E27" s="128">
        <v>5.89</v>
      </c>
      <c r="F27" s="128">
        <v>10.3</v>
      </c>
      <c r="G27" s="128">
        <v>26</v>
      </c>
      <c r="H27" s="128">
        <v>0.5</v>
      </c>
      <c r="I27" s="128">
        <v>1.2</v>
      </c>
      <c r="J27" s="128">
        <v>1.0069999999999999</v>
      </c>
      <c r="K27" s="128">
        <v>3.0499999999999994</v>
      </c>
      <c r="L27" s="128">
        <v>9</v>
      </c>
      <c r="M27" s="129">
        <f t="shared" si="1"/>
        <v>106.38297872340425</v>
      </c>
      <c r="N27" s="129">
        <f t="shared" si="2"/>
        <v>255.31914893617019</v>
      </c>
      <c r="O27" s="129">
        <f t="shared" si="3"/>
        <v>170.96774193548387</v>
      </c>
      <c r="P27" s="129">
        <f t="shared" si="4"/>
        <v>296.11650485436888</v>
      </c>
      <c r="Q27" s="129">
        <f t="shared" si="5"/>
        <v>346.15384615384613</v>
      </c>
    </row>
    <row r="28" spans="1:17" s="53" customFormat="1" ht="18" customHeight="1" x14ac:dyDescent="0.2">
      <c r="A28" s="392"/>
      <c r="B28" s="238" t="s">
        <v>10</v>
      </c>
      <c r="C28" s="238">
        <f>C26+C27</f>
        <v>419.7</v>
      </c>
      <c r="D28" s="283">
        <f t="shared" ref="D28:L28" si="11">D26+D27</f>
        <v>396.7</v>
      </c>
      <c r="E28" s="283">
        <f t="shared" si="11"/>
        <v>421.03999999999996</v>
      </c>
      <c r="F28" s="283">
        <f t="shared" si="11"/>
        <v>382.3</v>
      </c>
      <c r="G28" s="291">
        <f t="shared" si="11"/>
        <v>453</v>
      </c>
      <c r="H28" s="283">
        <f t="shared" si="11"/>
        <v>115.5</v>
      </c>
      <c r="I28" s="283">
        <f t="shared" si="11"/>
        <v>135.26399999999998</v>
      </c>
      <c r="J28" s="283">
        <f t="shared" si="11"/>
        <v>142.57315</v>
      </c>
      <c r="K28" s="283">
        <f t="shared" si="11"/>
        <v>141.06200000000001</v>
      </c>
      <c r="L28" s="291">
        <f t="shared" si="11"/>
        <v>181.935</v>
      </c>
      <c r="M28" s="288">
        <f t="shared" si="1"/>
        <v>275.19656897784137</v>
      </c>
      <c r="N28" s="288">
        <f t="shared" si="2"/>
        <v>340.9730274766826</v>
      </c>
      <c r="O28" s="288">
        <f t="shared" si="3"/>
        <v>338.62138989169677</v>
      </c>
      <c r="P28" s="288">
        <f t="shared" si="4"/>
        <v>368.98247449646874</v>
      </c>
      <c r="Q28" s="288">
        <f t="shared" si="5"/>
        <v>401.62251655629137</v>
      </c>
    </row>
    <row r="29" spans="1:17" s="53" customFormat="1" ht="18" hidden="1" customHeight="1" x14ac:dyDescent="0.2">
      <c r="A29" s="238" t="s">
        <v>17</v>
      </c>
      <c r="B29" s="128" t="s">
        <v>8</v>
      </c>
      <c r="C29" s="128">
        <v>0</v>
      </c>
      <c r="D29" s="128"/>
      <c r="E29" s="128"/>
      <c r="F29" s="128"/>
      <c r="G29" s="128"/>
      <c r="H29" s="128">
        <v>0</v>
      </c>
      <c r="I29" s="128">
        <v>0</v>
      </c>
      <c r="J29" s="128"/>
      <c r="K29" s="128"/>
      <c r="L29" s="128"/>
      <c r="M29" s="129" t="e">
        <f t="shared" si="1"/>
        <v>#DIV/0!</v>
      </c>
      <c r="N29" s="129" t="e">
        <f t="shared" si="2"/>
        <v>#DIV/0!</v>
      </c>
      <c r="O29" s="129" t="e">
        <f t="shared" si="3"/>
        <v>#DIV/0!</v>
      </c>
      <c r="P29" s="129" t="e">
        <f t="shared" si="4"/>
        <v>#DIV/0!</v>
      </c>
      <c r="Q29" s="129" t="e">
        <f t="shared" si="5"/>
        <v>#DIV/0!</v>
      </c>
    </row>
    <row r="30" spans="1:17" s="53" customFormat="1" ht="18" customHeight="1" x14ac:dyDescent="0.2">
      <c r="A30" s="392" t="s">
        <v>6</v>
      </c>
      <c r="B30" s="128" t="s">
        <v>8</v>
      </c>
      <c r="C30" s="128">
        <v>225</v>
      </c>
      <c r="D30" s="128">
        <v>228</v>
      </c>
      <c r="E30" s="128">
        <v>95</v>
      </c>
      <c r="F30" s="128">
        <v>46</v>
      </c>
      <c r="G30" s="128">
        <v>67</v>
      </c>
      <c r="H30" s="128">
        <v>132</v>
      </c>
      <c r="I30" s="128">
        <v>137</v>
      </c>
      <c r="J30" s="128">
        <v>38.19</v>
      </c>
      <c r="K30" s="128">
        <v>14.352</v>
      </c>
      <c r="L30" s="128">
        <v>22.914000000000001</v>
      </c>
      <c r="M30" s="129">
        <f t="shared" si="1"/>
        <v>586.66666666666663</v>
      </c>
      <c r="N30" s="129">
        <f t="shared" si="2"/>
        <v>600.87719298245611</v>
      </c>
      <c r="O30" s="129">
        <f t="shared" si="3"/>
        <v>401.99999999999994</v>
      </c>
      <c r="P30" s="129">
        <f t="shared" si="4"/>
        <v>312</v>
      </c>
      <c r="Q30" s="129">
        <f t="shared" si="5"/>
        <v>342</v>
      </c>
    </row>
    <row r="31" spans="1:17" s="53" customFormat="1" ht="18" customHeight="1" x14ac:dyDescent="0.2">
      <c r="A31" s="392"/>
      <c r="B31" s="128" t="s">
        <v>9</v>
      </c>
      <c r="C31" s="128">
        <v>262</v>
      </c>
      <c r="D31" s="128">
        <v>206</v>
      </c>
      <c r="E31" s="128">
        <v>196</v>
      </c>
      <c r="F31" s="128">
        <v>288.2</v>
      </c>
      <c r="G31" s="128">
        <v>477</v>
      </c>
      <c r="H31" s="128">
        <v>163.80240000000001</v>
      </c>
      <c r="I31" s="128">
        <v>128.75</v>
      </c>
      <c r="J31" s="128">
        <v>242.06</v>
      </c>
      <c r="K31" s="128">
        <v>233.44200000000001</v>
      </c>
      <c r="L31" s="128">
        <v>618.66899999999998</v>
      </c>
      <c r="M31" s="129">
        <f t="shared" si="1"/>
        <v>625.19999999999993</v>
      </c>
      <c r="N31" s="129">
        <f t="shared" si="2"/>
        <v>625</v>
      </c>
      <c r="O31" s="129">
        <f t="shared" si="3"/>
        <v>1235</v>
      </c>
      <c r="P31" s="129">
        <f t="shared" si="4"/>
        <v>810</v>
      </c>
      <c r="Q31" s="129">
        <f t="shared" si="5"/>
        <v>1297</v>
      </c>
    </row>
    <row r="32" spans="1:17" s="53" customFormat="1" ht="18" customHeight="1" x14ac:dyDescent="0.2">
      <c r="A32" s="392"/>
      <c r="B32" s="238" t="s">
        <v>10</v>
      </c>
      <c r="C32" s="238">
        <f>C30+C31</f>
        <v>487</v>
      </c>
      <c r="D32" s="283">
        <f t="shared" ref="D32:L32" si="12">D30+D31</f>
        <v>434</v>
      </c>
      <c r="E32" s="283">
        <f t="shared" si="12"/>
        <v>291</v>
      </c>
      <c r="F32" s="283">
        <f t="shared" si="12"/>
        <v>334.2</v>
      </c>
      <c r="G32" s="291">
        <f t="shared" si="12"/>
        <v>544</v>
      </c>
      <c r="H32" s="283">
        <f t="shared" si="12"/>
        <v>295.80240000000003</v>
      </c>
      <c r="I32" s="283">
        <f t="shared" si="12"/>
        <v>265.75</v>
      </c>
      <c r="J32" s="283">
        <f t="shared" si="12"/>
        <v>280.25</v>
      </c>
      <c r="K32" s="283">
        <f t="shared" si="12"/>
        <v>247.79400000000001</v>
      </c>
      <c r="L32" s="291">
        <f t="shared" si="12"/>
        <v>641.58299999999997</v>
      </c>
      <c r="M32" s="288">
        <f t="shared" si="1"/>
        <v>607.39712525667358</v>
      </c>
      <c r="N32" s="288">
        <f t="shared" si="2"/>
        <v>612.32718894009224</v>
      </c>
      <c r="O32" s="288">
        <f t="shared" si="3"/>
        <v>963.05841924398624</v>
      </c>
      <c r="P32" s="288">
        <f t="shared" si="4"/>
        <v>741.45421903052068</v>
      </c>
      <c r="Q32" s="288">
        <f t="shared" si="5"/>
        <v>1179.3805147058822</v>
      </c>
    </row>
    <row r="33" spans="1:17" s="53" customFormat="1" ht="18" customHeight="1" x14ac:dyDescent="0.2">
      <c r="A33" s="392" t="s">
        <v>7</v>
      </c>
      <c r="B33" s="128" t="s">
        <v>8</v>
      </c>
      <c r="C33" s="128">
        <v>444.3</v>
      </c>
      <c r="D33" s="128">
        <v>432</v>
      </c>
      <c r="E33" s="128">
        <v>481.1</v>
      </c>
      <c r="F33" s="128">
        <v>386.79</v>
      </c>
      <c r="G33" s="128">
        <v>401.02</v>
      </c>
      <c r="H33" s="128">
        <v>259.7</v>
      </c>
      <c r="I33" s="128">
        <v>158.54400000000001</v>
      </c>
      <c r="J33" s="128">
        <v>203.79396000000003</v>
      </c>
      <c r="K33" s="128">
        <v>150.84810000000002</v>
      </c>
      <c r="L33" s="128">
        <v>207.32733999999999</v>
      </c>
      <c r="M33" s="129">
        <f t="shared" si="1"/>
        <v>584.51496736439333</v>
      </c>
      <c r="N33" s="129">
        <f t="shared" si="2"/>
        <v>367.00000000000006</v>
      </c>
      <c r="O33" s="129">
        <f t="shared" si="3"/>
        <v>423.6</v>
      </c>
      <c r="P33" s="129">
        <f t="shared" si="4"/>
        <v>390</v>
      </c>
      <c r="Q33" s="129">
        <f t="shared" si="5"/>
        <v>517</v>
      </c>
    </row>
    <row r="34" spans="1:17" s="53" customFormat="1" ht="18" hidden="1" customHeight="1" x14ac:dyDescent="0.2">
      <c r="A34" s="392"/>
      <c r="B34" s="128" t="s">
        <v>9</v>
      </c>
      <c r="C34" s="130">
        <v>0</v>
      </c>
      <c r="D34" s="128">
        <v>0</v>
      </c>
      <c r="E34" s="128">
        <v>0</v>
      </c>
      <c r="F34" s="128">
        <v>0</v>
      </c>
      <c r="G34" s="128"/>
      <c r="H34" s="130">
        <v>0</v>
      </c>
      <c r="I34" s="128">
        <v>0</v>
      </c>
      <c r="J34" s="128">
        <v>0</v>
      </c>
      <c r="K34" s="128">
        <v>0</v>
      </c>
      <c r="L34" s="128"/>
      <c r="M34" s="129" t="e">
        <f t="shared" si="1"/>
        <v>#DIV/0!</v>
      </c>
      <c r="N34" s="129" t="e">
        <f t="shared" si="2"/>
        <v>#DIV/0!</v>
      </c>
      <c r="O34" s="129" t="e">
        <f t="shared" si="3"/>
        <v>#DIV/0!</v>
      </c>
      <c r="P34" s="129" t="e">
        <f t="shared" si="4"/>
        <v>#DIV/0!</v>
      </c>
      <c r="Q34" s="129" t="e">
        <f t="shared" si="5"/>
        <v>#DIV/0!</v>
      </c>
    </row>
    <row r="35" spans="1:17" s="53" customFormat="1" ht="18" hidden="1" customHeight="1" x14ac:dyDescent="0.2">
      <c r="A35" s="392"/>
      <c r="B35" s="238" t="s">
        <v>10</v>
      </c>
      <c r="C35" s="238">
        <f>C33+C34</f>
        <v>444.3</v>
      </c>
      <c r="D35" s="238">
        <f t="shared" ref="D35" si="13">D34+D33</f>
        <v>432</v>
      </c>
      <c r="E35" s="238">
        <v>481.1</v>
      </c>
      <c r="F35" s="238">
        <v>386.79</v>
      </c>
      <c r="G35" s="128"/>
      <c r="H35" s="275">
        <f>H33+H34</f>
        <v>259.7</v>
      </c>
      <c r="I35" s="275">
        <f t="shared" ref="I35" si="14">I34+I33</f>
        <v>158.54400000000001</v>
      </c>
      <c r="J35" s="275">
        <v>203.79396000000003</v>
      </c>
      <c r="K35" s="275">
        <v>150.84810000000002</v>
      </c>
      <c r="L35" s="128"/>
      <c r="M35" s="129">
        <f t="shared" si="1"/>
        <v>584.51496736439333</v>
      </c>
      <c r="N35" s="129">
        <f t="shared" si="2"/>
        <v>367.00000000000006</v>
      </c>
      <c r="O35" s="129">
        <f t="shared" si="3"/>
        <v>423.6</v>
      </c>
      <c r="P35" s="129">
        <f t="shared" si="4"/>
        <v>390</v>
      </c>
      <c r="Q35" s="129" t="e">
        <f t="shared" si="5"/>
        <v>#DIV/0!</v>
      </c>
    </row>
    <row r="36" spans="1:17" s="53" customFormat="1" ht="18" customHeight="1" x14ac:dyDescent="0.2">
      <c r="A36" s="396" t="s">
        <v>29</v>
      </c>
      <c r="B36" s="128" t="s">
        <v>8</v>
      </c>
      <c r="C36" s="130">
        <v>0</v>
      </c>
      <c r="D36" s="128">
        <v>0</v>
      </c>
      <c r="E36" s="128">
        <v>0</v>
      </c>
      <c r="F36" s="128">
        <v>0.433</v>
      </c>
      <c r="G36" s="128">
        <v>0.49</v>
      </c>
      <c r="H36" s="130">
        <v>0</v>
      </c>
      <c r="I36" s="128">
        <v>0</v>
      </c>
      <c r="J36" s="128">
        <v>0</v>
      </c>
      <c r="K36" s="128">
        <v>0.38796800000000004</v>
      </c>
      <c r="L36" s="128">
        <v>0.49686000000000002</v>
      </c>
      <c r="M36" s="129" t="e">
        <f t="shared" si="1"/>
        <v>#DIV/0!</v>
      </c>
      <c r="N36" s="129" t="e">
        <f t="shared" si="2"/>
        <v>#DIV/0!</v>
      </c>
      <c r="O36" s="129" t="e">
        <f t="shared" si="3"/>
        <v>#DIV/0!</v>
      </c>
      <c r="P36" s="129">
        <f t="shared" si="4"/>
        <v>896.00000000000011</v>
      </c>
      <c r="Q36" s="129">
        <f t="shared" si="5"/>
        <v>1014</v>
      </c>
    </row>
    <row r="37" spans="1:17" s="53" customFormat="1" ht="18" customHeight="1" x14ac:dyDescent="0.2">
      <c r="A37" s="396"/>
      <c r="B37" s="128" t="s">
        <v>9</v>
      </c>
      <c r="C37" s="130">
        <v>0.46</v>
      </c>
      <c r="D37" s="128">
        <v>0.45</v>
      </c>
      <c r="E37" s="128">
        <v>0.46</v>
      </c>
      <c r="F37" s="128">
        <v>0</v>
      </c>
      <c r="G37" s="128">
        <v>0</v>
      </c>
      <c r="H37" s="130">
        <v>0.5</v>
      </c>
      <c r="I37" s="128">
        <v>0.50219999999999998</v>
      </c>
      <c r="J37" s="128">
        <v>0.48208000000000006</v>
      </c>
      <c r="K37" s="128">
        <v>0</v>
      </c>
      <c r="L37" s="128">
        <v>0</v>
      </c>
      <c r="M37" s="129">
        <f t="shared" si="1"/>
        <v>1086.9565217391303</v>
      </c>
      <c r="N37" s="129">
        <f t="shared" si="2"/>
        <v>1115.9999999999998</v>
      </c>
      <c r="O37" s="129">
        <f t="shared" si="3"/>
        <v>1048</v>
      </c>
      <c r="P37" s="129" t="e">
        <f t="shared" si="4"/>
        <v>#DIV/0!</v>
      </c>
      <c r="Q37" s="129" t="e">
        <f t="shared" si="5"/>
        <v>#DIV/0!</v>
      </c>
    </row>
    <row r="38" spans="1:17" s="53" customFormat="1" ht="18" customHeight="1" x14ac:dyDescent="0.2">
      <c r="A38" s="396"/>
      <c r="B38" s="128" t="s">
        <v>10</v>
      </c>
      <c r="C38" s="130">
        <f>SUM(C36:C37)</f>
        <v>0.46</v>
      </c>
      <c r="D38" s="130">
        <f t="shared" ref="D38:L38" si="15">SUM(D36:D37)</f>
        <v>0.45</v>
      </c>
      <c r="E38" s="130">
        <f t="shared" si="15"/>
        <v>0.46</v>
      </c>
      <c r="F38" s="130">
        <f t="shared" si="15"/>
        <v>0.433</v>
      </c>
      <c r="G38" s="130">
        <f t="shared" si="15"/>
        <v>0.49</v>
      </c>
      <c r="H38" s="130">
        <f t="shared" si="15"/>
        <v>0.5</v>
      </c>
      <c r="I38" s="130">
        <f t="shared" si="15"/>
        <v>0.50219999999999998</v>
      </c>
      <c r="J38" s="130">
        <f t="shared" si="15"/>
        <v>0.48208000000000006</v>
      </c>
      <c r="K38" s="130">
        <f t="shared" si="15"/>
        <v>0.38796800000000004</v>
      </c>
      <c r="L38" s="130">
        <f t="shared" si="15"/>
        <v>0.49686000000000002</v>
      </c>
      <c r="M38" s="129">
        <f t="shared" si="1"/>
        <v>1086.9565217391303</v>
      </c>
      <c r="N38" s="129">
        <f t="shared" si="2"/>
        <v>1115.9999999999998</v>
      </c>
      <c r="O38" s="129">
        <f t="shared" si="3"/>
        <v>1048</v>
      </c>
      <c r="P38" s="129">
        <f t="shared" si="4"/>
        <v>896.00000000000011</v>
      </c>
      <c r="Q38" s="129">
        <f t="shared" si="5"/>
        <v>1014</v>
      </c>
    </row>
    <row r="39" spans="1:17" s="53" customFormat="1" ht="18" customHeight="1" x14ac:dyDescent="0.2">
      <c r="A39" s="253" t="s">
        <v>20</v>
      </c>
      <c r="B39" s="128" t="s">
        <v>8</v>
      </c>
      <c r="C39" s="130">
        <v>0</v>
      </c>
      <c r="D39" s="128">
        <v>0.48</v>
      </c>
      <c r="E39" s="128">
        <v>0.54</v>
      </c>
      <c r="F39" s="128">
        <v>0.48</v>
      </c>
      <c r="G39" s="128">
        <v>0.48</v>
      </c>
      <c r="H39" s="130">
        <v>0</v>
      </c>
      <c r="I39" s="128">
        <v>0.51024000000000003</v>
      </c>
      <c r="J39" s="128">
        <v>0.57996000000000003</v>
      </c>
      <c r="K39" s="128">
        <v>0.50015999999999994</v>
      </c>
      <c r="L39" s="128">
        <v>0.51024000000000003</v>
      </c>
      <c r="M39" s="129" t="e">
        <f t="shared" si="1"/>
        <v>#DIV/0!</v>
      </c>
      <c r="N39" s="129">
        <f t="shared" si="2"/>
        <v>1063.0000000000002</v>
      </c>
      <c r="O39" s="129">
        <f t="shared" si="3"/>
        <v>1074</v>
      </c>
      <c r="P39" s="129">
        <f t="shared" si="4"/>
        <v>1041.9999999999998</v>
      </c>
      <c r="Q39" s="129">
        <f t="shared" si="5"/>
        <v>1063.0000000000002</v>
      </c>
    </row>
    <row r="40" spans="1:17" s="53" customFormat="1" ht="18" customHeight="1" x14ac:dyDescent="0.2">
      <c r="A40" s="392" t="s">
        <v>107</v>
      </c>
      <c r="B40" s="128" t="s">
        <v>8</v>
      </c>
      <c r="C40" s="128">
        <f>40.75+128.06</f>
        <v>168.81</v>
      </c>
      <c r="D40" s="128">
        <v>108.61</v>
      </c>
      <c r="E40" s="128">
        <v>73.099999999999994</v>
      </c>
      <c r="F40" s="128">
        <v>70.78</v>
      </c>
      <c r="G40" s="128">
        <v>59.72</v>
      </c>
      <c r="H40" s="128">
        <f>17.85+41.69</f>
        <v>59.54</v>
      </c>
      <c r="I40" s="128">
        <v>33.94</v>
      </c>
      <c r="J40" s="128">
        <v>20.02</v>
      </c>
      <c r="K40" s="128">
        <v>23.14</v>
      </c>
      <c r="L40" s="128">
        <v>20.663119999999999</v>
      </c>
      <c r="M40" s="129">
        <f t="shared" si="1"/>
        <v>352.70422368343105</v>
      </c>
      <c r="N40" s="129">
        <f t="shared" si="2"/>
        <v>312.49424546542673</v>
      </c>
      <c r="O40" s="129">
        <f t="shared" si="3"/>
        <v>273.87140902872778</v>
      </c>
      <c r="P40" s="129">
        <f t="shared" si="4"/>
        <v>326.92851087877932</v>
      </c>
      <c r="Q40" s="129">
        <f t="shared" si="5"/>
        <v>346</v>
      </c>
    </row>
    <row r="41" spans="1:17" s="53" customFormat="1" ht="18" customHeight="1" x14ac:dyDescent="0.2">
      <c r="A41" s="392"/>
      <c r="B41" s="128" t="s">
        <v>9</v>
      </c>
      <c r="C41" s="128">
        <v>157.36000000000001</v>
      </c>
      <c r="D41" s="128">
        <v>127.4</v>
      </c>
      <c r="E41" s="128">
        <v>143.55000000000001</v>
      </c>
      <c r="F41" s="128">
        <v>169.36</v>
      </c>
      <c r="G41" s="128">
        <v>175.65</v>
      </c>
      <c r="H41" s="128">
        <v>74.08</v>
      </c>
      <c r="I41" s="128">
        <v>57.584800000000001</v>
      </c>
      <c r="J41" s="128">
        <v>50.816700000000004</v>
      </c>
      <c r="K41" s="128">
        <v>57.5824</v>
      </c>
      <c r="L41" s="128">
        <v>37.2378</v>
      </c>
      <c r="M41" s="129">
        <f t="shared" si="1"/>
        <v>470.76766649720383</v>
      </c>
      <c r="N41" s="129">
        <f t="shared" si="2"/>
        <v>452</v>
      </c>
      <c r="O41" s="129">
        <f t="shared" si="3"/>
        <v>354</v>
      </c>
      <c r="P41" s="129">
        <f t="shared" si="4"/>
        <v>339.99999999999994</v>
      </c>
      <c r="Q41" s="129">
        <f t="shared" si="5"/>
        <v>212</v>
      </c>
    </row>
    <row r="42" spans="1:17" s="53" customFormat="1" ht="18" customHeight="1" x14ac:dyDescent="0.2">
      <c r="A42" s="392"/>
      <c r="B42" s="238" t="s">
        <v>10</v>
      </c>
      <c r="C42" s="291">
        <f>C40+C41</f>
        <v>326.17</v>
      </c>
      <c r="D42" s="291">
        <f t="shared" ref="D42:L42" si="16">D40+D41</f>
        <v>236.01</v>
      </c>
      <c r="E42" s="291">
        <f t="shared" si="16"/>
        <v>216.65</v>
      </c>
      <c r="F42" s="291">
        <f t="shared" si="16"/>
        <v>240.14000000000001</v>
      </c>
      <c r="G42" s="291">
        <f t="shared" si="16"/>
        <v>235.37</v>
      </c>
      <c r="H42" s="291">
        <f t="shared" si="16"/>
        <v>133.62</v>
      </c>
      <c r="I42" s="291">
        <f t="shared" si="16"/>
        <v>91.524799999999999</v>
      </c>
      <c r="J42" s="291">
        <f t="shared" si="16"/>
        <v>70.836700000000008</v>
      </c>
      <c r="K42" s="291">
        <f t="shared" si="16"/>
        <v>80.722399999999993</v>
      </c>
      <c r="L42" s="291">
        <f t="shared" si="16"/>
        <v>57.900919999999999</v>
      </c>
      <c r="M42" s="288">
        <f t="shared" si="1"/>
        <v>409.66367231811631</v>
      </c>
      <c r="N42" s="288">
        <f t="shared" si="2"/>
        <v>387.80051692724885</v>
      </c>
      <c r="O42" s="288">
        <f t="shared" si="3"/>
        <v>326.96376644357264</v>
      </c>
      <c r="P42" s="288">
        <f t="shared" si="4"/>
        <v>336.14724743899387</v>
      </c>
      <c r="Q42" s="288">
        <f t="shared" si="5"/>
        <v>245.99957513701833</v>
      </c>
    </row>
    <row r="43" spans="1:17" s="53" customFormat="1" ht="18" customHeight="1" x14ac:dyDescent="0.2">
      <c r="A43" s="133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2" t="s">
        <v>31</v>
      </c>
      <c r="O43" s="131"/>
      <c r="P43" s="131"/>
      <c r="Q43" s="131"/>
    </row>
    <row r="44" spans="1:17" s="53" customFormat="1" ht="18" customHeight="1" x14ac:dyDescent="0.2">
      <c r="A44" s="133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2"/>
      <c r="O44" s="131"/>
      <c r="P44" s="131"/>
      <c r="Q44" s="131"/>
    </row>
    <row r="45" spans="1:17" s="53" customFormat="1" ht="18" customHeight="1" x14ac:dyDescent="0.2">
      <c r="A45" s="133"/>
      <c r="B45" s="131"/>
      <c r="C45" s="131"/>
      <c r="D45" s="131" t="s">
        <v>114</v>
      </c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</row>
    <row r="46" spans="1:17" ht="18" x14ac:dyDescent="0.2">
      <c r="A46" s="389" t="s">
        <v>1</v>
      </c>
      <c r="B46" s="391" t="s">
        <v>0</v>
      </c>
      <c r="C46" s="342" t="s">
        <v>174</v>
      </c>
      <c r="D46" s="342"/>
      <c r="E46" s="342"/>
      <c r="F46" s="342"/>
      <c r="G46" s="342"/>
      <c r="H46" s="342" t="s">
        <v>68</v>
      </c>
      <c r="I46" s="342"/>
      <c r="J46" s="342"/>
      <c r="K46" s="342"/>
      <c r="L46" s="342"/>
      <c r="M46" s="342" t="s">
        <v>89</v>
      </c>
      <c r="N46" s="342"/>
      <c r="O46" s="342"/>
      <c r="P46" s="342"/>
      <c r="Q46" s="342"/>
    </row>
    <row r="47" spans="1:17" ht="24" customHeight="1" x14ac:dyDescent="0.2">
      <c r="A47" s="389"/>
      <c r="B47" s="391"/>
      <c r="C47" s="274" t="s">
        <v>112</v>
      </c>
      <c r="D47" s="274" t="s">
        <v>164</v>
      </c>
      <c r="E47" s="274" t="s">
        <v>199</v>
      </c>
      <c r="F47" s="274" t="s">
        <v>200</v>
      </c>
      <c r="G47" s="273" t="s">
        <v>202</v>
      </c>
      <c r="H47" s="274" t="s">
        <v>112</v>
      </c>
      <c r="I47" s="274" t="s">
        <v>164</v>
      </c>
      <c r="J47" s="274" t="s">
        <v>199</v>
      </c>
      <c r="K47" s="274" t="s">
        <v>200</v>
      </c>
      <c r="L47" s="273" t="s">
        <v>202</v>
      </c>
      <c r="M47" s="274" t="s">
        <v>112</v>
      </c>
      <c r="N47" s="274" t="s">
        <v>164</v>
      </c>
      <c r="O47" s="274" t="s">
        <v>199</v>
      </c>
      <c r="P47" s="274" t="s">
        <v>200</v>
      </c>
      <c r="Q47" s="273" t="s">
        <v>202</v>
      </c>
    </row>
    <row r="48" spans="1:17" ht="18" x14ac:dyDescent="0.2">
      <c r="A48" s="241">
        <v>1</v>
      </c>
      <c r="B48" s="117">
        <v>2</v>
      </c>
      <c r="C48" s="117">
        <v>3</v>
      </c>
      <c r="D48" s="117">
        <v>4</v>
      </c>
      <c r="E48" s="117">
        <v>5</v>
      </c>
      <c r="F48" s="117">
        <v>6</v>
      </c>
      <c r="G48" s="117">
        <v>7</v>
      </c>
      <c r="H48" s="117">
        <v>8</v>
      </c>
      <c r="I48" s="117">
        <v>9</v>
      </c>
      <c r="J48" s="117">
        <v>10</v>
      </c>
      <c r="K48" s="117">
        <v>11</v>
      </c>
      <c r="L48" s="117">
        <v>12</v>
      </c>
      <c r="M48" s="117">
        <v>13</v>
      </c>
      <c r="N48" s="117">
        <v>14</v>
      </c>
      <c r="O48" s="117">
        <v>15</v>
      </c>
      <c r="P48" s="117">
        <v>16</v>
      </c>
      <c r="Q48" s="117">
        <v>17</v>
      </c>
    </row>
    <row r="49" spans="1:17" s="53" customFormat="1" ht="18" customHeight="1" x14ac:dyDescent="0.2">
      <c r="A49" s="392" t="s">
        <v>21</v>
      </c>
      <c r="B49" s="128" t="s">
        <v>8</v>
      </c>
      <c r="C49" s="128">
        <v>4.8</v>
      </c>
      <c r="D49" s="128">
        <v>3.5</v>
      </c>
      <c r="E49" s="128">
        <v>3.2</v>
      </c>
      <c r="F49" s="128">
        <v>22.7</v>
      </c>
      <c r="G49" s="128">
        <v>2.6</v>
      </c>
      <c r="H49" s="128">
        <v>4</v>
      </c>
      <c r="I49" s="128">
        <v>2.9575</v>
      </c>
      <c r="J49" s="128">
        <v>2.6688000000000001</v>
      </c>
      <c r="K49" s="128">
        <v>19.6128</v>
      </c>
      <c r="L49" s="128">
        <v>2.496</v>
      </c>
      <c r="M49" s="129">
        <f>H49/C49*1000</f>
        <v>833.33333333333337</v>
      </c>
      <c r="N49" s="129">
        <f t="shared" ref="N49:Q49" si="17">I49/D49*1000</f>
        <v>845</v>
      </c>
      <c r="O49" s="129">
        <f t="shared" si="17"/>
        <v>834</v>
      </c>
      <c r="P49" s="129">
        <f t="shared" si="17"/>
        <v>864</v>
      </c>
      <c r="Q49" s="129">
        <f t="shared" si="17"/>
        <v>960</v>
      </c>
    </row>
    <row r="50" spans="1:17" s="53" customFormat="1" ht="18" customHeight="1" x14ac:dyDescent="0.2">
      <c r="A50" s="392"/>
      <c r="B50" s="128" t="s">
        <v>9</v>
      </c>
      <c r="C50" s="128">
        <v>19.2</v>
      </c>
      <c r="D50" s="128">
        <v>18</v>
      </c>
      <c r="E50" s="128">
        <v>16</v>
      </c>
      <c r="F50" s="128">
        <v>2.7</v>
      </c>
      <c r="G50" s="128">
        <v>21.5</v>
      </c>
      <c r="H50" s="128">
        <v>16.2</v>
      </c>
      <c r="I50" s="128">
        <v>15.534000000000001</v>
      </c>
      <c r="J50" s="128">
        <v>14.08</v>
      </c>
      <c r="K50" s="128">
        <v>2.3733</v>
      </c>
      <c r="L50" s="128">
        <v>20.855</v>
      </c>
      <c r="M50" s="129">
        <f t="shared" ref="M50:M77" si="18">H50/C50*1000</f>
        <v>843.75</v>
      </c>
      <c r="N50" s="129">
        <f t="shared" ref="N50:N77" si="19">I50/D50*1000</f>
        <v>863</v>
      </c>
      <c r="O50" s="129">
        <f t="shared" ref="O50:O77" si="20">J50/E50*1000</f>
        <v>880</v>
      </c>
      <c r="P50" s="129">
        <f t="shared" ref="P50:P77" si="21">K50/F50*1000</f>
        <v>878.99999999999989</v>
      </c>
      <c r="Q50" s="129">
        <f t="shared" ref="Q50:Q77" si="22">L50/G50*1000</f>
        <v>970</v>
      </c>
    </row>
    <row r="51" spans="1:17" s="53" customFormat="1" ht="18" customHeight="1" x14ac:dyDescent="0.2">
      <c r="A51" s="392"/>
      <c r="B51" s="128" t="s">
        <v>10</v>
      </c>
      <c r="C51" s="128">
        <f>C49+C50</f>
        <v>24</v>
      </c>
      <c r="D51" s="128">
        <f t="shared" ref="D51:L51" si="23">D49+D50</f>
        <v>21.5</v>
      </c>
      <c r="E51" s="128">
        <f t="shared" si="23"/>
        <v>19.2</v>
      </c>
      <c r="F51" s="128">
        <f t="shared" si="23"/>
        <v>25.4</v>
      </c>
      <c r="G51" s="128">
        <f t="shared" si="23"/>
        <v>24.1</v>
      </c>
      <c r="H51" s="128">
        <f t="shared" si="23"/>
        <v>20.2</v>
      </c>
      <c r="I51" s="128">
        <f t="shared" si="23"/>
        <v>18.491500000000002</v>
      </c>
      <c r="J51" s="128">
        <f t="shared" si="23"/>
        <v>16.748799999999999</v>
      </c>
      <c r="K51" s="128">
        <f t="shared" si="23"/>
        <v>21.9861</v>
      </c>
      <c r="L51" s="128">
        <f t="shared" si="23"/>
        <v>23.350999999999999</v>
      </c>
      <c r="M51" s="129">
        <f t="shared" si="18"/>
        <v>841.66666666666663</v>
      </c>
      <c r="N51" s="129">
        <f t="shared" si="19"/>
        <v>860.06976744186056</v>
      </c>
      <c r="O51" s="129">
        <f t="shared" si="20"/>
        <v>872.33333333333326</v>
      </c>
      <c r="P51" s="129">
        <f t="shared" si="21"/>
        <v>865.59448818897647</v>
      </c>
      <c r="Q51" s="129">
        <f t="shared" si="22"/>
        <v>968.92116182572613</v>
      </c>
    </row>
    <row r="52" spans="1:17" s="53" customFormat="1" ht="18" customHeight="1" x14ac:dyDescent="0.2">
      <c r="A52" s="393" t="s">
        <v>22</v>
      </c>
      <c r="B52" s="238" t="s">
        <v>8</v>
      </c>
      <c r="C52" s="238">
        <v>1636.8</v>
      </c>
      <c r="D52" s="238">
        <v>1718.64</v>
      </c>
      <c r="E52" s="238">
        <v>2465.2289999999998</v>
      </c>
      <c r="F52" s="238">
        <v>2323</v>
      </c>
      <c r="G52" s="291">
        <v>2549.2939999999999</v>
      </c>
      <c r="H52" s="275">
        <v>810.21600000000001</v>
      </c>
      <c r="I52" s="275">
        <v>742.45248000000015</v>
      </c>
      <c r="J52" s="275">
        <v>1220.2883549999999</v>
      </c>
      <c r="K52" s="275">
        <v>1298.557</v>
      </c>
      <c r="L52" s="291">
        <v>1402.1116999999999</v>
      </c>
      <c r="M52" s="288">
        <f t="shared" si="18"/>
        <v>495</v>
      </c>
      <c r="N52" s="288">
        <f t="shared" si="19"/>
        <v>432.00000000000006</v>
      </c>
      <c r="O52" s="288">
        <f t="shared" si="20"/>
        <v>495</v>
      </c>
      <c r="P52" s="288">
        <f t="shared" si="21"/>
        <v>559</v>
      </c>
      <c r="Q52" s="288">
        <f t="shared" si="22"/>
        <v>550</v>
      </c>
    </row>
    <row r="53" spans="1:17" s="53" customFormat="1" ht="18" customHeight="1" x14ac:dyDescent="0.2">
      <c r="A53" s="394"/>
      <c r="B53" s="128" t="s">
        <v>9</v>
      </c>
      <c r="C53" s="128">
        <v>0</v>
      </c>
      <c r="D53" s="128">
        <v>0</v>
      </c>
      <c r="E53" s="128">
        <v>1.55</v>
      </c>
      <c r="F53" s="128">
        <v>3.52</v>
      </c>
      <c r="G53" s="128">
        <v>3.7570000000000001</v>
      </c>
      <c r="H53" s="128">
        <v>0</v>
      </c>
      <c r="I53" s="128">
        <v>0</v>
      </c>
      <c r="J53" s="128">
        <v>1.9390499999999999</v>
      </c>
      <c r="K53" s="128">
        <v>4.7625600000000006</v>
      </c>
      <c r="L53" s="128">
        <v>5.0794639999999998</v>
      </c>
      <c r="M53" s="129" t="e">
        <f t="shared" si="18"/>
        <v>#DIV/0!</v>
      </c>
      <c r="N53" s="129" t="e">
        <f t="shared" si="19"/>
        <v>#DIV/0!</v>
      </c>
      <c r="O53" s="129">
        <f t="shared" si="20"/>
        <v>1251</v>
      </c>
      <c r="P53" s="129">
        <f t="shared" si="21"/>
        <v>1353.0000000000002</v>
      </c>
      <c r="Q53" s="129">
        <f t="shared" si="22"/>
        <v>1351.9999999999998</v>
      </c>
    </row>
    <row r="54" spans="1:17" s="53" customFormat="1" ht="18" customHeight="1" x14ac:dyDescent="0.2">
      <c r="A54" s="395"/>
      <c r="B54" s="251" t="s">
        <v>10</v>
      </c>
      <c r="C54" s="269">
        <f t="shared" ref="C54:L54" si="24">C53+C52</f>
        <v>1636.8</v>
      </c>
      <c r="D54" s="283">
        <f t="shared" si="24"/>
        <v>1718.64</v>
      </c>
      <c r="E54" s="283">
        <f t="shared" si="24"/>
        <v>2466.779</v>
      </c>
      <c r="F54" s="283">
        <f t="shared" si="24"/>
        <v>2326.52</v>
      </c>
      <c r="G54" s="291">
        <f t="shared" si="24"/>
        <v>2553.0509999999999</v>
      </c>
      <c r="H54" s="283">
        <f t="shared" si="24"/>
        <v>810.21600000000001</v>
      </c>
      <c r="I54" s="283">
        <f t="shared" si="24"/>
        <v>742.45248000000015</v>
      </c>
      <c r="J54" s="283">
        <f t="shared" si="24"/>
        <v>1222.2274049999999</v>
      </c>
      <c r="K54" s="283">
        <f t="shared" si="24"/>
        <v>1303.3195599999999</v>
      </c>
      <c r="L54" s="291">
        <f t="shared" si="24"/>
        <v>1407.1911639999998</v>
      </c>
      <c r="M54" s="288">
        <f t="shared" si="18"/>
        <v>495</v>
      </c>
      <c r="N54" s="288">
        <f t="shared" si="19"/>
        <v>432.00000000000006</v>
      </c>
      <c r="O54" s="288">
        <f t="shared" si="20"/>
        <v>495.47503242082081</v>
      </c>
      <c r="P54" s="288">
        <f t="shared" si="21"/>
        <v>560.20131354985131</v>
      </c>
      <c r="Q54" s="288">
        <f t="shared" si="22"/>
        <v>551.18020125724081</v>
      </c>
    </row>
    <row r="55" spans="1:17" s="53" customFormat="1" ht="18" customHeight="1" x14ac:dyDescent="0.2">
      <c r="A55" s="392" t="s">
        <v>11</v>
      </c>
      <c r="B55" s="128" t="s">
        <v>8</v>
      </c>
      <c r="C55" s="128">
        <v>28.75</v>
      </c>
      <c r="D55" s="128">
        <v>29.45</v>
      </c>
      <c r="E55" s="128">
        <v>26.98</v>
      </c>
      <c r="F55" s="128">
        <v>22.75</v>
      </c>
      <c r="G55" s="128">
        <v>23.18</v>
      </c>
      <c r="H55" s="128">
        <v>23.24</v>
      </c>
      <c r="I55" s="128">
        <v>17.93505</v>
      </c>
      <c r="J55" s="128">
        <v>18.184519999999999</v>
      </c>
      <c r="K55" s="128">
        <v>13.0585</v>
      </c>
      <c r="L55" s="128">
        <v>20.282499999999999</v>
      </c>
      <c r="M55" s="129">
        <f t="shared" si="18"/>
        <v>808.34782608695639</v>
      </c>
      <c r="N55" s="129">
        <f t="shared" si="19"/>
        <v>609</v>
      </c>
      <c r="O55" s="129">
        <f t="shared" si="20"/>
        <v>673.99999999999989</v>
      </c>
      <c r="P55" s="129">
        <f t="shared" si="21"/>
        <v>574.00000000000011</v>
      </c>
      <c r="Q55" s="129">
        <f t="shared" si="22"/>
        <v>875</v>
      </c>
    </row>
    <row r="56" spans="1:17" s="53" customFormat="1" ht="18" customHeight="1" x14ac:dyDescent="0.2">
      <c r="A56" s="392"/>
      <c r="B56" s="128" t="s">
        <v>9</v>
      </c>
      <c r="C56" s="128">
        <v>137.22</v>
      </c>
      <c r="D56" s="128">
        <v>151.13999999999999</v>
      </c>
      <c r="E56" s="128">
        <v>143.34</v>
      </c>
      <c r="F56" s="128">
        <v>149.19</v>
      </c>
      <c r="G56" s="128">
        <v>137.38</v>
      </c>
      <c r="H56" s="128">
        <v>32.86</v>
      </c>
      <c r="I56" s="128">
        <v>60.304859999999991</v>
      </c>
      <c r="J56" s="128">
        <v>58.626060000000003</v>
      </c>
      <c r="K56" s="128">
        <v>63.405749999999998</v>
      </c>
      <c r="L56" s="128">
        <v>38.60378</v>
      </c>
      <c r="M56" s="129">
        <f t="shared" si="18"/>
        <v>239.4694650925521</v>
      </c>
      <c r="N56" s="129">
        <f t="shared" si="19"/>
        <v>398.99999999999994</v>
      </c>
      <c r="O56" s="129">
        <f t="shared" si="20"/>
        <v>409.00000000000006</v>
      </c>
      <c r="P56" s="129">
        <f t="shared" si="21"/>
        <v>425</v>
      </c>
      <c r="Q56" s="129">
        <f t="shared" si="22"/>
        <v>281</v>
      </c>
    </row>
    <row r="57" spans="1:17" s="53" customFormat="1" ht="18" customHeight="1" x14ac:dyDescent="0.2">
      <c r="A57" s="392"/>
      <c r="B57" s="238" t="s">
        <v>10</v>
      </c>
      <c r="C57" s="238">
        <f>C55+C56</f>
        <v>165.97</v>
      </c>
      <c r="D57" s="283">
        <f t="shared" ref="D57:L57" si="25">D55+D56</f>
        <v>180.58999999999997</v>
      </c>
      <c r="E57" s="283">
        <f t="shared" si="25"/>
        <v>170.32</v>
      </c>
      <c r="F57" s="283">
        <f t="shared" si="25"/>
        <v>171.94</v>
      </c>
      <c r="G57" s="291">
        <f t="shared" si="25"/>
        <v>160.56</v>
      </c>
      <c r="H57" s="283">
        <f t="shared" si="25"/>
        <v>56.099999999999994</v>
      </c>
      <c r="I57" s="283">
        <f t="shared" si="25"/>
        <v>78.239909999999995</v>
      </c>
      <c r="J57" s="283">
        <f t="shared" si="25"/>
        <v>76.810580000000002</v>
      </c>
      <c r="K57" s="283">
        <f t="shared" si="25"/>
        <v>76.464249999999993</v>
      </c>
      <c r="L57" s="291">
        <f t="shared" si="25"/>
        <v>58.886279999999999</v>
      </c>
      <c r="M57" s="288">
        <f t="shared" si="18"/>
        <v>338.0128938964873</v>
      </c>
      <c r="N57" s="288">
        <f t="shared" si="19"/>
        <v>433.24608228584088</v>
      </c>
      <c r="O57" s="288">
        <f t="shared" si="20"/>
        <v>450.97804133395965</v>
      </c>
      <c r="P57" s="288">
        <f t="shared" si="21"/>
        <v>444.71472606723273</v>
      </c>
      <c r="Q57" s="288">
        <f t="shared" si="22"/>
        <v>366.75560538116594</v>
      </c>
    </row>
    <row r="58" spans="1:17" s="53" customFormat="1" ht="18" customHeight="1" x14ac:dyDescent="0.2">
      <c r="A58" s="392" t="s">
        <v>109</v>
      </c>
      <c r="B58" s="128" t="s">
        <v>8</v>
      </c>
      <c r="C58" s="128">
        <v>135</v>
      </c>
      <c r="D58" s="128">
        <v>92</v>
      </c>
      <c r="E58" s="128">
        <v>66</v>
      </c>
      <c r="F58" s="128">
        <v>60</v>
      </c>
      <c r="G58" s="128">
        <v>62</v>
      </c>
      <c r="H58" s="128">
        <v>82</v>
      </c>
      <c r="I58" s="128">
        <v>58.695999999999998</v>
      </c>
      <c r="J58" s="128">
        <v>41.514000000000003</v>
      </c>
      <c r="K58" s="128">
        <v>47.28</v>
      </c>
      <c r="L58" s="128">
        <v>25.73</v>
      </c>
      <c r="M58" s="129">
        <f t="shared" si="18"/>
        <v>607.40740740740739</v>
      </c>
      <c r="N58" s="129">
        <f t="shared" si="19"/>
        <v>638</v>
      </c>
      <c r="O58" s="129">
        <f t="shared" si="20"/>
        <v>629</v>
      </c>
      <c r="P58" s="129">
        <f t="shared" si="21"/>
        <v>788</v>
      </c>
      <c r="Q58" s="129">
        <f t="shared" si="22"/>
        <v>415</v>
      </c>
    </row>
    <row r="59" spans="1:17" s="53" customFormat="1" ht="18" customHeight="1" x14ac:dyDescent="0.2">
      <c r="A59" s="392"/>
      <c r="B59" s="128" t="s">
        <v>9</v>
      </c>
      <c r="C59" s="128">
        <v>11</v>
      </c>
      <c r="D59" s="128">
        <v>7</v>
      </c>
      <c r="E59" s="128">
        <v>7</v>
      </c>
      <c r="F59" s="128">
        <v>6</v>
      </c>
      <c r="G59" s="128">
        <v>13</v>
      </c>
      <c r="H59" s="128">
        <v>10</v>
      </c>
      <c r="I59" s="128">
        <v>5.8239999999999998</v>
      </c>
      <c r="J59" s="128">
        <v>6.6360000000000001</v>
      </c>
      <c r="K59" s="128">
        <v>5.6879999999999997</v>
      </c>
      <c r="L59" s="128">
        <v>12.324</v>
      </c>
      <c r="M59" s="129">
        <f t="shared" si="18"/>
        <v>909.09090909090901</v>
      </c>
      <c r="N59" s="129">
        <f t="shared" si="19"/>
        <v>832</v>
      </c>
      <c r="O59" s="129">
        <f t="shared" si="20"/>
        <v>948.00000000000011</v>
      </c>
      <c r="P59" s="129">
        <f t="shared" si="21"/>
        <v>948</v>
      </c>
      <c r="Q59" s="129">
        <f t="shared" si="22"/>
        <v>948</v>
      </c>
    </row>
    <row r="60" spans="1:17" s="53" customFormat="1" ht="18" customHeight="1" x14ac:dyDescent="0.2">
      <c r="A60" s="392"/>
      <c r="B60" s="128" t="s">
        <v>10</v>
      </c>
      <c r="C60" s="291">
        <f>C58+C59</f>
        <v>146</v>
      </c>
      <c r="D60" s="291">
        <f t="shared" ref="D60:L60" si="26">D58+D59</f>
        <v>99</v>
      </c>
      <c r="E60" s="291">
        <f t="shared" si="26"/>
        <v>73</v>
      </c>
      <c r="F60" s="291">
        <f t="shared" si="26"/>
        <v>66</v>
      </c>
      <c r="G60" s="291">
        <f t="shared" si="26"/>
        <v>75</v>
      </c>
      <c r="H60" s="291">
        <f t="shared" si="26"/>
        <v>92</v>
      </c>
      <c r="I60" s="291">
        <f t="shared" si="26"/>
        <v>64.52</v>
      </c>
      <c r="J60" s="291">
        <f t="shared" si="26"/>
        <v>48.150000000000006</v>
      </c>
      <c r="K60" s="291">
        <f t="shared" si="26"/>
        <v>52.968000000000004</v>
      </c>
      <c r="L60" s="291">
        <f t="shared" si="26"/>
        <v>38.054000000000002</v>
      </c>
      <c r="M60" s="288">
        <f t="shared" si="18"/>
        <v>630.1369863013698</v>
      </c>
      <c r="N60" s="288">
        <f t="shared" si="19"/>
        <v>651.71717171717171</v>
      </c>
      <c r="O60" s="288">
        <f t="shared" si="20"/>
        <v>659.58904109589048</v>
      </c>
      <c r="P60" s="288">
        <f t="shared" si="21"/>
        <v>802.54545454545462</v>
      </c>
      <c r="Q60" s="288">
        <f t="shared" si="22"/>
        <v>507.38666666666666</v>
      </c>
    </row>
    <row r="61" spans="1:17" s="53" customFormat="1" ht="18" customHeight="1" x14ac:dyDescent="0.2">
      <c r="A61" s="392" t="s">
        <v>59</v>
      </c>
      <c r="B61" s="128" t="s">
        <v>8</v>
      </c>
      <c r="C61" s="128">
        <f>1.036+1.192</f>
        <v>2.2279999999999998</v>
      </c>
      <c r="D61" s="128">
        <v>2.4729999999999999</v>
      </c>
      <c r="E61" s="128">
        <v>2.0819999999999999</v>
      </c>
      <c r="F61" s="128">
        <v>2.262</v>
      </c>
      <c r="G61" s="128">
        <v>1.45</v>
      </c>
      <c r="H61" s="128">
        <f>0.574+0.66</f>
        <v>1.234</v>
      </c>
      <c r="I61" s="128">
        <v>1.3477849999999998</v>
      </c>
      <c r="J61" s="128">
        <v>1.2560000000000002</v>
      </c>
      <c r="K61" s="128">
        <v>1.461252</v>
      </c>
      <c r="L61" s="128">
        <v>0.93525000000000003</v>
      </c>
      <c r="M61" s="129">
        <f t="shared" si="18"/>
        <v>553.85996409335735</v>
      </c>
      <c r="N61" s="129">
        <f t="shared" si="19"/>
        <v>544.99999999999989</v>
      </c>
      <c r="O61" s="129">
        <f t="shared" si="20"/>
        <v>603.26609029779081</v>
      </c>
      <c r="P61" s="129">
        <f t="shared" si="21"/>
        <v>646</v>
      </c>
      <c r="Q61" s="129">
        <f t="shared" si="22"/>
        <v>645</v>
      </c>
    </row>
    <row r="62" spans="1:17" s="53" customFormat="1" ht="18" customHeight="1" x14ac:dyDescent="0.2">
      <c r="A62" s="392"/>
      <c r="B62" s="128" t="s">
        <v>9</v>
      </c>
      <c r="C62" s="128">
        <v>1.2</v>
      </c>
      <c r="D62" s="128">
        <v>2.3199999999999998</v>
      </c>
      <c r="E62" s="128">
        <v>1.9610000000000001</v>
      </c>
      <c r="F62" s="128">
        <v>1.77</v>
      </c>
      <c r="G62" s="128">
        <v>1.47</v>
      </c>
      <c r="H62" s="128">
        <v>0.73399999999999999</v>
      </c>
      <c r="I62" s="128">
        <v>1.45</v>
      </c>
      <c r="J62" s="128">
        <v>1.3021040000000002</v>
      </c>
      <c r="K62" s="128">
        <v>1.21953</v>
      </c>
      <c r="L62" s="128">
        <v>1.10103</v>
      </c>
      <c r="M62" s="129">
        <f t="shared" si="18"/>
        <v>611.66666666666674</v>
      </c>
      <c r="N62" s="129">
        <f t="shared" si="19"/>
        <v>625</v>
      </c>
      <c r="O62" s="129">
        <f t="shared" si="20"/>
        <v>664</v>
      </c>
      <c r="P62" s="129">
        <f t="shared" si="21"/>
        <v>689</v>
      </c>
      <c r="Q62" s="129">
        <f t="shared" si="22"/>
        <v>749</v>
      </c>
    </row>
    <row r="63" spans="1:17" s="53" customFormat="1" ht="18" customHeight="1" x14ac:dyDescent="0.2">
      <c r="A63" s="392"/>
      <c r="B63" s="128" t="s">
        <v>10</v>
      </c>
      <c r="C63" s="128">
        <f>C61+C62</f>
        <v>3.4279999999999999</v>
      </c>
      <c r="D63" s="128">
        <f t="shared" ref="D63:L63" si="27">D61+D62</f>
        <v>4.7929999999999993</v>
      </c>
      <c r="E63" s="128">
        <f t="shared" si="27"/>
        <v>4.0430000000000001</v>
      </c>
      <c r="F63" s="128">
        <f t="shared" si="27"/>
        <v>4.032</v>
      </c>
      <c r="G63" s="128">
        <f t="shared" si="27"/>
        <v>2.92</v>
      </c>
      <c r="H63" s="128">
        <f t="shared" si="27"/>
        <v>1.968</v>
      </c>
      <c r="I63" s="128">
        <f t="shared" si="27"/>
        <v>2.7977849999999997</v>
      </c>
      <c r="J63" s="128">
        <f t="shared" si="27"/>
        <v>2.5581040000000002</v>
      </c>
      <c r="K63" s="128">
        <f t="shared" si="27"/>
        <v>2.6807819999999998</v>
      </c>
      <c r="L63" s="128">
        <f t="shared" si="27"/>
        <v>2.0362800000000001</v>
      </c>
      <c r="M63" s="129">
        <f t="shared" si="18"/>
        <v>574.09568261376899</v>
      </c>
      <c r="N63" s="129">
        <f t="shared" si="19"/>
        <v>583.72313790945134</v>
      </c>
      <c r="O63" s="129">
        <f t="shared" si="20"/>
        <v>632.7242146920604</v>
      </c>
      <c r="P63" s="129">
        <f t="shared" si="21"/>
        <v>664.87648809523807</v>
      </c>
      <c r="Q63" s="129">
        <f t="shared" si="22"/>
        <v>697.35616438356169</v>
      </c>
    </row>
    <row r="64" spans="1:17" s="53" customFormat="1" ht="18" customHeight="1" x14ac:dyDescent="0.2">
      <c r="A64" s="392" t="s">
        <v>12</v>
      </c>
      <c r="B64" s="128" t="s">
        <v>8</v>
      </c>
      <c r="C64" s="128">
        <v>44</v>
      </c>
      <c r="D64" s="128">
        <v>45</v>
      </c>
      <c r="E64" s="128">
        <v>51</v>
      </c>
      <c r="F64" s="128">
        <v>49</v>
      </c>
      <c r="G64" s="128">
        <v>39</v>
      </c>
      <c r="H64" s="128">
        <v>18</v>
      </c>
      <c r="I64" s="128">
        <v>17.73</v>
      </c>
      <c r="J64" s="128">
        <v>21.623999999999999</v>
      </c>
      <c r="K64" s="128">
        <v>14.063000000000001</v>
      </c>
      <c r="L64" s="128">
        <v>15.522</v>
      </c>
      <c r="M64" s="129">
        <f t="shared" si="18"/>
        <v>409.09090909090912</v>
      </c>
      <c r="N64" s="129">
        <f t="shared" si="19"/>
        <v>394</v>
      </c>
      <c r="O64" s="129">
        <f t="shared" si="20"/>
        <v>424</v>
      </c>
      <c r="P64" s="129">
        <f t="shared" si="21"/>
        <v>287.00000000000006</v>
      </c>
      <c r="Q64" s="129">
        <f t="shared" si="22"/>
        <v>398</v>
      </c>
    </row>
    <row r="65" spans="1:17" s="53" customFormat="1" ht="18" customHeight="1" x14ac:dyDescent="0.2">
      <c r="A65" s="392"/>
      <c r="B65" s="128" t="s">
        <v>9</v>
      </c>
      <c r="C65" s="128">
        <v>48</v>
      </c>
      <c r="D65" s="128">
        <v>42</v>
      </c>
      <c r="E65" s="128">
        <v>41</v>
      </c>
      <c r="F65" s="128">
        <v>44</v>
      </c>
      <c r="G65" s="128">
        <v>47</v>
      </c>
      <c r="H65" s="128">
        <v>34</v>
      </c>
      <c r="I65" s="128">
        <v>28.181999999999999</v>
      </c>
      <c r="J65" s="128">
        <v>34.03</v>
      </c>
      <c r="K65" s="128">
        <v>38.94</v>
      </c>
      <c r="L65" s="128">
        <v>45.448999999999998</v>
      </c>
      <c r="M65" s="129">
        <f t="shared" si="18"/>
        <v>708.33333333333337</v>
      </c>
      <c r="N65" s="129">
        <f t="shared" si="19"/>
        <v>670.99999999999989</v>
      </c>
      <c r="O65" s="129">
        <f t="shared" si="20"/>
        <v>830.00000000000011</v>
      </c>
      <c r="P65" s="129">
        <f t="shared" si="21"/>
        <v>884.99999999999989</v>
      </c>
      <c r="Q65" s="129">
        <f t="shared" si="22"/>
        <v>967</v>
      </c>
    </row>
    <row r="66" spans="1:17" s="53" customFormat="1" ht="18" customHeight="1" x14ac:dyDescent="0.2">
      <c r="A66" s="392"/>
      <c r="B66" s="238" t="s">
        <v>10</v>
      </c>
      <c r="C66" s="238">
        <f>C64+C65</f>
        <v>92</v>
      </c>
      <c r="D66" s="283">
        <f t="shared" ref="D66:L66" si="28">D64+D65</f>
        <v>87</v>
      </c>
      <c r="E66" s="283">
        <f t="shared" si="28"/>
        <v>92</v>
      </c>
      <c r="F66" s="283">
        <f t="shared" si="28"/>
        <v>93</v>
      </c>
      <c r="G66" s="291">
        <f t="shared" si="28"/>
        <v>86</v>
      </c>
      <c r="H66" s="283">
        <f t="shared" si="28"/>
        <v>52</v>
      </c>
      <c r="I66" s="283">
        <f t="shared" si="28"/>
        <v>45.911999999999999</v>
      </c>
      <c r="J66" s="283">
        <f t="shared" si="28"/>
        <v>55.653999999999996</v>
      </c>
      <c r="K66" s="283">
        <f t="shared" si="28"/>
        <v>53.003</v>
      </c>
      <c r="L66" s="291">
        <f t="shared" si="28"/>
        <v>60.970999999999997</v>
      </c>
      <c r="M66" s="288">
        <f t="shared" si="18"/>
        <v>565.21739130434776</v>
      </c>
      <c r="N66" s="288">
        <f t="shared" si="19"/>
        <v>527.72413793103442</v>
      </c>
      <c r="O66" s="288">
        <f t="shared" si="20"/>
        <v>604.93478260869563</v>
      </c>
      <c r="P66" s="288">
        <f t="shared" si="21"/>
        <v>569.92473118279577</v>
      </c>
      <c r="Q66" s="288">
        <f t="shared" si="22"/>
        <v>708.96511627906978</v>
      </c>
    </row>
    <row r="67" spans="1:17" s="53" customFormat="1" ht="18" hidden="1" customHeight="1" x14ac:dyDescent="0.2">
      <c r="A67" s="238" t="s">
        <v>90</v>
      </c>
      <c r="B67" s="128" t="s">
        <v>9</v>
      </c>
      <c r="C67" s="128">
        <v>0</v>
      </c>
      <c r="D67" s="128">
        <v>0</v>
      </c>
      <c r="E67" s="128">
        <v>0</v>
      </c>
      <c r="F67" s="128">
        <v>0</v>
      </c>
      <c r="G67" s="128"/>
      <c r="H67" s="128">
        <v>0</v>
      </c>
      <c r="I67" s="128">
        <v>0</v>
      </c>
      <c r="J67" s="128">
        <v>0</v>
      </c>
      <c r="K67" s="128">
        <v>0</v>
      </c>
      <c r="L67" s="128"/>
      <c r="M67" s="129" t="e">
        <f t="shared" si="18"/>
        <v>#DIV/0!</v>
      </c>
      <c r="N67" s="129" t="e">
        <f t="shared" si="19"/>
        <v>#DIV/0!</v>
      </c>
      <c r="O67" s="129" t="e">
        <f t="shared" si="20"/>
        <v>#DIV/0!</v>
      </c>
      <c r="P67" s="129" t="e">
        <f t="shared" si="21"/>
        <v>#DIV/0!</v>
      </c>
      <c r="Q67" s="129" t="e">
        <f t="shared" si="22"/>
        <v>#DIV/0!</v>
      </c>
    </row>
    <row r="68" spans="1:17" s="53" customFormat="1" ht="18" customHeight="1" x14ac:dyDescent="0.2">
      <c r="A68" s="392" t="s">
        <v>96</v>
      </c>
      <c r="B68" s="128" t="s">
        <v>8</v>
      </c>
      <c r="C68" s="128">
        <v>1.238</v>
      </c>
      <c r="D68" s="128">
        <v>1.5</v>
      </c>
      <c r="E68" s="128">
        <v>2.5939999999999999</v>
      </c>
      <c r="F68" s="128">
        <v>2.2490000000000001</v>
      </c>
      <c r="G68" s="128">
        <v>2.0760000000000001</v>
      </c>
      <c r="H68" s="128">
        <v>1.1060000000000001</v>
      </c>
      <c r="I68" s="128">
        <v>1.35</v>
      </c>
      <c r="J68" s="128">
        <v>1.9480939999999998</v>
      </c>
      <c r="K68" s="128">
        <v>1.8959070000000002</v>
      </c>
      <c r="L68" s="128">
        <v>1.662876</v>
      </c>
      <c r="M68" s="129">
        <f t="shared" si="18"/>
        <v>893.37641357027474</v>
      </c>
      <c r="N68" s="129">
        <f t="shared" si="19"/>
        <v>900</v>
      </c>
      <c r="O68" s="129">
        <f t="shared" si="20"/>
        <v>751</v>
      </c>
      <c r="P68" s="129">
        <f t="shared" si="21"/>
        <v>843.00000000000011</v>
      </c>
      <c r="Q68" s="129">
        <f t="shared" si="22"/>
        <v>800.99999999999989</v>
      </c>
    </row>
    <row r="69" spans="1:17" s="53" customFormat="1" ht="18" customHeight="1" x14ac:dyDescent="0.2">
      <c r="A69" s="392"/>
      <c r="B69" s="128" t="s">
        <v>9</v>
      </c>
      <c r="C69" s="128">
        <v>2.76</v>
      </c>
      <c r="D69" s="128">
        <v>70.8</v>
      </c>
      <c r="E69" s="128">
        <v>62.083000000000006</v>
      </c>
      <c r="F69" s="128">
        <v>72.13300000000001</v>
      </c>
      <c r="G69" s="128">
        <v>72.643000000000001</v>
      </c>
      <c r="H69" s="128">
        <v>1.919</v>
      </c>
      <c r="I69" s="128">
        <v>50.419999999999995</v>
      </c>
      <c r="J69" s="128">
        <v>29.888999999999999</v>
      </c>
      <c r="K69" s="128">
        <v>30.161999999999999</v>
      </c>
      <c r="L69" s="128">
        <v>53.102033000000006</v>
      </c>
      <c r="M69" s="129">
        <f t="shared" si="18"/>
        <v>695.28985507246387</v>
      </c>
      <c r="N69" s="129">
        <f t="shared" si="19"/>
        <v>712.1468926553672</v>
      </c>
      <c r="O69" s="129">
        <f t="shared" si="20"/>
        <v>481.43614193901709</v>
      </c>
      <c r="P69" s="129">
        <f t="shared" si="21"/>
        <v>418.14426129510758</v>
      </c>
      <c r="Q69" s="129">
        <f t="shared" si="22"/>
        <v>731.00000000000011</v>
      </c>
    </row>
    <row r="70" spans="1:17" s="53" customFormat="1" ht="18" customHeight="1" x14ac:dyDescent="0.2">
      <c r="A70" s="392"/>
      <c r="B70" s="128" t="s">
        <v>10</v>
      </c>
      <c r="C70" s="128">
        <f>C68+C69</f>
        <v>3.9979999999999998</v>
      </c>
      <c r="D70" s="128">
        <f t="shared" ref="D70:L70" si="29">D68+D69</f>
        <v>72.3</v>
      </c>
      <c r="E70" s="128">
        <f t="shared" si="29"/>
        <v>64.677000000000007</v>
      </c>
      <c r="F70" s="128">
        <f t="shared" si="29"/>
        <v>74.382000000000005</v>
      </c>
      <c r="G70" s="128">
        <f t="shared" si="29"/>
        <v>74.718999999999994</v>
      </c>
      <c r="H70" s="128">
        <f t="shared" si="29"/>
        <v>3.0250000000000004</v>
      </c>
      <c r="I70" s="128">
        <f t="shared" si="29"/>
        <v>51.769999999999996</v>
      </c>
      <c r="J70" s="128">
        <f t="shared" si="29"/>
        <v>31.837094</v>
      </c>
      <c r="K70" s="128">
        <f t="shared" si="29"/>
        <v>32.057907</v>
      </c>
      <c r="L70" s="128">
        <f t="shared" si="29"/>
        <v>54.764909000000003</v>
      </c>
      <c r="M70" s="129">
        <f t="shared" si="18"/>
        <v>756.62831415707865</v>
      </c>
      <c r="N70" s="129">
        <f t="shared" si="19"/>
        <v>716.04426002766252</v>
      </c>
      <c r="O70" s="129">
        <f t="shared" si="20"/>
        <v>492.24753776458397</v>
      </c>
      <c r="P70" s="129">
        <f t="shared" si="21"/>
        <v>430.99011857707507</v>
      </c>
      <c r="Q70" s="129">
        <f t="shared" si="22"/>
        <v>732.94488684270414</v>
      </c>
    </row>
    <row r="71" spans="1:17" s="53" customFormat="1" ht="18" customHeight="1" x14ac:dyDescent="0.2">
      <c r="A71" s="238" t="s">
        <v>102</v>
      </c>
      <c r="B71" s="128" t="s">
        <v>9</v>
      </c>
      <c r="C71" s="128">
        <v>0.77</v>
      </c>
      <c r="D71" s="128">
        <v>0.19400000000000001</v>
      </c>
      <c r="E71" s="128">
        <v>9.98E-2</v>
      </c>
      <c r="F71" s="128">
        <v>0.36349999999999999</v>
      </c>
      <c r="G71" s="128">
        <v>0.23180000000000001</v>
      </c>
      <c r="H71" s="128">
        <v>0.223</v>
      </c>
      <c r="I71" s="128">
        <v>6.0334000000000006E-2</v>
      </c>
      <c r="J71" s="128">
        <v>2.0957999999999997E-2</v>
      </c>
      <c r="K71" s="128">
        <v>0.21700949999999999</v>
      </c>
      <c r="L71" s="128">
        <v>9.7356000000000012E-2</v>
      </c>
      <c r="M71" s="129">
        <f t="shared" si="18"/>
        <v>289.61038961038957</v>
      </c>
      <c r="N71" s="129">
        <f t="shared" si="19"/>
        <v>311</v>
      </c>
      <c r="O71" s="129">
        <f t="shared" si="20"/>
        <v>209.99999999999997</v>
      </c>
      <c r="P71" s="129">
        <f t="shared" si="21"/>
        <v>597</v>
      </c>
      <c r="Q71" s="129">
        <f t="shared" si="22"/>
        <v>420.00000000000006</v>
      </c>
    </row>
    <row r="72" spans="1:17" s="53" customFormat="1" ht="18" customHeight="1" x14ac:dyDescent="0.2">
      <c r="A72" s="392" t="s">
        <v>113</v>
      </c>
      <c r="B72" s="128" t="s">
        <v>8</v>
      </c>
      <c r="C72" s="128">
        <v>8.0000000000000002E-3</v>
      </c>
      <c r="D72" s="128">
        <v>3.0000000000000001E-3</v>
      </c>
      <c r="E72" s="128">
        <v>5.0000000000000001E-3</v>
      </c>
      <c r="F72" s="128">
        <v>2.12E-2</v>
      </c>
      <c r="G72" s="128">
        <v>0</v>
      </c>
      <c r="H72" s="128">
        <v>5.0000000000000001E-3</v>
      </c>
      <c r="I72" s="128">
        <v>3.0000000000000001E-3</v>
      </c>
      <c r="J72" s="128">
        <v>4.0000000000000001E-3</v>
      </c>
      <c r="K72" s="128">
        <v>1.5900000000000001E-2</v>
      </c>
      <c r="L72" s="128">
        <v>0</v>
      </c>
      <c r="M72" s="129">
        <f t="shared" si="18"/>
        <v>625</v>
      </c>
      <c r="N72" s="129">
        <f t="shared" si="19"/>
        <v>1000</v>
      </c>
      <c r="O72" s="129">
        <f t="shared" si="20"/>
        <v>800</v>
      </c>
      <c r="P72" s="129">
        <f t="shared" si="21"/>
        <v>750</v>
      </c>
      <c r="Q72" s="129" t="e">
        <f t="shared" si="22"/>
        <v>#DIV/0!</v>
      </c>
    </row>
    <row r="73" spans="1:17" s="53" customFormat="1" ht="18" customHeight="1" x14ac:dyDescent="0.2">
      <c r="A73" s="392"/>
      <c r="B73" s="128" t="s">
        <v>9</v>
      </c>
      <c r="C73" s="128">
        <v>0.75800000000000001</v>
      </c>
      <c r="D73" s="128">
        <v>0.63600000000000001</v>
      </c>
      <c r="E73" s="128">
        <v>0.66</v>
      </c>
      <c r="F73" s="128">
        <v>0.629</v>
      </c>
      <c r="G73" s="128">
        <v>0.60499999999999998</v>
      </c>
      <c r="H73" s="128">
        <v>9.0999999999999998E-2</v>
      </c>
      <c r="I73" s="128">
        <v>0.57240000000000002</v>
      </c>
      <c r="J73" s="128">
        <v>0.27390000000000003</v>
      </c>
      <c r="K73" s="128">
        <v>0.15599199999999999</v>
      </c>
      <c r="L73" s="128">
        <v>0.13128499999999999</v>
      </c>
      <c r="M73" s="129">
        <f t="shared" si="18"/>
        <v>120.05277044854881</v>
      </c>
      <c r="N73" s="129">
        <f t="shared" si="19"/>
        <v>900</v>
      </c>
      <c r="O73" s="129">
        <f t="shared" si="20"/>
        <v>415.00000000000006</v>
      </c>
      <c r="P73" s="129">
        <f t="shared" si="21"/>
        <v>248</v>
      </c>
      <c r="Q73" s="129">
        <f t="shared" si="22"/>
        <v>216.99999999999997</v>
      </c>
    </row>
    <row r="74" spans="1:17" s="53" customFormat="1" ht="18" customHeight="1" x14ac:dyDescent="0.2">
      <c r="A74" s="392"/>
      <c r="B74" s="128" t="s">
        <v>10</v>
      </c>
      <c r="C74" s="128">
        <f>C72+C73</f>
        <v>0.76600000000000001</v>
      </c>
      <c r="D74" s="128">
        <f t="shared" ref="D74:L74" si="30">D72+D73</f>
        <v>0.63900000000000001</v>
      </c>
      <c r="E74" s="128">
        <f t="shared" si="30"/>
        <v>0.66500000000000004</v>
      </c>
      <c r="F74" s="128">
        <f t="shared" si="30"/>
        <v>0.6502</v>
      </c>
      <c r="G74" s="128">
        <f t="shared" si="30"/>
        <v>0.60499999999999998</v>
      </c>
      <c r="H74" s="128">
        <f t="shared" si="30"/>
        <v>9.6000000000000002E-2</v>
      </c>
      <c r="I74" s="128">
        <f t="shared" si="30"/>
        <v>0.57540000000000002</v>
      </c>
      <c r="J74" s="128">
        <f t="shared" si="30"/>
        <v>0.27790000000000004</v>
      </c>
      <c r="K74" s="128">
        <f t="shared" si="30"/>
        <v>0.17189199999999999</v>
      </c>
      <c r="L74" s="128">
        <f t="shared" si="30"/>
        <v>0.13128499999999999</v>
      </c>
      <c r="M74" s="129">
        <f t="shared" si="18"/>
        <v>125.32637075718014</v>
      </c>
      <c r="N74" s="129">
        <f t="shared" si="19"/>
        <v>900.46948356807513</v>
      </c>
      <c r="O74" s="129">
        <f t="shared" si="20"/>
        <v>417.89473684210532</v>
      </c>
      <c r="P74" s="129">
        <f t="shared" si="21"/>
        <v>264.36788680406028</v>
      </c>
      <c r="Q74" s="129">
        <f t="shared" si="22"/>
        <v>216.99999999999997</v>
      </c>
    </row>
    <row r="75" spans="1:17" s="80" customFormat="1" ht="18" customHeight="1" x14ac:dyDescent="0.2">
      <c r="A75" s="392" t="s">
        <v>46</v>
      </c>
      <c r="B75" s="238" t="s">
        <v>8</v>
      </c>
      <c r="C75" s="335">
        <f t="shared" ref="C75:F75" si="31">C72+C68+C64+C61+C58+C55+C52+C49+C40+C33+C30+C29+C26+C25+C24+C23+C20+C17+C14+C11+C9+C6+C36+C39</f>
        <v>3369.5879999999993</v>
      </c>
      <c r="D75" s="335">
        <f t="shared" si="31"/>
        <v>3259.0839999999998</v>
      </c>
      <c r="E75" s="335">
        <f t="shared" si="31"/>
        <v>3832.0119999999997</v>
      </c>
      <c r="F75" s="335">
        <f t="shared" si="31"/>
        <v>3521.3872000000006</v>
      </c>
      <c r="G75" s="291">
        <f>G72+G68+G64+G61+G58+G55+G52+G49+G40+G33+G30+G29+G26+G25+G24+G23+G20+G17+G14+G11+G9+G6+G36+G39</f>
        <v>3822.3949999999995</v>
      </c>
      <c r="H75" s="284">
        <f t="shared" ref="H75:L75" si="32">H72+H68+H64+H61+H58+H55+H52+H49+H40+H33+H30+H29+H26+H25+H24+H23+H20+H17+H14+H11+H9+H6+H36+H39</f>
        <v>1643.1840000000002</v>
      </c>
      <c r="I75" s="284">
        <f t="shared" si="32"/>
        <v>1433.2262890000006</v>
      </c>
      <c r="J75" s="284">
        <f t="shared" si="32"/>
        <v>1784.1993869999997</v>
      </c>
      <c r="K75" s="284">
        <f t="shared" si="32"/>
        <v>1826.2322650000001</v>
      </c>
      <c r="L75" s="291">
        <f t="shared" si="32"/>
        <v>1996.3998119999997</v>
      </c>
      <c r="M75" s="288">
        <f t="shared" si="18"/>
        <v>487.65130929953472</v>
      </c>
      <c r="N75" s="288">
        <f t="shared" si="19"/>
        <v>439.76353140943917</v>
      </c>
      <c r="O75" s="288">
        <f t="shared" si="20"/>
        <v>465.60380995675371</v>
      </c>
      <c r="P75" s="288">
        <f t="shared" si="21"/>
        <v>518.61160425641344</v>
      </c>
      <c r="Q75" s="288">
        <f t="shared" si="22"/>
        <v>522.29029495905058</v>
      </c>
    </row>
    <row r="76" spans="1:17" s="80" customFormat="1" ht="18" customHeight="1" x14ac:dyDescent="0.2">
      <c r="A76" s="392"/>
      <c r="B76" s="238" t="s">
        <v>9</v>
      </c>
      <c r="C76" s="335">
        <f>C73+C71+C69+C67+C65+C62+C59+C56+C50+C41+C34+C31+C27+C21+C18+C15+C12+C10+C7+C37+C53</f>
        <v>957.21300000000008</v>
      </c>
      <c r="D76" s="336">
        <f t="shared" ref="D76:L76" si="33">D73+D71+D69+D67+D65+D62+D59+D56+D50+D41+D34+D31+D27+D21+D18+D15+D12+D10+D7+D37+D53</f>
        <v>983.20400000000006</v>
      </c>
      <c r="E76" s="336">
        <f t="shared" si="33"/>
        <v>922.94679999999994</v>
      </c>
      <c r="F76" s="336">
        <f t="shared" si="33"/>
        <v>1059.1574999999998</v>
      </c>
      <c r="G76" s="336">
        <f t="shared" si="33"/>
        <v>1307.7757999999999</v>
      </c>
      <c r="H76" s="336">
        <f t="shared" si="33"/>
        <v>522.17939999999999</v>
      </c>
      <c r="I76" s="336">
        <f t="shared" si="33"/>
        <v>589.95610199999999</v>
      </c>
      <c r="J76" s="336">
        <f t="shared" si="33"/>
        <v>671.17432100000008</v>
      </c>
      <c r="K76" s="336">
        <f t="shared" si="33"/>
        <v>682.63952450000011</v>
      </c>
      <c r="L76" s="336">
        <f t="shared" si="33"/>
        <v>1088.9533389999999</v>
      </c>
      <c r="M76" s="288">
        <f t="shared" si="18"/>
        <v>545.52058946127966</v>
      </c>
      <c r="N76" s="288">
        <f t="shared" si="19"/>
        <v>600.03427772873169</v>
      </c>
      <c r="O76" s="288">
        <f t="shared" si="20"/>
        <v>727.20802650813687</v>
      </c>
      <c r="P76" s="288">
        <f t="shared" si="21"/>
        <v>644.51181670337053</v>
      </c>
      <c r="Q76" s="288">
        <f t="shared" si="22"/>
        <v>832.67586003655981</v>
      </c>
    </row>
    <row r="77" spans="1:17" s="80" customFormat="1" ht="18" customHeight="1" x14ac:dyDescent="0.2">
      <c r="A77" s="392"/>
      <c r="B77" s="238" t="s">
        <v>10</v>
      </c>
      <c r="C77" s="335">
        <f t="shared" ref="C77:F77" si="34">C76+C75</f>
        <v>4326.8009999999995</v>
      </c>
      <c r="D77" s="335">
        <f t="shared" si="34"/>
        <v>4242.2879999999996</v>
      </c>
      <c r="E77" s="335">
        <f t="shared" si="34"/>
        <v>4754.9587999999994</v>
      </c>
      <c r="F77" s="335">
        <f t="shared" si="34"/>
        <v>4580.5447000000004</v>
      </c>
      <c r="G77" s="291">
        <f t="shared" ref="G77:K77" si="35">G76+G75</f>
        <v>5130.1707999999999</v>
      </c>
      <c r="H77" s="283">
        <f t="shared" si="35"/>
        <v>2165.3634000000002</v>
      </c>
      <c r="I77" s="283">
        <f t="shared" si="35"/>
        <v>2023.1823910000007</v>
      </c>
      <c r="J77" s="283">
        <f t="shared" si="35"/>
        <v>2455.3737079999996</v>
      </c>
      <c r="K77" s="283">
        <f t="shared" si="35"/>
        <v>2508.8717895</v>
      </c>
      <c r="L77" s="291">
        <f>L76+L75</f>
        <v>3085.3531509999993</v>
      </c>
      <c r="M77" s="288">
        <f t="shared" si="18"/>
        <v>500.45366079928345</v>
      </c>
      <c r="N77" s="288">
        <f t="shared" si="19"/>
        <v>476.90830773393998</v>
      </c>
      <c r="O77" s="288">
        <f t="shared" si="20"/>
        <v>516.38169987929223</v>
      </c>
      <c r="P77" s="288">
        <f t="shared" si="21"/>
        <v>547.72345950471777</v>
      </c>
      <c r="Q77" s="288">
        <f t="shared" si="22"/>
        <v>601.41333910364142</v>
      </c>
    </row>
    <row r="78" spans="1:17" x14ac:dyDescent="0.2">
      <c r="N78" s="38" t="s">
        <v>33</v>
      </c>
    </row>
  </sheetData>
  <mergeCells count="30">
    <mergeCell ref="A6:A8"/>
    <mergeCell ref="A11:A13"/>
    <mergeCell ref="A14:A16"/>
    <mergeCell ref="A17:A19"/>
    <mergeCell ref="A20:A22"/>
    <mergeCell ref="B46:B47"/>
    <mergeCell ref="C46:G46"/>
    <mergeCell ref="H46:L46"/>
    <mergeCell ref="M46:Q46"/>
    <mergeCell ref="A26:A28"/>
    <mergeCell ref="A30:A32"/>
    <mergeCell ref="A33:A35"/>
    <mergeCell ref="A40:A42"/>
    <mergeCell ref="A36:A38"/>
    <mergeCell ref="A46:A47"/>
    <mergeCell ref="A68:A70"/>
    <mergeCell ref="A72:A74"/>
    <mergeCell ref="A75:A77"/>
    <mergeCell ref="A49:A51"/>
    <mergeCell ref="A55:A57"/>
    <mergeCell ref="A58:A60"/>
    <mergeCell ref="A61:A63"/>
    <mergeCell ref="A52:A54"/>
    <mergeCell ref="A64:A66"/>
    <mergeCell ref="A1:Q1"/>
    <mergeCell ref="A3:A4"/>
    <mergeCell ref="B3:B4"/>
    <mergeCell ref="C3:G3"/>
    <mergeCell ref="M3:Q3"/>
    <mergeCell ref="H3:L3"/>
  </mergeCells>
  <printOptions horizontalCentered="1" verticalCentered="1"/>
  <pageMargins left="0.43307086614173201" right="0" top="0.511811023622047" bottom="0" header="0.31496062992126" footer="0.31496062992126"/>
  <pageSetup paperSize="9" scale="68" orientation="landscape" r:id="rId1"/>
  <rowBreaks count="1" manualBreakCount="1">
    <brk id="4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2"/>
  <sheetViews>
    <sheetView tabSelected="1" view="pageBreakPreview" zoomScale="80" zoomScaleNormal="80" zoomScaleSheetLayoutView="80" workbookViewId="0">
      <pane xSplit="2" ySplit="5" topLeftCell="C36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4" style="4" customWidth="1"/>
    <col min="2" max="2" width="11.7109375" style="4" customWidth="1"/>
    <col min="3" max="3" width="13.28515625" style="13" bestFit="1" customWidth="1"/>
    <col min="4" max="4" width="13" style="13" bestFit="1" customWidth="1"/>
    <col min="5" max="7" width="12.42578125" style="13" customWidth="1"/>
    <col min="8" max="9" width="13.42578125" style="13" customWidth="1"/>
    <col min="10" max="12" width="13.85546875" style="13" customWidth="1"/>
    <col min="13" max="17" width="11.28515625" style="4" customWidth="1"/>
    <col min="18" max="16384" width="9.140625" style="4"/>
  </cols>
  <sheetData>
    <row r="1" spans="1:17" ht="24.75" customHeight="1" x14ac:dyDescent="0.2"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7" ht="23.25" customHeight="1" x14ac:dyDescent="0.2">
      <c r="A2" s="351" t="s">
        <v>166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</row>
    <row r="3" spans="1:17" ht="20.100000000000001" customHeight="1" x14ac:dyDescent="0.2">
      <c r="A3" s="352" t="s">
        <v>1</v>
      </c>
      <c r="B3" s="340" t="s">
        <v>0</v>
      </c>
      <c r="C3" s="342" t="s">
        <v>174</v>
      </c>
      <c r="D3" s="342"/>
      <c r="E3" s="342"/>
      <c r="F3" s="342"/>
      <c r="G3" s="342"/>
      <c r="H3" s="342" t="s">
        <v>68</v>
      </c>
      <c r="I3" s="342"/>
      <c r="J3" s="342"/>
      <c r="K3" s="342"/>
      <c r="L3" s="342"/>
      <c r="M3" s="342" t="s">
        <v>89</v>
      </c>
      <c r="N3" s="342"/>
      <c r="O3" s="342"/>
      <c r="P3" s="342"/>
      <c r="Q3" s="342"/>
    </row>
    <row r="4" spans="1:17" ht="18" customHeight="1" x14ac:dyDescent="0.2">
      <c r="A4" s="352"/>
      <c r="B4" s="340"/>
      <c r="C4" s="229" t="s">
        <v>112</v>
      </c>
      <c r="D4" s="229" t="s">
        <v>164</v>
      </c>
      <c r="E4" s="229" t="s">
        <v>199</v>
      </c>
      <c r="F4" s="229" t="s">
        <v>200</v>
      </c>
      <c r="G4" s="273" t="s">
        <v>202</v>
      </c>
      <c r="H4" s="270" t="s">
        <v>112</v>
      </c>
      <c r="I4" s="270" t="s">
        <v>164</v>
      </c>
      <c r="J4" s="270" t="s">
        <v>199</v>
      </c>
      <c r="K4" s="270" t="s">
        <v>200</v>
      </c>
      <c r="L4" s="273" t="s">
        <v>202</v>
      </c>
      <c r="M4" s="339" t="s">
        <v>112</v>
      </c>
      <c r="N4" s="339" t="s">
        <v>164</v>
      </c>
      <c r="O4" s="339" t="s">
        <v>199</v>
      </c>
      <c r="P4" s="339" t="s">
        <v>200</v>
      </c>
      <c r="Q4" s="339" t="s">
        <v>202</v>
      </c>
    </row>
    <row r="5" spans="1:17" s="14" customFormat="1" ht="18" x14ac:dyDescent="0.2">
      <c r="A5" s="222">
        <v>1</v>
      </c>
      <c r="B5" s="108">
        <v>2</v>
      </c>
      <c r="C5" s="233">
        <v>3</v>
      </c>
      <c r="D5" s="233">
        <v>4</v>
      </c>
      <c r="E5" s="233">
        <v>5</v>
      </c>
      <c r="F5" s="233">
        <v>6</v>
      </c>
      <c r="G5" s="233">
        <v>7</v>
      </c>
      <c r="H5" s="233">
        <v>8</v>
      </c>
      <c r="I5" s="233">
        <v>9</v>
      </c>
      <c r="J5" s="233">
        <v>10</v>
      </c>
      <c r="K5" s="233">
        <v>11</v>
      </c>
      <c r="L5" s="233">
        <v>12</v>
      </c>
      <c r="M5" s="233">
        <v>13</v>
      </c>
      <c r="N5" s="233">
        <v>14</v>
      </c>
      <c r="O5" s="233">
        <v>15</v>
      </c>
      <c r="P5" s="233">
        <v>16</v>
      </c>
      <c r="Q5" s="233">
        <v>17</v>
      </c>
    </row>
    <row r="6" spans="1:17" ht="18" customHeight="1" x14ac:dyDescent="0.2">
      <c r="A6" s="346" t="s">
        <v>2</v>
      </c>
      <c r="B6" s="187" t="s">
        <v>8</v>
      </c>
      <c r="C6" s="170">
        <v>1520</v>
      </c>
      <c r="D6" s="170">
        <v>1477</v>
      </c>
      <c r="E6" s="170">
        <v>1564</v>
      </c>
      <c r="F6" s="170">
        <v>1526</v>
      </c>
      <c r="G6" s="96">
        <v>1496</v>
      </c>
      <c r="H6" s="170">
        <v>4855.0320000000002</v>
      </c>
      <c r="I6" s="96">
        <v>4941.333333333333</v>
      </c>
      <c r="J6" s="96">
        <v>5243.333333333333</v>
      </c>
      <c r="K6" s="96">
        <v>5116.6779999999999</v>
      </c>
      <c r="L6" s="96">
        <v>4211.24</v>
      </c>
      <c r="M6" s="99">
        <f>H6/C6*1000</f>
        <v>3194.1000000000004</v>
      </c>
      <c r="N6" s="99">
        <f t="shared" ref="N6:Q6" si="0">I6/D6*1000</f>
        <v>3345.5201986007669</v>
      </c>
      <c r="O6" s="99">
        <f t="shared" si="0"/>
        <v>3352.5149190110824</v>
      </c>
      <c r="P6" s="99">
        <f t="shared" si="0"/>
        <v>3352.9999999999995</v>
      </c>
      <c r="Q6" s="99">
        <f t="shared" si="0"/>
        <v>2815</v>
      </c>
    </row>
    <row r="7" spans="1:17" ht="18" customHeight="1" x14ac:dyDescent="0.2">
      <c r="A7" s="346"/>
      <c r="B7" s="187" t="s">
        <v>9</v>
      </c>
      <c r="C7" s="170">
        <v>585</v>
      </c>
      <c r="D7" s="170">
        <v>679</v>
      </c>
      <c r="E7" s="170">
        <v>644</v>
      </c>
      <c r="F7" s="170">
        <v>774.1</v>
      </c>
      <c r="G7" s="96">
        <v>827.5</v>
      </c>
      <c r="H7" s="170">
        <v>2597.4</v>
      </c>
      <c r="I7" s="96">
        <v>3224.8681961313541</v>
      </c>
      <c r="J7" s="96">
        <v>2991.3333333333339</v>
      </c>
      <c r="K7" s="96">
        <v>3542.2069879518072</v>
      </c>
      <c r="L7" s="96">
        <v>3671.6174999999998</v>
      </c>
      <c r="M7" s="99">
        <f t="shared" ref="M7:M56" si="1">H7/C7*1000</f>
        <v>4440</v>
      </c>
      <c r="N7" s="99">
        <f t="shared" ref="N7:N56" si="2">I7/D7*1000</f>
        <v>4749.4376968061179</v>
      </c>
      <c r="O7" s="99">
        <f t="shared" ref="O7:O56" si="3">J7/E7*1000</f>
        <v>4644.9275362318849</v>
      </c>
      <c r="P7" s="99">
        <f t="shared" ref="P7:P56" si="4">K7/F7*1000</f>
        <v>4575.9036144578304</v>
      </c>
      <c r="Q7" s="99">
        <f t="shared" ref="Q7:Q56" si="5">L7/G7*1000</f>
        <v>4436.9999999999991</v>
      </c>
    </row>
    <row r="8" spans="1:17" s="8" customFormat="1" ht="18" customHeight="1" x14ac:dyDescent="0.2">
      <c r="A8" s="347"/>
      <c r="B8" s="32" t="s">
        <v>10</v>
      </c>
      <c r="C8" s="103">
        <f>C7+C6</f>
        <v>2105</v>
      </c>
      <c r="D8" s="103">
        <f t="shared" ref="D8:L8" si="6">D7+D6</f>
        <v>2156</v>
      </c>
      <c r="E8" s="103">
        <f t="shared" si="6"/>
        <v>2208</v>
      </c>
      <c r="F8" s="103">
        <f t="shared" si="6"/>
        <v>2300.1</v>
      </c>
      <c r="G8" s="103">
        <f t="shared" si="6"/>
        <v>2323.5</v>
      </c>
      <c r="H8" s="103">
        <f t="shared" si="6"/>
        <v>7452.4320000000007</v>
      </c>
      <c r="I8" s="103">
        <f t="shared" si="6"/>
        <v>8166.2015294646872</v>
      </c>
      <c r="J8" s="103">
        <f t="shared" si="6"/>
        <v>8234.6666666666679</v>
      </c>
      <c r="K8" s="103">
        <f t="shared" si="6"/>
        <v>8658.8849879518075</v>
      </c>
      <c r="L8" s="103">
        <f t="shared" si="6"/>
        <v>7882.8575000000001</v>
      </c>
      <c r="M8" s="285">
        <f t="shared" si="1"/>
        <v>3540.3477434679339</v>
      </c>
      <c r="N8" s="285">
        <f t="shared" si="2"/>
        <v>3787.6630470615432</v>
      </c>
      <c r="O8" s="285">
        <f t="shared" si="3"/>
        <v>3729.4685990338171</v>
      </c>
      <c r="P8" s="285">
        <f t="shared" si="4"/>
        <v>3764.568926547458</v>
      </c>
      <c r="Q8" s="285">
        <f t="shared" si="5"/>
        <v>3392.6651603184851</v>
      </c>
    </row>
    <row r="9" spans="1:17" ht="18" customHeight="1" x14ac:dyDescent="0.2">
      <c r="A9" s="353" t="s">
        <v>24</v>
      </c>
      <c r="B9" s="187" t="s">
        <v>8</v>
      </c>
      <c r="C9" s="170">
        <v>130.505</v>
      </c>
      <c r="D9" s="170">
        <v>131.505</v>
      </c>
      <c r="E9" s="170">
        <v>133.19999999999999</v>
      </c>
      <c r="F9" s="170">
        <v>133.00800000000001</v>
      </c>
      <c r="G9" s="96">
        <v>133.27000000000001</v>
      </c>
      <c r="H9" s="170">
        <v>219.23000000000002</v>
      </c>
      <c r="I9" s="96">
        <v>232.55999999999997</v>
      </c>
      <c r="J9" s="96">
        <v>240</v>
      </c>
      <c r="K9" s="96">
        <v>244.06968000000003</v>
      </c>
      <c r="L9" s="96">
        <v>246.41623000000001</v>
      </c>
      <c r="M9" s="99">
        <f t="shared" si="1"/>
        <v>1679.8590092333629</v>
      </c>
      <c r="N9" s="99">
        <f t="shared" si="2"/>
        <v>1768.4498688262802</v>
      </c>
      <c r="O9" s="99">
        <f t="shared" si="3"/>
        <v>1801.801801801802</v>
      </c>
      <c r="P9" s="99">
        <f t="shared" si="4"/>
        <v>1835.0000000000002</v>
      </c>
      <c r="Q9" s="99">
        <f t="shared" si="5"/>
        <v>1849</v>
      </c>
    </row>
    <row r="10" spans="1:17" ht="18" customHeight="1" x14ac:dyDescent="0.2">
      <c r="A10" s="354"/>
      <c r="B10" s="187" t="s">
        <v>9</v>
      </c>
      <c r="C10" s="170">
        <v>0.495</v>
      </c>
      <c r="D10" s="170">
        <v>0.495</v>
      </c>
      <c r="E10" s="170">
        <v>0</v>
      </c>
      <c r="F10" s="170">
        <v>0.49199999999999999</v>
      </c>
      <c r="G10" s="96">
        <v>0.495</v>
      </c>
      <c r="H10" s="170">
        <v>0.77</v>
      </c>
      <c r="I10" s="96">
        <v>0.77333333333333332</v>
      </c>
      <c r="J10" s="96">
        <v>0</v>
      </c>
      <c r="K10" s="96">
        <v>0.65780399999999994</v>
      </c>
      <c r="L10" s="96">
        <v>0.6633</v>
      </c>
      <c r="M10" s="99">
        <f t="shared" si="1"/>
        <v>1555.5555555555557</v>
      </c>
      <c r="N10" s="99">
        <f t="shared" si="2"/>
        <v>1562.2895622895624</v>
      </c>
      <c r="O10" s="99" t="e">
        <f t="shared" si="3"/>
        <v>#DIV/0!</v>
      </c>
      <c r="P10" s="99">
        <f t="shared" si="4"/>
        <v>1337</v>
      </c>
      <c r="Q10" s="99">
        <f t="shared" si="5"/>
        <v>1340</v>
      </c>
    </row>
    <row r="11" spans="1:17" s="8" customFormat="1" ht="18" customHeight="1" x14ac:dyDescent="0.2">
      <c r="A11" s="355"/>
      <c r="B11" s="32" t="s">
        <v>10</v>
      </c>
      <c r="C11" s="171">
        <f>C9+C10</f>
        <v>131</v>
      </c>
      <c r="D11" s="171">
        <f t="shared" ref="D11:L11" si="7">D9+D10</f>
        <v>132</v>
      </c>
      <c r="E11" s="171">
        <f t="shared" si="7"/>
        <v>133.19999999999999</v>
      </c>
      <c r="F11" s="171">
        <f t="shared" si="7"/>
        <v>133.5</v>
      </c>
      <c r="G11" s="171">
        <f t="shared" si="7"/>
        <v>133.76500000000001</v>
      </c>
      <c r="H11" s="171">
        <f t="shared" si="7"/>
        <v>220.00000000000003</v>
      </c>
      <c r="I11" s="171">
        <f t="shared" si="7"/>
        <v>233.33333333333331</v>
      </c>
      <c r="J11" s="171">
        <f t="shared" si="7"/>
        <v>240</v>
      </c>
      <c r="K11" s="171">
        <f t="shared" si="7"/>
        <v>244.72748400000003</v>
      </c>
      <c r="L11" s="171">
        <f t="shared" si="7"/>
        <v>247.07953000000001</v>
      </c>
      <c r="M11" s="285">
        <f t="shared" si="1"/>
        <v>1679.3893129770993</v>
      </c>
      <c r="N11" s="285">
        <f t="shared" si="2"/>
        <v>1767.6767676767674</v>
      </c>
      <c r="O11" s="285">
        <f t="shared" si="3"/>
        <v>1801.801801801802</v>
      </c>
      <c r="P11" s="285">
        <f t="shared" si="4"/>
        <v>1833.1646741573036</v>
      </c>
      <c r="Q11" s="285">
        <f t="shared" si="5"/>
        <v>1847.1164355399392</v>
      </c>
    </row>
    <row r="12" spans="1:17" ht="18" customHeight="1" x14ac:dyDescent="0.2">
      <c r="A12" s="188" t="s">
        <v>25</v>
      </c>
      <c r="B12" s="187" t="s">
        <v>110</v>
      </c>
      <c r="C12" s="170">
        <v>2059.0039999999999</v>
      </c>
      <c r="D12" s="170">
        <v>2033.309</v>
      </c>
      <c r="E12" s="170">
        <v>2024.3050000000001</v>
      </c>
      <c r="F12" s="170">
        <v>1895</v>
      </c>
      <c r="G12" s="96">
        <v>1980.4449999999999</v>
      </c>
      <c r="H12" s="97">
        <v>3595.5030000000002</v>
      </c>
      <c r="I12" s="96">
        <v>4092.4690000000005</v>
      </c>
      <c r="J12" s="96">
        <v>4074.9259650000004</v>
      </c>
      <c r="K12" s="96">
        <v>3959.0638172043818</v>
      </c>
      <c r="L12" s="96">
        <v>4143.09094</v>
      </c>
      <c r="M12" s="99">
        <f t="shared" si="1"/>
        <v>1746.2341015364714</v>
      </c>
      <c r="N12" s="99">
        <f t="shared" si="2"/>
        <v>2012.7137587056372</v>
      </c>
      <c r="O12" s="99">
        <f t="shared" si="3"/>
        <v>2013</v>
      </c>
      <c r="P12" s="99">
        <f t="shared" si="4"/>
        <v>2089.2157346724971</v>
      </c>
      <c r="Q12" s="99">
        <f t="shared" si="5"/>
        <v>2092</v>
      </c>
    </row>
    <row r="13" spans="1:17" ht="18" customHeight="1" x14ac:dyDescent="0.2">
      <c r="A13" s="189"/>
      <c r="B13" s="187" t="s">
        <v>9</v>
      </c>
      <c r="C13" s="170">
        <v>408.13200000000001</v>
      </c>
      <c r="D13" s="170">
        <v>400.40199999999999</v>
      </c>
      <c r="E13" s="170">
        <v>400.87299999999999</v>
      </c>
      <c r="F13" s="170">
        <v>395.51499999999999</v>
      </c>
      <c r="G13" s="96">
        <v>380.02499999999998</v>
      </c>
      <c r="H13" s="100">
        <v>1131.8720000000001</v>
      </c>
      <c r="I13" s="96">
        <v>1191.19595</v>
      </c>
      <c r="J13" s="96">
        <v>1145.6950340000001</v>
      </c>
      <c r="K13" s="96">
        <v>1025.570395</v>
      </c>
      <c r="L13" s="96">
        <v>1071.6704999999999</v>
      </c>
      <c r="M13" s="99">
        <f t="shared" si="1"/>
        <v>2773.2988346907373</v>
      </c>
      <c r="N13" s="99">
        <f t="shared" si="2"/>
        <v>2975</v>
      </c>
      <c r="O13" s="99">
        <f t="shared" si="3"/>
        <v>2858</v>
      </c>
      <c r="P13" s="99">
        <f t="shared" si="4"/>
        <v>2593</v>
      </c>
      <c r="Q13" s="99">
        <f t="shared" si="5"/>
        <v>2820</v>
      </c>
    </row>
    <row r="14" spans="1:17" s="8" customFormat="1" ht="18" customHeight="1" x14ac:dyDescent="0.2">
      <c r="A14" s="190"/>
      <c r="B14" s="32" t="s">
        <v>10</v>
      </c>
      <c r="C14" s="103">
        <f t="shared" ref="C14:L14" si="8">C13+C12</f>
        <v>2467.136</v>
      </c>
      <c r="D14" s="103">
        <f t="shared" si="8"/>
        <v>2433.7109999999998</v>
      </c>
      <c r="E14" s="103">
        <f t="shared" si="8"/>
        <v>2425.1779999999999</v>
      </c>
      <c r="F14" s="103">
        <f t="shared" si="8"/>
        <v>2290.5149999999999</v>
      </c>
      <c r="G14" s="103">
        <f t="shared" si="8"/>
        <v>2360.4699999999998</v>
      </c>
      <c r="H14" s="103">
        <f t="shared" si="8"/>
        <v>4727.375</v>
      </c>
      <c r="I14" s="103">
        <f t="shared" si="8"/>
        <v>5283.6649500000003</v>
      </c>
      <c r="J14" s="103">
        <f t="shared" si="8"/>
        <v>5220.6209990000007</v>
      </c>
      <c r="K14" s="103">
        <f t="shared" si="8"/>
        <v>4984.6342122043816</v>
      </c>
      <c r="L14" s="103">
        <f t="shared" si="8"/>
        <v>5214.7614400000002</v>
      </c>
      <c r="M14" s="285">
        <f t="shared" si="1"/>
        <v>1916.1387941321434</v>
      </c>
      <c r="N14" s="285">
        <f t="shared" si="2"/>
        <v>2171.0322014405165</v>
      </c>
      <c r="O14" s="285">
        <f t="shared" si="3"/>
        <v>2152.6753908372912</v>
      </c>
      <c r="P14" s="285">
        <f t="shared" si="4"/>
        <v>2176.2067535922629</v>
      </c>
      <c r="Q14" s="285">
        <f t="shared" si="5"/>
        <v>2209.2047092316361</v>
      </c>
    </row>
    <row r="15" spans="1:17" ht="18" customHeight="1" x14ac:dyDescent="0.2">
      <c r="A15" s="188" t="s">
        <v>3</v>
      </c>
      <c r="B15" s="187" t="s">
        <v>110</v>
      </c>
      <c r="C15" s="97">
        <v>3255.4539999999997</v>
      </c>
      <c r="D15" s="97">
        <v>3239.1179999999999</v>
      </c>
      <c r="E15" s="97">
        <v>3099.3220000000001</v>
      </c>
      <c r="F15" s="97">
        <v>2826</v>
      </c>
      <c r="G15" s="96">
        <v>2961.799</v>
      </c>
      <c r="H15" s="97">
        <v>8014.9277480000001</v>
      </c>
      <c r="I15" s="96">
        <v>7949.3289999999988</v>
      </c>
      <c r="J15" s="96">
        <v>6019.2479999999987</v>
      </c>
      <c r="K15" s="96">
        <v>6169.1580000000004</v>
      </c>
      <c r="L15" s="96">
        <v>6610.7353679999997</v>
      </c>
      <c r="M15" s="99">
        <f t="shared" si="1"/>
        <v>2462</v>
      </c>
      <c r="N15" s="99">
        <f t="shared" si="2"/>
        <v>2454.1646831020048</v>
      </c>
      <c r="O15" s="99">
        <f t="shared" si="3"/>
        <v>1942.1176631534247</v>
      </c>
      <c r="P15" s="99">
        <f t="shared" si="4"/>
        <v>2183.0000000000005</v>
      </c>
      <c r="Q15" s="99">
        <f t="shared" si="5"/>
        <v>2231.9999999999995</v>
      </c>
    </row>
    <row r="16" spans="1:17" ht="18" customHeight="1" x14ac:dyDescent="0.2">
      <c r="A16" s="189"/>
      <c r="B16" s="187" t="s">
        <v>9</v>
      </c>
      <c r="C16" s="100">
        <v>84.322999999999993</v>
      </c>
      <c r="D16" s="100">
        <v>67.864999999999995</v>
      </c>
      <c r="E16" s="100">
        <v>60.4</v>
      </c>
      <c r="F16" s="100">
        <v>60.399000000000001</v>
      </c>
      <c r="G16" s="96">
        <v>59.061</v>
      </c>
      <c r="H16" s="100">
        <v>224.32900000000001</v>
      </c>
      <c r="I16" s="96">
        <v>143.80593500000001</v>
      </c>
      <c r="J16" s="96">
        <v>136.26239999999999</v>
      </c>
      <c r="K16" s="96">
        <v>128.83106699999999</v>
      </c>
      <c r="L16" s="96">
        <v>136.25372700000003</v>
      </c>
      <c r="M16" s="99">
        <f t="shared" si="1"/>
        <v>2660.3536401693491</v>
      </c>
      <c r="N16" s="99">
        <f t="shared" si="2"/>
        <v>2119</v>
      </c>
      <c r="O16" s="99">
        <f t="shared" si="3"/>
        <v>2256</v>
      </c>
      <c r="P16" s="99">
        <f t="shared" si="4"/>
        <v>2133</v>
      </c>
      <c r="Q16" s="99">
        <f t="shared" si="5"/>
        <v>2307.0000000000005</v>
      </c>
    </row>
    <row r="17" spans="1:17" s="8" customFormat="1" ht="18" customHeight="1" x14ac:dyDescent="0.2">
      <c r="A17" s="190"/>
      <c r="B17" s="32" t="s">
        <v>10</v>
      </c>
      <c r="C17" s="103">
        <f t="shared" ref="C17:L17" si="9">C16+C15</f>
        <v>3339.7769999999996</v>
      </c>
      <c r="D17" s="103">
        <f t="shared" si="9"/>
        <v>3306.9829999999997</v>
      </c>
      <c r="E17" s="103">
        <f t="shared" si="9"/>
        <v>3159.7220000000002</v>
      </c>
      <c r="F17" s="103">
        <f t="shared" si="9"/>
        <v>2886.3989999999999</v>
      </c>
      <c r="G17" s="103">
        <f t="shared" si="9"/>
        <v>3020.86</v>
      </c>
      <c r="H17" s="103">
        <f t="shared" si="9"/>
        <v>8239.2567479999998</v>
      </c>
      <c r="I17" s="103">
        <f t="shared" si="9"/>
        <v>8093.1349349999991</v>
      </c>
      <c r="J17" s="103">
        <f t="shared" si="9"/>
        <v>6155.5103999999983</v>
      </c>
      <c r="K17" s="103">
        <f t="shared" si="9"/>
        <v>6297.9890670000004</v>
      </c>
      <c r="L17" s="103">
        <f t="shared" si="9"/>
        <v>6746.9890949999999</v>
      </c>
      <c r="M17" s="285">
        <f t="shared" si="1"/>
        <v>2467.0080511363485</v>
      </c>
      <c r="N17" s="285">
        <f t="shared" si="2"/>
        <v>2447.2865252104411</v>
      </c>
      <c r="O17" s="285">
        <f t="shared" si="3"/>
        <v>1948.1177141533331</v>
      </c>
      <c r="P17" s="285">
        <f t="shared" si="4"/>
        <v>2181.9537309290918</v>
      </c>
      <c r="Q17" s="285">
        <f t="shared" si="5"/>
        <v>2233.4663291248185</v>
      </c>
    </row>
    <row r="18" spans="1:17" s="8" customFormat="1" ht="18" customHeight="1" x14ac:dyDescent="0.2">
      <c r="A18" s="184" t="s">
        <v>192</v>
      </c>
      <c r="B18" s="32" t="s">
        <v>8</v>
      </c>
      <c r="C18" s="102">
        <v>3830</v>
      </c>
      <c r="D18" s="93">
        <v>3761.1</v>
      </c>
      <c r="E18" s="93">
        <v>3606</v>
      </c>
      <c r="F18" s="93">
        <v>3666</v>
      </c>
      <c r="G18" s="308">
        <v>3791</v>
      </c>
      <c r="H18" s="102">
        <v>8048.4</v>
      </c>
      <c r="I18" s="93">
        <v>4930.8020999999999</v>
      </c>
      <c r="J18" s="93">
        <v>6526.86</v>
      </c>
      <c r="K18" s="93">
        <v>6774.768</v>
      </c>
      <c r="L18" s="309">
        <v>7161.1989999999996</v>
      </c>
      <c r="M18" s="285">
        <f t="shared" si="1"/>
        <v>2101.4099216710179</v>
      </c>
      <c r="N18" s="285">
        <f t="shared" si="2"/>
        <v>1311</v>
      </c>
      <c r="O18" s="285">
        <f t="shared" si="3"/>
        <v>1809.9999999999998</v>
      </c>
      <c r="P18" s="285">
        <f t="shared" si="4"/>
        <v>1848</v>
      </c>
      <c r="Q18" s="285">
        <f t="shared" si="5"/>
        <v>1888.9999999999998</v>
      </c>
    </row>
    <row r="19" spans="1:17" ht="18" customHeight="1" x14ac:dyDescent="0.2">
      <c r="A19" s="188" t="s">
        <v>15</v>
      </c>
      <c r="B19" s="187" t="s">
        <v>8</v>
      </c>
      <c r="C19" s="97">
        <v>27.63</v>
      </c>
      <c r="D19" s="97">
        <v>27.219000000000001</v>
      </c>
      <c r="E19" s="97">
        <v>25.841000000000001</v>
      </c>
      <c r="F19" s="97">
        <v>24.411000000000001</v>
      </c>
      <c r="G19" s="96">
        <v>23.44</v>
      </c>
      <c r="H19" s="97">
        <v>77.108999999999995</v>
      </c>
      <c r="I19" s="96">
        <v>71.286561000000006</v>
      </c>
      <c r="J19" s="96">
        <v>70.261679000000001</v>
      </c>
      <c r="K19" s="96">
        <v>60.563691000000006</v>
      </c>
      <c r="L19" s="96">
        <v>61.571957600000005</v>
      </c>
      <c r="M19" s="99">
        <f t="shared" si="1"/>
        <v>2790.7709011943539</v>
      </c>
      <c r="N19" s="99">
        <f t="shared" si="2"/>
        <v>2619</v>
      </c>
      <c r="O19" s="99">
        <f t="shared" si="3"/>
        <v>2719</v>
      </c>
      <c r="P19" s="99">
        <f t="shared" si="4"/>
        <v>2481.0000000000005</v>
      </c>
      <c r="Q19" s="99">
        <f t="shared" si="5"/>
        <v>2626.79</v>
      </c>
    </row>
    <row r="20" spans="1:17" ht="18" customHeight="1" x14ac:dyDescent="0.2">
      <c r="A20" s="189"/>
      <c r="B20" s="187" t="s">
        <v>9</v>
      </c>
      <c r="C20" s="100">
        <v>13.193</v>
      </c>
      <c r="D20" s="100">
        <v>11.301</v>
      </c>
      <c r="E20" s="100">
        <v>10.542999999999999</v>
      </c>
      <c r="F20" s="100">
        <v>10.287000000000001</v>
      </c>
      <c r="G20" s="96">
        <v>9.2370000000000001</v>
      </c>
      <c r="H20" s="100">
        <v>36.118000000000002</v>
      </c>
      <c r="I20" s="96">
        <v>31.721906999999998</v>
      </c>
      <c r="J20" s="96">
        <v>28.582072999999998</v>
      </c>
      <c r="K20" s="96">
        <v>29.822013000000002</v>
      </c>
      <c r="L20" s="96">
        <v>25.768920749999999</v>
      </c>
      <c r="M20" s="99">
        <f t="shared" si="1"/>
        <v>2737.6639126809673</v>
      </c>
      <c r="N20" s="99">
        <f t="shared" si="2"/>
        <v>2807</v>
      </c>
      <c r="O20" s="99">
        <f t="shared" si="3"/>
        <v>2711</v>
      </c>
      <c r="P20" s="99">
        <f t="shared" si="4"/>
        <v>2899</v>
      </c>
      <c r="Q20" s="99">
        <f t="shared" si="5"/>
        <v>2789.7499999999995</v>
      </c>
    </row>
    <row r="21" spans="1:17" s="8" customFormat="1" ht="18" customHeight="1" x14ac:dyDescent="0.2">
      <c r="A21" s="190"/>
      <c r="B21" s="187" t="s">
        <v>49</v>
      </c>
      <c r="C21" s="96">
        <f t="shared" ref="C21:L21" si="10">C19+C20</f>
        <v>40.823</v>
      </c>
      <c r="D21" s="96">
        <f t="shared" si="10"/>
        <v>38.520000000000003</v>
      </c>
      <c r="E21" s="96">
        <f t="shared" si="10"/>
        <v>36.384</v>
      </c>
      <c r="F21" s="96">
        <f t="shared" si="10"/>
        <v>34.698</v>
      </c>
      <c r="G21" s="96">
        <f t="shared" si="10"/>
        <v>32.677</v>
      </c>
      <c r="H21" s="96">
        <f t="shared" si="10"/>
        <v>113.227</v>
      </c>
      <c r="I21" s="96">
        <f t="shared" si="10"/>
        <v>103.00846800000001</v>
      </c>
      <c r="J21" s="96">
        <f t="shared" si="10"/>
        <v>98.843751999999995</v>
      </c>
      <c r="K21" s="96">
        <f t="shared" si="10"/>
        <v>90.385704000000004</v>
      </c>
      <c r="L21" s="96">
        <f t="shared" si="10"/>
        <v>87.340878349999997</v>
      </c>
      <c r="M21" s="99">
        <f t="shared" si="1"/>
        <v>2773.6080150895332</v>
      </c>
      <c r="N21" s="99">
        <f t="shared" si="2"/>
        <v>2674.1554517133955</v>
      </c>
      <c r="O21" s="99">
        <f t="shared" si="3"/>
        <v>2716.6818381706244</v>
      </c>
      <c r="P21" s="99">
        <f t="shared" si="4"/>
        <v>2604.9254712087154</v>
      </c>
      <c r="Q21" s="99">
        <f t="shared" si="5"/>
        <v>2672.8548627474984</v>
      </c>
    </row>
    <row r="22" spans="1:17" ht="18" customHeight="1" x14ac:dyDescent="0.2">
      <c r="A22" s="188" t="s">
        <v>4</v>
      </c>
      <c r="B22" s="187" t="s">
        <v>8</v>
      </c>
      <c r="C22" s="97">
        <v>782</v>
      </c>
      <c r="D22" s="97">
        <v>803</v>
      </c>
      <c r="E22" s="97">
        <v>809.37</v>
      </c>
      <c r="F22" s="97">
        <v>849.6</v>
      </c>
      <c r="G22" s="96">
        <v>836.91</v>
      </c>
      <c r="H22" s="97">
        <v>1750</v>
      </c>
      <c r="I22" s="96">
        <v>1749.7370000000001</v>
      </c>
      <c r="J22" s="96">
        <v>1819.4637600000001</v>
      </c>
      <c r="K22" s="96">
        <v>1821.5424</v>
      </c>
      <c r="L22" s="96">
        <v>1936.6097400000001</v>
      </c>
      <c r="M22" s="99">
        <f t="shared" si="1"/>
        <v>2237.8516624040922</v>
      </c>
      <c r="N22" s="99">
        <f t="shared" si="2"/>
        <v>2179.0000000000005</v>
      </c>
      <c r="O22" s="99">
        <f t="shared" si="3"/>
        <v>2248</v>
      </c>
      <c r="P22" s="99">
        <f t="shared" si="4"/>
        <v>2144</v>
      </c>
      <c r="Q22" s="99">
        <f t="shared" si="5"/>
        <v>2314</v>
      </c>
    </row>
    <row r="23" spans="1:17" ht="18" customHeight="1" x14ac:dyDescent="0.2">
      <c r="A23" s="189"/>
      <c r="B23" s="187" t="s">
        <v>9</v>
      </c>
      <c r="C23" s="100">
        <v>55</v>
      </c>
      <c r="D23" s="100">
        <v>53</v>
      </c>
      <c r="E23" s="100">
        <v>29.58</v>
      </c>
      <c r="F23" s="100">
        <v>54.75</v>
      </c>
      <c r="G23" s="96">
        <v>69.72</v>
      </c>
      <c r="H23" s="100">
        <v>180</v>
      </c>
      <c r="I23" s="96">
        <v>141.19200000000001</v>
      </c>
      <c r="J23" s="96">
        <v>92.614980000000003</v>
      </c>
      <c r="K23" s="96">
        <v>161.51249999999999</v>
      </c>
      <c r="L23" s="96">
        <v>209.09028000000001</v>
      </c>
      <c r="M23" s="99">
        <f t="shared" si="1"/>
        <v>3272.727272727273</v>
      </c>
      <c r="N23" s="99">
        <f t="shared" si="2"/>
        <v>2664</v>
      </c>
      <c r="O23" s="99">
        <f t="shared" si="3"/>
        <v>3131</v>
      </c>
      <c r="P23" s="99">
        <f t="shared" si="4"/>
        <v>2949.9999999999995</v>
      </c>
      <c r="Q23" s="99">
        <f t="shared" si="5"/>
        <v>2999</v>
      </c>
    </row>
    <row r="24" spans="1:17" s="8" customFormat="1" ht="18" customHeight="1" x14ac:dyDescent="0.2">
      <c r="A24" s="190"/>
      <c r="B24" s="32" t="s">
        <v>10</v>
      </c>
      <c r="C24" s="103">
        <f t="shared" ref="C24:L24" si="11">C22+C23</f>
        <v>837</v>
      </c>
      <c r="D24" s="103">
        <f t="shared" si="11"/>
        <v>856</v>
      </c>
      <c r="E24" s="103">
        <f t="shared" si="11"/>
        <v>838.95</v>
      </c>
      <c r="F24" s="103">
        <f t="shared" si="11"/>
        <v>904.35</v>
      </c>
      <c r="G24" s="103">
        <f t="shared" si="11"/>
        <v>906.63</v>
      </c>
      <c r="H24" s="103">
        <f t="shared" si="11"/>
        <v>1930</v>
      </c>
      <c r="I24" s="103">
        <f t="shared" si="11"/>
        <v>1890.9290000000001</v>
      </c>
      <c r="J24" s="103">
        <f t="shared" si="11"/>
        <v>1912.0787400000002</v>
      </c>
      <c r="K24" s="103">
        <f t="shared" si="11"/>
        <v>1983.0549000000001</v>
      </c>
      <c r="L24" s="103">
        <f t="shared" si="11"/>
        <v>2145.7000200000002</v>
      </c>
      <c r="M24" s="285">
        <f t="shared" si="1"/>
        <v>2305.8542413381124</v>
      </c>
      <c r="N24" s="285">
        <f t="shared" si="2"/>
        <v>2209.0292056074768</v>
      </c>
      <c r="O24" s="285">
        <f t="shared" si="3"/>
        <v>2279.1331306990883</v>
      </c>
      <c r="P24" s="285">
        <f t="shared" si="4"/>
        <v>2192.7958202023551</v>
      </c>
      <c r="Q24" s="285">
        <f t="shared" si="5"/>
        <v>2366.6766155984251</v>
      </c>
    </row>
    <row r="25" spans="1:17" ht="18" customHeight="1" x14ac:dyDescent="0.2">
      <c r="A25" s="184" t="s">
        <v>66</v>
      </c>
      <c r="B25" s="32" t="s">
        <v>8</v>
      </c>
      <c r="C25" s="102">
        <v>1386</v>
      </c>
      <c r="D25" s="194">
        <v>1422</v>
      </c>
      <c r="E25" s="194">
        <v>1447</v>
      </c>
      <c r="F25" s="194">
        <v>1447</v>
      </c>
      <c r="G25" s="308">
        <v>1327.2</v>
      </c>
      <c r="H25" s="102">
        <v>4453</v>
      </c>
      <c r="I25" s="103">
        <v>4523.3819999999996</v>
      </c>
      <c r="J25" s="103">
        <v>4516.0870000000004</v>
      </c>
      <c r="K25" s="103">
        <v>4824.2979999999998</v>
      </c>
      <c r="L25" s="103">
        <v>4424.8847999999998</v>
      </c>
      <c r="M25" s="285">
        <f t="shared" si="1"/>
        <v>3212.8427128427129</v>
      </c>
      <c r="N25" s="285">
        <f t="shared" si="2"/>
        <v>3180.9999999999995</v>
      </c>
      <c r="O25" s="285">
        <f t="shared" si="3"/>
        <v>3121.0000000000005</v>
      </c>
      <c r="P25" s="285">
        <f t="shared" si="4"/>
        <v>3333.9999999999995</v>
      </c>
      <c r="Q25" s="285">
        <f t="shared" si="5"/>
        <v>3333.9999999999995</v>
      </c>
    </row>
    <row r="26" spans="1:17" ht="18" customHeight="1" x14ac:dyDescent="0.2">
      <c r="A26" s="184" t="s">
        <v>16</v>
      </c>
      <c r="B26" s="187" t="s">
        <v>8</v>
      </c>
      <c r="C26" s="76">
        <v>74.474999999999994</v>
      </c>
      <c r="D26" s="195">
        <v>71.613</v>
      </c>
      <c r="E26" s="195">
        <v>71.81</v>
      </c>
      <c r="F26" s="195">
        <v>72.62</v>
      </c>
      <c r="G26" s="306">
        <v>68.454999999999998</v>
      </c>
      <c r="H26" s="116">
        <v>146.59</v>
      </c>
      <c r="I26" s="96">
        <v>114.78499999999998</v>
      </c>
      <c r="J26" s="96">
        <v>114.896</v>
      </c>
      <c r="K26" s="96">
        <v>143.7876</v>
      </c>
      <c r="L26" s="307">
        <v>140.46966</v>
      </c>
      <c r="M26" s="99">
        <f t="shared" si="1"/>
        <v>1968.3115139308495</v>
      </c>
      <c r="N26" s="99">
        <f t="shared" si="2"/>
        <v>1602.8514375881471</v>
      </c>
      <c r="O26" s="99">
        <f t="shared" si="3"/>
        <v>1599.9999999999998</v>
      </c>
      <c r="P26" s="99">
        <f t="shared" si="4"/>
        <v>1979.9999999999998</v>
      </c>
      <c r="Q26" s="99">
        <f t="shared" si="5"/>
        <v>2052</v>
      </c>
    </row>
    <row r="27" spans="1:17" ht="18" customHeight="1" x14ac:dyDescent="0.2">
      <c r="A27" s="184" t="s">
        <v>45</v>
      </c>
      <c r="B27" s="187" t="s">
        <v>8</v>
      </c>
      <c r="C27" s="97">
        <v>283.44299999999998</v>
      </c>
      <c r="D27" s="195">
        <v>273.58</v>
      </c>
      <c r="E27" s="195">
        <v>262.012</v>
      </c>
      <c r="F27" s="195">
        <v>280.51299999999998</v>
      </c>
      <c r="G27" s="306">
        <v>267.58</v>
      </c>
      <c r="H27" s="97">
        <v>572.21266666666668</v>
      </c>
      <c r="I27" s="96">
        <v>513.14</v>
      </c>
      <c r="J27" s="96">
        <v>615.79933333333338</v>
      </c>
      <c r="K27" s="96">
        <v>587.01833457999987</v>
      </c>
      <c r="L27" s="307">
        <v>581.45133999999996</v>
      </c>
      <c r="M27" s="99">
        <f t="shared" si="1"/>
        <v>2018.7927261095413</v>
      </c>
      <c r="N27" s="99">
        <f t="shared" si="2"/>
        <v>1875.6488047371884</v>
      </c>
      <c r="O27" s="99">
        <f t="shared" si="3"/>
        <v>2350.2714888376618</v>
      </c>
      <c r="P27" s="99">
        <f t="shared" si="4"/>
        <v>2092.6599999999994</v>
      </c>
      <c r="Q27" s="99">
        <f t="shared" si="5"/>
        <v>2173</v>
      </c>
    </row>
    <row r="28" spans="1:17" ht="18" hidden="1" customHeight="1" x14ac:dyDescent="0.2">
      <c r="A28" s="188" t="s">
        <v>65</v>
      </c>
      <c r="B28" s="32" t="s">
        <v>27</v>
      </c>
      <c r="C28" s="103"/>
      <c r="D28" s="103"/>
      <c r="E28" s="103"/>
      <c r="F28" s="103"/>
      <c r="G28" s="96"/>
      <c r="H28" s="102"/>
      <c r="I28" s="103"/>
      <c r="J28" s="103"/>
      <c r="K28" s="103"/>
      <c r="L28" s="96"/>
      <c r="M28" s="99" t="e">
        <f t="shared" si="1"/>
        <v>#DIV/0!</v>
      </c>
      <c r="N28" s="99" t="e">
        <f t="shared" si="2"/>
        <v>#DIV/0!</v>
      </c>
      <c r="O28" s="99" t="e">
        <f t="shared" si="3"/>
        <v>#DIV/0!</v>
      </c>
      <c r="P28" s="99" t="e">
        <f t="shared" si="4"/>
        <v>#DIV/0!</v>
      </c>
      <c r="Q28" s="99" t="e">
        <f t="shared" si="5"/>
        <v>#DIV/0!</v>
      </c>
    </row>
    <row r="29" spans="1:17" ht="18" hidden="1" customHeight="1" x14ac:dyDescent="0.2">
      <c r="A29" s="189"/>
      <c r="B29" s="32" t="s">
        <v>28</v>
      </c>
      <c r="C29" s="103"/>
      <c r="D29" s="103"/>
      <c r="E29" s="103"/>
      <c r="F29" s="103"/>
      <c r="G29" s="96"/>
      <c r="H29" s="103"/>
      <c r="I29" s="103"/>
      <c r="J29" s="103"/>
      <c r="K29" s="103"/>
      <c r="L29" s="96"/>
      <c r="M29" s="99" t="e">
        <f t="shared" si="1"/>
        <v>#DIV/0!</v>
      </c>
      <c r="N29" s="99" t="e">
        <f t="shared" si="2"/>
        <v>#DIV/0!</v>
      </c>
      <c r="O29" s="99" t="e">
        <f t="shared" si="3"/>
        <v>#DIV/0!</v>
      </c>
      <c r="P29" s="99" t="e">
        <f t="shared" si="4"/>
        <v>#DIV/0!</v>
      </c>
      <c r="Q29" s="99" t="e">
        <f t="shared" si="5"/>
        <v>#DIV/0!</v>
      </c>
    </row>
    <row r="30" spans="1:17" ht="18" customHeight="1" x14ac:dyDescent="0.2">
      <c r="A30" s="188" t="s">
        <v>65</v>
      </c>
      <c r="B30" s="187" t="s">
        <v>8</v>
      </c>
      <c r="C30" s="97">
        <v>1706.7</v>
      </c>
      <c r="D30" s="97">
        <v>1735.4110000000001</v>
      </c>
      <c r="E30" s="97">
        <v>1527.1030000000001</v>
      </c>
      <c r="F30" s="97">
        <v>1357.7280000000001</v>
      </c>
      <c r="G30" s="306">
        <v>1411</v>
      </c>
      <c r="H30" s="97">
        <v>3819.5945999999999</v>
      </c>
      <c r="I30" s="96">
        <v>4078.0423089000005</v>
      </c>
      <c r="J30" s="96">
        <v>2893.860185</v>
      </c>
      <c r="K30" s="96">
        <v>3012.798432</v>
      </c>
      <c r="L30" s="307">
        <v>2752.8609999999999</v>
      </c>
      <c r="M30" s="99">
        <f t="shared" si="1"/>
        <v>2238</v>
      </c>
      <c r="N30" s="99">
        <f t="shared" si="2"/>
        <v>2349.9000000000005</v>
      </c>
      <c r="O30" s="99">
        <f t="shared" si="3"/>
        <v>1895</v>
      </c>
      <c r="P30" s="99">
        <f t="shared" si="4"/>
        <v>2219</v>
      </c>
      <c r="Q30" s="99">
        <f t="shared" si="5"/>
        <v>1950.9999999999998</v>
      </c>
    </row>
    <row r="31" spans="1:17" ht="18" customHeight="1" x14ac:dyDescent="0.2">
      <c r="A31" s="189"/>
      <c r="B31" s="187" t="s">
        <v>9</v>
      </c>
      <c r="C31" s="100">
        <v>7.6280000000000001</v>
      </c>
      <c r="D31" s="100">
        <v>0</v>
      </c>
      <c r="E31" s="100">
        <v>0</v>
      </c>
      <c r="F31" s="100"/>
      <c r="G31" s="96"/>
      <c r="H31" s="96">
        <v>22.213000000000001</v>
      </c>
      <c r="I31" s="96"/>
      <c r="J31" s="96">
        <v>0</v>
      </c>
      <c r="K31" s="96">
        <v>0</v>
      </c>
      <c r="L31" s="96"/>
      <c r="M31" s="99">
        <f t="shared" si="1"/>
        <v>2912.0346093340327</v>
      </c>
      <c r="N31" s="99" t="e">
        <f t="shared" si="2"/>
        <v>#DIV/0!</v>
      </c>
      <c r="O31" s="99" t="e">
        <f t="shared" si="3"/>
        <v>#DIV/0!</v>
      </c>
      <c r="P31" s="99" t="e">
        <f t="shared" si="4"/>
        <v>#DIV/0!</v>
      </c>
      <c r="Q31" s="99" t="e">
        <f t="shared" si="5"/>
        <v>#DIV/0!</v>
      </c>
    </row>
    <row r="32" spans="1:17" s="8" customFormat="1" ht="18" customHeight="1" x14ac:dyDescent="0.2">
      <c r="A32" s="190"/>
      <c r="B32" s="32" t="s">
        <v>10</v>
      </c>
      <c r="C32" s="103">
        <f>C30+C31</f>
        <v>1714.328</v>
      </c>
      <c r="D32" s="103">
        <f t="shared" ref="D32:G32" si="12">D30+D31</f>
        <v>1735.4110000000001</v>
      </c>
      <c r="E32" s="103">
        <f t="shared" si="12"/>
        <v>1527.1030000000001</v>
      </c>
      <c r="F32" s="103">
        <f t="shared" si="12"/>
        <v>1357.7280000000001</v>
      </c>
      <c r="G32" s="103">
        <f t="shared" si="12"/>
        <v>1411</v>
      </c>
      <c r="H32" s="103">
        <f>H30+H31</f>
        <v>3841.8076000000001</v>
      </c>
      <c r="I32" s="103">
        <f t="shared" ref="I32" si="13">I30+I31</f>
        <v>4078.0423089000005</v>
      </c>
      <c r="J32" s="103">
        <f t="shared" ref="J32" si="14">J30+J31</f>
        <v>2893.860185</v>
      </c>
      <c r="K32" s="103">
        <f t="shared" ref="K32" si="15">K30+K31</f>
        <v>3012.798432</v>
      </c>
      <c r="L32" s="103">
        <f t="shared" ref="L32" si="16">L30+L31</f>
        <v>2752.8609999999999</v>
      </c>
      <c r="M32" s="285">
        <f t="shared" si="1"/>
        <v>2240.9991553541681</v>
      </c>
      <c r="N32" s="285">
        <f t="shared" si="2"/>
        <v>2349.9000000000005</v>
      </c>
      <c r="O32" s="285">
        <f t="shared" si="3"/>
        <v>1895</v>
      </c>
      <c r="P32" s="285">
        <f t="shared" si="4"/>
        <v>2219</v>
      </c>
      <c r="Q32" s="285">
        <f t="shared" si="5"/>
        <v>1950.9999999999998</v>
      </c>
    </row>
    <row r="33" spans="1:17" ht="18" customHeight="1" x14ac:dyDescent="0.2">
      <c r="A33" s="188" t="s">
        <v>5</v>
      </c>
      <c r="B33" s="187" t="s">
        <v>8</v>
      </c>
      <c r="C33" s="97">
        <v>942</v>
      </c>
      <c r="D33" s="97">
        <v>737</v>
      </c>
      <c r="E33" s="97">
        <v>985.15</v>
      </c>
      <c r="F33" s="97">
        <v>916</v>
      </c>
      <c r="G33" s="96">
        <v>1038</v>
      </c>
      <c r="H33" s="97">
        <v>2342.8481999999999</v>
      </c>
      <c r="I33" s="96">
        <v>2233.11</v>
      </c>
      <c r="J33" s="96">
        <v>2944.6133500000001</v>
      </c>
      <c r="K33" s="96">
        <v>2775.48</v>
      </c>
      <c r="L33" s="96">
        <v>3145.14</v>
      </c>
      <c r="M33" s="99">
        <f t="shared" si="1"/>
        <v>2487.1</v>
      </c>
      <c r="N33" s="99">
        <f t="shared" si="2"/>
        <v>3030.0000000000005</v>
      </c>
      <c r="O33" s="99">
        <f t="shared" si="3"/>
        <v>2989.0000000000005</v>
      </c>
      <c r="P33" s="99">
        <f t="shared" si="4"/>
        <v>3030</v>
      </c>
      <c r="Q33" s="99">
        <f t="shared" si="5"/>
        <v>3030</v>
      </c>
    </row>
    <row r="34" spans="1:17" ht="18" customHeight="1" x14ac:dyDescent="0.2">
      <c r="A34" s="189"/>
      <c r="B34" s="187" t="s">
        <v>9</v>
      </c>
      <c r="C34" s="100">
        <v>92</v>
      </c>
      <c r="D34" s="100">
        <v>256</v>
      </c>
      <c r="E34" s="100">
        <v>153.9</v>
      </c>
      <c r="F34" s="100">
        <v>269</v>
      </c>
      <c r="G34" s="96">
        <v>359.1</v>
      </c>
      <c r="H34" s="100">
        <v>262</v>
      </c>
      <c r="I34" s="96">
        <v>784</v>
      </c>
      <c r="J34" s="96">
        <v>486.4</v>
      </c>
      <c r="K34" s="96">
        <v>859</v>
      </c>
      <c r="L34" s="96">
        <v>1146.6063000000001</v>
      </c>
      <c r="M34" s="99">
        <f t="shared" si="1"/>
        <v>2847.826086956522</v>
      </c>
      <c r="N34" s="99">
        <f t="shared" si="2"/>
        <v>3062.5</v>
      </c>
      <c r="O34" s="99">
        <f t="shared" si="3"/>
        <v>3160.4938271604938</v>
      </c>
      <c r="P34" s="99">
        <f t="shared" si="4"/>
        <v>3193.3085501858736</v>
      </c>
      <c r="Q34" s="99">
        <f t="shared" si="5"/>
        <v>3193</v>
      </c>
    </row>
    <row r="35" spans="1:17" s="8" customFormat="1" ht="18" customHeight="1" x14ac:dyDescent="0.2">
      <c r="A35" s="189"/>
      <c r="B35" s="32" t="s">
        <v>10</v>
      </c>
      <c r="C35" s="103">
        <f t="shared" ref="C35:L35" si="17">C33+C34</f>
        <v>1034</v>
      </c>
      <c r="D35" s="103">
        <f t="shared" si="17"/>
        <v>993</v>
      </c>
      <c r="E35" s="103">
        <f t="shared" si="17"/>
        <v>1139.05</v>
      </c>
      <c r="F35" s="103">
        <f t="shared" si="17"/>
        <v>1185</v>
      </c>
      <c r="G35" s="103">
        <f t="shared" si="17"/>
        <v>1397.1</v>
      </c>
      <c r="H35" s="103">
        <f t="shared" si="17"/>
        <v>2604.8481999999999</v>
      </c>
      <c r="I35" s="103">
        <f t="shared" si="17"/>
        <v>3017.11</v>
      </c>
      <c r="J35" s="103">
        <f t="shared" si="17"/>
        <v>3431.0133500000002</v>
      </c>
      <c r="K35" s="103">
        <f t="shared" si="17"/>
        <v>3634.48</v>
      </c>
      <c r="L35" s="103">
        <f t="shared" si="17"/>
        <v>4291.7462999999998</v>
      </c>
      <c r="M35" s="285">
        <f t="shared" si="1"/>
        <v>2519.1955512572536</v>
      </c>
      <c r="N35" s="285">
        <f t="shared" si="2"/>
        <v>3038.3786505538774</v>
      </c>
      <c r="O35" s="285">
        <f t="shared" si="3"/>
        <v>3012.1709758131778</v>
      </c>
      <c r="P35" s="285">
        <f t="shared" si="4"/>
        <v>3067.0717299578059</v>
      </c>
      <c r="Q35" s="285">
        <f t="shared" si="5"/>
        <v>3071.8962851621218</v>
      </c>
    </row>
    <row r="36" spans="1:17" ht="18" customHeight="1" x14ac:dyDescent="0.2">
      <c r="A36" s="188" t="s">
        <v>17</v>
      </c>
      <c r="B36" s="187" t="s">
        <v>8</v>
      </c>
      <c r="C36" s="97">
        <v>131.97</v>
      </c>
      <c r="D36" s="97">
        <v>144.94</v>
      </c>
      <c r="E36" s="97">
        <v>152.05223024130885</v>
      </c>
      <c r="F36" s="97">
        <v>152.28078086465857</v>
      </c>
      <c r="G36" s="96">
        <v>157.4021262328597</v>
      </c>
      <c r="H36" s="97">
        <v>323.45999999999998</v>
      </c>
      <c r="I36" s="96">
        <v>386.69991999999996</v>
      </c>
      <c r="J36" s="96">
        <v>429.66841363071143</v>
      </c>
      <c r="K36" s="96">
        <v>448.78512562573877</v>
      </c>
      <c r="L36" s="96">
        <v>469.84534680508619</v>
      </c>
      <c r="M36" s="99">
        <f t="shared" si="1"/>
        <v>2451.0115935439871</v>
      </c>
      <c r="N36" s="99">
        <f t="shared" si="2"/>
        <v>2667.9999999999995</v>
      </c>
      <c r="O36" s="99">
        <f t="shared" si="3"/>
        <v>2825.7948794885951</v>
      </c>
      <c r="P36" s="99">
        <f t="shared" si="4"/>
        <v>2947.0897317278805</v>
      </c>
      <c r="Q36" s="99">
        <f t="shared" si="5"/>
        <v>2985</v>
      </c>
    </row>
    <row r="37" spans="1:17" ht="18" customHeight="1" x14ac:dyDescent="0.2">
      <c r="A37" s="189"/>
      <c r="B37" s="187" t="s">
        <v>9</v>
      </c>
      <c r="C37" s="100">
        <v>39.42</v>
      </c>
      <c r="D37" s="100">
        <v>44.158999999999999</v>
      </c>
      <c r="E37" s="100">
        <v>45.973269758691202</v>
      </c>
      <c r="F37" s="100">
        <v>45.89921913534144</v>
      </c>
      <c r="G37" s="96">
        <v>47.637873767140292</v>
      </c>
      <c r="H37" s="100">
        <v>113.64</v>
      </c>
      <c r="I37" s="96">
        <v>134.59663199999997</v>
      </c>
      <c r="J37" s="96">
        <v>148.58910836928874</v>
      </c>
      <c r="K37" s="96">
        <v>156.78329437426129</v>
      </c>
      <c r="L37" s="96">
        <v>163.92192363272974</v>
      </c>
      <c r="M37" s="99">
        <f t="shared" si="1"/>
        <v>2882.8006088280058</v>
      </c>
      <c r="N37" s="99">
        <f t="shared" si="2"/>
        <v>3047.9999999999995</v>
      </c>
      <c r="O37" s="99">
        <f t="shared" si="3"/>
        <v>3232.076142271741</v>
      </c>
      <c r="P37" s="99">
        <f t="shared" si="4"/>
        <v>3415.8161582653465</v>
      </c>
      <c r="Q37" s="99">
        <f t="shared" si="5"/>
        <v>3441</v>
      </c>
    </row>
    <row r="38" spans="1:17" s="8" customFormat="1" ht="18" customHeight="1" x14ac:dyDescent="0.2">
      <c r="A38" s="183"/>
      <c r="B38" s="187" t="s">
        <v>10</v>
      </c>
      <c r="C38" s="96">
        <f t="shared" ref="C38:L38" si="18">C36+C37</f>
        <v>171.39</v>
      </c>
      <c r="D38" s="96">
        <f t="shared" si="18"/>
        <v>189.09899999999999</v>
      </c>
      <c r="E38" s="96">
        <f t="shared" si="18"/>
        <v>198.02550000000005</v>
      </c>
      <c r="F38" s="96">
        <f t="shared" si="18"/>
        <v>198.18</v>
      </c>
      <c r="G38" s="96">
        <f t="shared" si="18"/>
        <v>205.04</v>
      </c>
      <c r="H38" s="96">
        <f t="shared" si="18"/>
        <v>437.09999999999997</v>
      </c>
      <c r="I38" s="96">
        <f t="shared" si="18"/>
        <v>521.29655199999991</v>
      </c>
      <c r="J38" s="96">
        <f t="shared" si="18"/>
        <v>578.25752200000011</v>
      </c>
      <c r="K38" s="96">
        <f t="shared" si="18"/>
        <v>605.56842000000006</v>
      </c>
      <c r="L38" s="96">
        <f t="shared" si="18"/>
        <v>633.76727043781591</v>
      </c>
      <c r="M38" s="99">
        <f t="shared" si="1"/>
        <v>2550.3238228601435</v>
      </c>
      <c r="N38" s="99">
        <f t="shared" si="2"/>
        <v>2756.7388087721242</v>
      </c>
      <c r="O38" s="99">
        <f t="shared" si="3"/>
        <v>2920.1164597488705</v>
      </c>
      <c r="P38" s="99">
        <f t="shared" si="4"/>
        <v>3055.6485013623978</v>
      </c>
      <c r="Q38" s="99">
        <f t="shared" si="5"/>
        <v>3090.9445495406553</v>
      </c>
    </row>
    <row r="39" spans="1:17" s="8" customFormat="1" ht="18" customHeight="1" x14ac:dyDescent="0.2">
      <c r="A39" s="346" t="s">
        <v>64</v>
      </c>
      <c r="B39" s="187" t="s">
        <v>8</v>
      </c>
      <c r="C39" s="102">
        <v>2260</v>
      </c>
      <c r="D39" s="102">
        <v>2023</v>
      </c>
      <c r="E39" s="102">
        <v>2373</v>
      </c>
      <c r="F39" s="102">
        <v>1982</v>
      </c>
      <c r="G39" s="93">
        <v>2080</v>
      </c>
      <c r="H39" s="102">
        <v>4157.4960000000001</v>
      </c>
      <c r="I39" s="93">
        <v>4094.552000000001</v>
      </c>
      <c r="J39" s="93">
        <v>4449.8704366499642</v>
      </c>
      <c r="K39" s="93">
        <v>4684.126666666667</v>
      </c>
      <c r="L39" s="93">
        <v>4286.88</v>
      </c>
      <c r="M39" s="285">
        <f t="shared" si="1"/>
        <v>1839.6000000000001</v>
      </c>
      <c r="N39" s="285">
        <f t="shared" si="2"/>
        <v>2024.0000000000005</v>
      </c>
      <c r="O39" s="285">
        <f t="shared" si="3"/>
        <v>1875.2087807205917</v>
      </c>
      <c r="P39" s="285">
        <f t="shared" si="4"/>
        <v>2363.3333333333335</v>
      </c>
      <c r="Q39" s="285">
        <f t="shared" si="5"/>
        <v>2061</v>
      </c>
    </row>
    <row r="40" spans="1:17" s="8" customFormat="1" ht="18" customHeight="1" x14ac:dyDescent="0.2">
      <c r="A40" s="346"/>
      <c r="B40" s="187" t="s">
        <v>9</v>
      </c>
      <c r="C40" s="97">
        <v>29</v>
      </c>
      <c r="D40" s="97">
        <v>12</v>
      </c>
      <c r="E40" s="97">
        <v>18</v>
      </c>
      <c r="F40" s="97">
        <v>34</v>
      </c>
      <c r="G40" s="76">
        <v>37</v>
      </c>
      <c r="H40" s="97">
        <v>69.333333333333329</v>
      </c>
      <c r="I40" s="76">
        <v>29.333333333333332</v>
      </c>
      <c r="J40" s="76">
        <v>44.874000000000002</v>
      </c>
      <c r="K40" s="76">
        <v>94.021333333333345</v>
      </c>
      <c r="L40" s="76">
        <v>126.91</v>
      </c>
      <c r="M40" s="99">
        <f t="shared" si="1"/>
        <v>2390.8045977011493</v>
      </c>
      <c r="N40" s="99">
        <f t="shared" si="2"/>
        <v>2444.4444444444443</v>
      </c>
      <c r="O40" s="99">
        <f t="shared" si="3"/>
        <v>2493.0000000000005</v>
      </c>
      <c r="P40" s="99">
        <f t="shared" si="4"/>
        <v>2765.3333333333339</v>
      </c>
      <c r="Q40" s="99">
        <f t="shared" si="5"/>
        <v>3429.9999999999995</v>
      </c>
    </row>
    <row r="41" spans="1:17" s="8" customFormat="1" ht="18" customHeight="1" x14ac:dyDescent="0.2">
      <c r="A41" s="347"/>
      <c r="B41" s="32" t="s">
        <v>10</v>
      </c>
      <c r="C41" s="103">
        <f t="shared" ref="C41:L41" si="19">C39+C40</f>
        <v>2289</v>
      </c>
      <c r="D41" s="103">
        <f t="shared" si="19"/>
        <v>2035</v>
      </c>
      <c r="E41" s="103">
        <f t="shared" si="19"/>
        <v>2391</v>
      </c>
      <c r="F41" s="103">
        <f t="shared" si="19"/>
        <v>2016</v>
      </c>
      <c r="G41" s="103">
        <f t="shared" si="19"/>
        <v>2117</v>
      </c>
      <c r="H41" s="103">
        <f t="shared" si="19"/>
        <v>4226.8293333333331</v>
      </c>
      <c r="I41" s="103">
        <f t="shared" si="19"/>
        <v>4123.8853333333345</v>
      </c>
      <c r="J41" s="103">
        <f t="shared" si="19"/>
        <v>4494.744436649964</v>
      </c>
      <c r="K41" s="103">
        <f t="shared" si="19"/>
        <v>4778.1480000000001</v>
      </c>
      <c r="L41" s="103">
        <f t="shared" si="19"/>
        <v>4413.79</v>
      </c>
      <c r="M41" s="285">
        <f t="shared" si="1"/>
        <v>1846.583369739333</v>
      </c>
      <c r="N41" s="285">
        <f t="shared" si="2"/>
        <v>2026.4792792792798</v>
      </c>
      <c r="O41" s="285">
        <f t="shared" si="3"/>
        <v>1879.859655646158</v>
      </c>
      <c r="P41" s="285">
        <f t="shared" si="4"/>
        <v>2370.113095238095</v>
      </c>
      <c r="Q41" s="285">
        <f t="shared" si="5"/>
        <v>2084.9267831837506</v>
      </c>
    </row>
    <row r="42" spans="1:17" ht="18" customHeight="1" x14ac:dyDescent="0.2">
      <c r="A42" s="188" t="s">
        <v>7</v>
      </c>
      <c r="B42" s="187" t="s">
        <v>8</v>
      </c>
      <c r="C42" s="97">
        <v>1465.7</v>
      </c>
      <c r="D42" s="97">
        <v>1425</v>
      </c>
      <c r="E42" s="97">
        <v>1417.4</v>
      </c>
      <c r="F42" s="97">
        <v>1478.09</v>
      </c>
      <c r="G42" s="96">
        <v>1472.6</v>
      </c>
      <c r="H42" s="97">
        <v>2947.5227</v>
      </c>
      <c r="I42" s="96">
        <v>2669.0250000000001</v>
      </c>
      <c r="J42" s="96">
        <v>3143.6514600000005</v>
      </c>
      <c r="K42" s="96">
        <v>2701.9485199999999</v>
      </c>
      <c r="L42" s="96">
        <v>3027.6655999999998</v>
      </c>
      <c r="M42" s="99">
        <f t="shared" si="1"/>
        <v>2011.0000000000002</v>
      </c>
      <c r="N42" s="99">
        <f t="shared" si="2"/>
        <v>1873</v>
      </c>
      <c r="O42" s="99">
        <f t="shared" si="3"/>
        <v>2217.9</v>
      </c>
      <c r="P42" s="99">
        <f t="shared" si="4"/>
        <v>1828</v>
      </c>
      <c r="Q42" s="99">
        <f t="shared" si="5"/>
        <v>2056</v>
      </c>
    </row>
    <row r="43" spans="1:17" ht="18" customHeight="1" x14ac:dyDescent="0.2">
      <c r="A43" s="189"/>
      <c r="B43" s="187" t="s">
        <v>9</v>
      </c>
      <c r="C43" s="100">
        <v>69.599999999999994</v>
      </c>
      <c r="D43" s="100">
        <v>26</v>
      </c>
      <c r="E43" s="100">
        <v>47.54</v>
      </c>
      <c r="F43" s="100">
        <v>74.900000000000006</v>
      </c>
      <c r="G43" s="96">
        <v>87.97</v>
      </c>
      <c r="H43" s="100">
        <v>162</v>
      </c>
      <c r="I43" s="96">
        <v>61.776000000000003</v>
      </c>
      <c r="J43" s="96">
        <v>132.04235</v>
      </c>
      <c r="K43" s="96">
        <v>195.6388</v>
      </c>
      <c r="L43" s="96">
        <v>263.99796999999995</v>
      </c>
      <c r="M43" s="99">
        <f t="shared" si="1"/>
        <v>2327.5862068965521</v>
      </c>
      <c r="N43" s="99">
        <f t="shared" si="2"/>
        <v>2376.0000000000005</v>
      </c>
      <c r="O43" s="99">
        <f t="shared" si="3"/>
        <v>2777.5</v>
      </c>
      <c r="P43" s="99">
        <f t="shared" si="4"/>
        <v>2611.9999999999995</v>
      </c>
      <c r="Q43" s="99">
        <f t="shared" si="5"/>
        <v>3000.9999999999995</v>
      </c>
    </row>
    <row r="44" spans="1:17" s="8" customFormat="1" ht="18" customHeight="1" x14ac:dyDescent="0.2">
      <c r="A44" s="190"/>
      <c r="B44" s="32" t="s">
        <v>10</v>
      </c>
      <c r="C44" s="103">
        <f t="shared" ref="C44:L44" si="20">C42+C43</f>
        <v>1535.3</v>
      </c>
      <c r="D44" s="103">
        <f t="shared" si="20"/>
        <v>1451</v>
      </c>
      <c r="E44" s="103">
        <f t="shared" si="20"/>
        <v>1464.94</v>
      </c>
      <c r="F44" s="103">
        <f t="shared" si="20"/>
        <v>1552.99</v>
      </c>
      <c r="G44" s="103">
        <f t="shared" si="20"/>
        <v>1560.57</v>
      </c>
      <c r="H44" s="103">
        <f t="shared" si="20"/>
        <v>3109.5227</v>
      </c>
      <c r="I44" s="103">
        <f t="shared" si="20"/>
        <v>2730.8009999999999</v>
      </c>
      <c r="J44" s="103">
        <f t="shared" si="20"/>
        <v>3275.6938100000007</v>
      </c>
      <c r="K44" s="103">
        <f t="shared" si="20"/>
        <v>2897.5873200000001</v>
      </c>
      <c r="L44" s="103">
        <f t="shared" si="20"/>
        <v>3291.6635699999997</v>
      </c>
      <c r="M44" s="285">
        <f t="shared" si="1"/>
        <v>2025.3518530580341</v>
      </c>
      <c r="N44" s="285">
        <f t="shared" si="2"/>
        <v>1882.0130944176431</v>
      </c>
      <c r="O44" s="285">
        <f t="shared" si="3"/>
        <v>2236.0600502409657</v>
      </c>
      <c r="P44" s="285">
        <f t="shared" si="4"/>
        <v>1865.8119627299595</v>
      </c>
      <c r="Q44" s="285">
        <f t="shared" si="5"/>
        <v>2109.2700551721487</v>
      </c>
    </row>
    <row r="45" spans="1:17" ht="18" customHeight="1" x14ac:dyDescent="0.2">
      <c r="A45" s="191" t="s">
        <v>29</v>
      </c>
      <c r="B45" s="187" t="s">
        <v>8</v>
      </c>
      <c r="C45" s="97">
        <v>49</v>
      </c>
      <c r="D45" s="97">
        <v>49.65</v>
      </c>
      <c r="E45" s="97">
        <v>38.5</v>
      </c>
      <c r="F45" s="97">
        <v>31.163246038563933</v>
      </c>
      <c r="G45" s="96">
        <v>30.77</v>
      </c>
      <c r="H45" s="97">
        <v>188</v>
      </c>
      <c r="I45" s="96">
        <v>176.80365</v>
      </c>
      <c r="J45" s="96">
        <v>88.779999999999987</v>
      </c>
      <c r="K45" s="96">
        <v>117.6400780124811</v>
      </c>
      <c r="L45" s="96">
        <v>78.771199999999993</v>
      </c>
      <c r="M45" s="99">
        <f t="shared" si="1"/>
        <v>3836.7346938775509</v>
      </c>
      <c r="N45" s="99">
        <f t="shared" si="2"/>
        <v>3561.0000000000005</v>
      </c>
      <c r="O45" s="99">
        <f t="shared" si="3"/>
        <v>2305.9740259740256</v>
      </c>
      <c r="P45" s="99">
        <f t="shared" si="4"/>
        <v>3774.9622701981593</v>
      </c>
      <c r="Q45" s="99">
        <f t="shared" si="5"/>
        <v>2559.9999999999995</v>
      </c>
    </row>
    <row r="46" spans="1:17" ht="18" customHeight="1" x14ac:dyDescent="0.2">
      <c r="A46" s="192"/>
      <c r="B46" s="187" t="s">
        <v>9</v>
      </c>
      <c r="C46" s="100">
        <v>195</v>
      </c>
      <c r="D46" s="100">
        <v>187.06</v>
      </c>
      <c r="E46" s="100">
        <v>195</v>
      </c>
      <c r="F46" s="100">
        <v>144.43675396143604</v>
      </c>
      <c r="G46" s="96">
        <v>195</v>
      </c>
      <c r="H46" s="100">
        <v>242.4</v>
      </c>
      <c r="I46" s="96">
        <v>430.98624000000001</v>
      </c>
      <c r="J46" s="96">
        <v>312.83999999999992</v>
      </c>
      <c r="K46" s="96">
        <v>267.85992198751887</v>
      </c>
      <c r="L46" s="96">
        <v>523.38</v>
      </c>
      <c r="M46" s="99">
        <f t="shared" si="1"/>
        <v>1243.0769230769231</v>
      </c>
      <c r="N46" s="99">
        <f t="shared" si="2"/>
        <v>2304</v>
      </c>
      <c r="O46" s="99">
        <f t="shared" si="3"/>
        <v>1604.3076923076919</v>
      </c>
      <c r="P46" s="99">
        <f t="shared" si="4"/>
        <v>1854.5135821803103</v>
      </c>
      <c r="Q46" s="99">
        <f t="shared" si="5"/>
        <v>2684</v>
      </c>
    </row>
    <row r="47" spans="1:17" s="8" customFormat="1" ht="18" customHeight="1" x14ac:dyDescent="0.2">
      <c r="A47" s="193"/>
      <c r="B47" s="187" t="s">
        <v>10</v>
      </c>
      <c r="C47" s="96">
        <f t="shared" ref="C47:L47" si="21">C45+C46</f>
        <v>244</v>
      </c>
      <c r="D47" s="96">
        <f t="shared" si="21"/>
        <v>236.71</v>
      </c>
      <c r="E47" s="96">
        <f t="shared" si="21"/>
        <v>233.5</v>
      </c>
      <c r="F47" s="96">
        <f t="shared" si="21"/>
        <v>175.59999999999997</v>
      </c>
      <c r="G47" s="96">
        <f t="shared" si="21"/>
        <v>225.77</v>
      </c>
      <c r="H47" s="96">
        <f t="shared" si="21"/>
        <v>430.4</v>
      </c>
      <c r="I47" s="96">
        <f t="shared" si="21"/>
        <v>607.78989000000001</v>
      </c>
      <c r="J47" s="96">
        <f t="shared" si="21"/>
        <v>401.61999999999989</v>
      </c>
      <c r="K47" s="96">
        <f t="shared" si="21"/>
        <v>385.5</v>
      </c>
      <c r="L47" s="96">
        <f t="shared" si="21"/>
        <v>602.15120000000002</v>
      </c>
      <c r="M47" s="99">
        <f t="shared" si="1"/>
        <v>1763.9344262295081</v>
      </c>
      <c r="N47" s="99">
        <f t="shared" si="2"/>
        <v>2567.6561615478859</v>
      </c>
      <c r="O47" s="99">
        <f t="shared" si="3"/>
        <v>1719.9999999999995</v>
      </c>
      <c r="P47" s="99">
        <f t="shared" si="4"/>
        <v>2195.3302961275631</v>
      </c>
      <c r="Q47" s="99">
        <f t="shared" si="5"/>
        <v>2667.1001461664528</v>
      </c>
    </row>
    <row r="48" spans="1:17" ht="18" customHeight="1" x14ac:dyDescent="0.2">
      <c r="A48" s="188" t="s">
        <v>26</v>
      </c>
      <c r="B48" s="187" t="s">
        <v>8</v>
      </c>
      <c r="C48" s="97">
        <v>97.509999999999991</v>
      </c>
      <c r="D48" s="97">
        <v>97.457999999999998</v>
      </c>
      <c r="E48" s="97">
        <v>97.307999999999993</v>
      </c>
      <c r="F48" s="97">
        <v>97.36</v>
      </c>
      <c r="G48" s="96">
        <v>93.968000000000004</v>
      </c>
      <c r="H48" s="96">
        <v>160.76666666666668</v>
      </c>
      <c r="I48" s="96">
        <v>241.11999999999998</v>
      </c>
      <c r="J48" s="96">
        <v>159.94933333333336</v>
      </c>
      <c r="K48" s="96">
        <v>240.38999999999996</v>
      </c>
      <c r="L48" s="96">
        <v>232.758736</v>
      </c>
      <c r="M48" s="99">
        <f t="shared" si="1"/>
        <v>1648.7197894233072</v>
      </c>
      <c r="N48" s="99">
        <f t="shared" si="2"/>
        <v>2474.0914034763691</v>
      </c>
      <c r="O48" s="99">
        <f t="shared" si="3"/>
        <v>1643.7428919855856</v>
      </c>
      <c r="P48" s="99">
        <f t="shared" si="4"/>
        <v>2469.0838126540671</v>
      </c>
      <c r="Q48" s="99">
        <f t="shared" si="5"/>
        <v>2477</v>
      </c>
    </row>
    <row r="49" spans="1:17" ht="18" customHeight="1" x14ac:dyDescent="0.2">
      <c r="A49" s="189"/>
      <c r="B49" s="187" t="s">
        <v>9</v>
      </c>
      <c r="C49" s="100">
        <v>13.67</v>
      </c>
      <c r="D49" s="100">
        <v>13.683</v>
      </c>
      <c r="E49" s="100">
        <v>13.624000000000001</v>
      </c>
      <c r="F49" s="100">
        <v>13.62</v>
      </c>
      <c r="G49" s="96">
        <v>13.629</v>
      </c>
      <c r="H49" s="96">
        <v>42.246666666666663</v>
      </c>
      <c r="I49" s="96">
        <v>63.434387999999998</v>
      </c>
      <c r="J49" s="96">
        <v>42.033333333333331</v>
      </c>
      <c r="K49" s="96">
        <v>63.046979999999998</v>
      </c>
      <c r="L49" s="96">
        <v>63.088640999999996</v>
      </c>
      <c r="M49" s="99">
        <f t="shared" si="1"/>
        <v>3090.4657400633992</v>
      </c>
      <c r="N49" s="99">
        <f t="shared" si="2"/>
        <v>4636</v>
      </c>
      <c r="O49" s="99">
        <f t="shared" si="3"/>
        <v>3085.2417302798976</v>
      </c>
      <c r="P49" s="99">
        <f t="shared" si="4"/>
        <v>4629</v>
      </c>
      <c r="Q49" s="99">
        <f t="shared" si="5"/>
        <v>4629</v>
      </c>
    </row>
    <row r="50" spans="1:17" s="8" customFormat="1" ht="18" customHeight="1" x14ac:dyDescent="0.2">
      <c r="A50" s="190"/>
      <c r="B50" s="187" t="s">
        <v>10</v>
      </c>
      <c r="C50" s="96">
        <f t="shared" ref="C50:L50" si="22">C48+C49</f>
        <v>111.17999999999999</v>
      </c>
      <c r="D50" s="96">
        <f t="shared" si="22"/>
        <v>111.14099999999999</v>
      </c>
      <c r="E50" s="96">
        <f t="shared" si="22"/>
        <v>110.93199999999999</v>
      </c>
      <c r="F50" s="96">
        <f t="shared" si="22"/>
        <v>110.98</v>
      </c>
      <c r="G50" s="96">
        <f t="shared" si="22"/>
        <v>107.59700000000001</v>
      </c>
      <c r="H50" s="96">
        <f t="shared" si="22"/>
        <v>203.01333333333335</v>
      </c>
      <c r="I50" s="96">
        <f t="shared" si="22"/>
        <v>304.55438799999996</v>
      </c>
      <c r="J50" s="96">
        <f t="shared" si="22"/>
        <v>201.98266666666669</v>
      </c>
      <c r="K50" s="96">
        <f t="shared" si="22"/>
        <v>303.43697999999995</v>
      </c>
      <c r="L50" s="96">
        <f t="shared" si="22"/>
        <v>295.84737699999999</v>
      </c>
      <c r="M50" s="99">
        <f t="shared" si="1"/>
        <v>1825.9878875097443</v>
      </c>
      <c r="N50" s="99">
        <f t="shared" si="2"/>
        <v>2740.2523641140529</v>
      </c>
      <c r="O50" s="99">
        <f t="shared" si="3"/>
        <v>1820.7790959025954</v>
      </c>
      <c r="P50" s="99">
        <f t="shared" si="4"/>
        <v>2734.1591277707689</v>
      </c>
      <c r="Q50" s="99">
        <f t="shared" si="5"/>
        <v>2749.5876000260228</v>
      </c>
    </row>
    <row r="51" spans="1:17" ht="18" customHeight="1" x14ac:dyDescent="0.2">
      <c r="A51" s="188" t="s">
        <v>30</v>
      </c>
      <c r="B51" s="187" t="s">
        <v>8</v>
      </c>
      <c r="C51" s="97">
        <v>36.463999999999999</v>
      </c>
      <c r="D51" s="97">
        <v>35.627200000000002</v>
      </c>
      <c r="E51" s="97">
        <v>35.090000000000003</v>
      </c>
      <c r="F51" s="97">
        <v>34.742000000000004</v>
      </c>
      <c r="G51" s="96">
        <v>34.775999999999996</v>
      </c>
      <c r="H51" s="97">
        <v>60.643999999999998</v>
      </c>
      <c r="I51" s="96">
        <v>58.607600000000005</v>
      </c>
      <c r="J51" s="96">
        <v>59.05</v>
      </c>
      <c r="K51" s="96">
        <v>59.05</v>
      </c>
      <c r="L51" s="96">
        <v>61.205759999999998</v>
      </c>
      <c r="M51" s="99">
        <f t="shared" si="1"/>
        <v>1663.1197893813076</v>
      </c>
      <c r="N51" s="99">
        <f t="shared" si="2"/>
        <v>1645.0240265864284</v>
      </c>
      <c r="O51" s="99">
        <f t="shared" si="3"/>
        <v>1682.8156169848958</v>
      </c>
      <c r="P51" s="99">
        <f t="shared" si="4"/>
        <v>1699.6718669046109</v>
      </c>
      <c r="Q51" s="99">
        <f t="shared" si="5"/>
        <v>1760.0000000000002</v>
      </c>
    </row>
    <row r="52" spans="1:17" ht="18" customHeight="1" x14ac:dyDescent="0.2">
      <c r="A52" s="189"/>
      <c r="B52" s="187" t="s">
        <v>9</v>
      </c>
      <c r="C52" s="100">
        <v>0.39400000000000002</v>
      </c>
      <c r="D52" s="100">
        <v>0.48699999999999999</v>
      </c>
      <c r="E52" s="100">
        <v>0.46</v>
      </c>
      <c r="F52" s="100">
        <v>0.46800000000000003</v>
      </c>
      <c r="G52" s="96">
        <v>0.47</v>
      </c>
      <c r="H52" s="100">
        <v>0.872</v>
      </c>
      <c r="I52" s="96">
        <v>0.9981000000000001</v>
      </c>
      <c r="J52" s="96">
        <v>0.96</v>
      </c>
      <c r="K52" s="96">
        <v>0.96</v>
      </c>
      <c r="L52" s="96">
        <v>0.98182999999999998</v>
      </c>
      <c r="M52" s="99">
        <f t="shared" si="1"/>
        <v>2213.1979695431473</v>
      </c>
      <c r="N52" s="99">
        <f t="shared" si="2"/>
        <v>2049.4866529774131</v>
      </c>
      <c r="O52" s="99">
        <f t="shared" si="3"/>
        <v>2086.9565217391305</v>
      </c>
      <c r="P52" s="99">
        <f t="shared" si="4"/>
        <v>2051.2820512820513</v>
      </c>
      <c r="Q52" s="99">
        <f t="shared" si="5"/>
        <v>2089</v>
      </c>
    </row>
    <row r="53" spans="1:17" s="8" customFormat="1" ht="19.5" customHeight="1" x14ac:dyDescent="0.2">
      <c r="A53" s="190"/>
      <c r="B53" s="187" t="s">
        <v>10</v>
      </c>
      <c r="C53" s="96">
        <f t="shared" ref="C53:L53" si="23">C51+C52</f>
        <v>36.857999999999997</v>
      </c>
      <c r="D53" s="96">
        <f t="shared" si="23"/>
        <v>36.114200000000004</v>
      </c>
      <c r="E53" s="96">
        <f t="shared" si="23"/>
        <v>35.550000000000004</v>
      </c>
      <c r="F53" s="96">
        <f t="shared" si="23"/>
        <v>35.210000000000008</v>
      </c>
      <c r="G53" s="96">
        <f t="shared" si="23"/>
        <v>35.245999999999995</v>
      </c>
      <c r="H53" s="96">
        <f t="shared" si="23"/>
        <v>61.515999999999998</v>
      </c>
      <c r="I53" s="96">
        <f t="shared" si="23"/>
        <v>59.605700000000006</v>
      </c>
      <c r="J53" s="96">
        <f t="shared" si="23"/>
        <v>60.01</v>
      </c>
      <c r="K53" s="96">
        <f t="shared" si="23"/>
        <v>60.01</v>
      </c>
      <c r="L53" s="96">
        <f t="shared" si="23"/>
        <v>62.18759</v>
      </c>
      <c r="M53" s="99">
        <f t="shared" si="1"/>
        <v>1668.999945737696</v>
      </c>
      <c r="N53" s="99">
        <f t="shared" si="2"/>
        <v>1650.4782052489049</v>
      </c>
      <c r="O53" s="99">
        <f t="shared" si="3"/>
        <v>1688.0450070323484</v>
      </c>
      <c r="P53" s="99">
        <f t="shared" si="4"/>
        <v>1704.3453564328313</v>
      </c>
      <c r="Q53" s="99">
        <f t="shared" si="5"/>
        <v>1764.3871645009365</v>
      </c>
    </row>
    <row r="54" spans="1:17" ht="20.100000000000001" customHeight="1" x14ac:dyDescent="0.2">
      <c r="A54" s="191" t="s">
        <v>20</v>
      </c>
      <c r="B54" s="187" t="s">
        <v>8</v>
      </c>
      <c r="C54" s="97">
        <v>201.86</v>
      </c>
      <c r="D54" s="97">
        <v>206.75</v>
      </c>
      <c r="E54" s="97">
        <v>208.99</v>
      </c>
      <c r="F54" s="97">
        <v>211.28</v>
      </c>
      <c r="G54" s="96">
        <v>213</v>
      </c>
      <c r="H54" s="97">
        <v>327.77333333333337</v>
      </c>
      <c r="I54" s="96">
        <v>339.72666666666663</v>
      </c>
      <c r="J54" s="96">
        <v>346.4</v>
      </c>
      <c r="K54" s="96">
        <v>352.61333333333334</v>
      </c>
      <c r="L54" s="96">
        <v>356.34899999999999</v>
      </c>
      <c r="M54" s="99">
        <f t="shared" si="1"/>
        <v>1623.7656461574029</v>
      </c>
      <c r="N54" s="99">
        <f t="shared" si="2"/>
        <v>1643.1761386537685</v>
      </c>
      <c r="O54" s="99">
        <f t="shared" si="3"/>
        <v>1657.4955739509064</v>
      </c>
      <c r="P54" s="99">
        <f t="shared" si="4"/>
        <v>1668.9385333838193</v>
      </c>
      <c r="Q54" s="99">
        <f t="shared" si="5"/>
        <v>1673</v>
      </c>
    </row>
    <row r="55" spans="1:17" ht="20.100000000000001" customHeight="1" x14ac:dyDescent="0.2">
      <c r="A55" s="192"/>
      <c r="B55" s="187" t="s">
        <v>9</v>
      </c>
      <c r="C55" s="100">
        <v>4.8</v>
      </c>
      <c r="D55" s="100">
        <v>5.25</v>
      </c>
      <c r="E55" s="100">
        <v>5.46</v>
      </c>
      <c r="F55" s="100">
        <v>5.67</v>
      </c>
      <c r="G55" s="96">
        <v>5.81</v>
      </c>
      <c r="H55" s="100">
        <v>8.9333333333333336</v>
      </c>
      <c r="I55" s="96">
        <v>9.9015000000000004</v>
      </c>
      <c r="J55" s="96">
        <v>10.293333333333333</v>
      </c>
      <c r="K55" s="96">
        <v>10.7</v>
      </c>
      <c r="L55" s="96">
        <v>11.039</v>
      </c>
      <c r="M55" s="99">
        <f t="shared" si="1"/>
        <v>1861.1111111111111</v>
      </c>
      <c r="N55" s="99">
        <f t="shared" si="2"/>
        <v>1886.0000000000002</v>
      </c>
      <c r="O55" s="99">
        <f t="shared" si="3"/>
        <v>1885.2258852258851</v>
      </c>
      <c r="P55" s="99">
        <f t="shared" si="4"/>
        <v>1887.1252204585537</v>
      </c>
      <c r="Q55" s="99">
        <f t="shared" si="5"/>
        <v>1900.0000000000002</v>
      </c>
    </row>
    <row r="56" spans="1:17" s="8" customFormat="1" ht="20.100000000000001" customHeight="1" x14ac:dyDescent="0.2">
      <c r="A56" s="182"/>
      <c r="B56" s="187" t="s">
        <v>10</v>
      </c>
      <c r="C56" s="96">
        <f t="shared" ref="C56:L56" si="24">C54+C55</f>
        <v>206.66000000000003</v>
      </c>
      <c r="D56" s="96">
        <f t="shared" si="24"/>
        <v>212</v>
      </c>
      <c r="E56" s="96">
        <f t="shared" si="24"/>
        <v>214.45000000000002</v>
      </c>
      <c r="F56" s="96">
        <f t="shared" si="24"/>
        <v>216.95</v>
      </c>
      <c r="G56" s="96">
        <f t="shared" si="24"/>
        <v>218.81</v>
      </c>
      <c r="H56" s="96">
        <f t="shared" si="24"/>
        <v>336.70666666666671</v>
      </c>
      <c r="I56" s="96">
        <f t="shared" si="24"/>
        <v>349.62816666666663</v>
      </c>
      <c r="J56" s="96">
        <f t="shared" si="24"/>
        <v>356.69333333333333</v>
      </c>
      <c r="K56" s="96">
        <f t="shared" si="24"/>
        <v>363.31333333333333</v>
      </c>
      <c r="L56" s="96">
        <f t="shared" si="24"/>
        <v>367.38799999999998</v>
      </c>
      <c r="M56" s="99">
        <f t="shared" si="1"/>
        <v>1629.2783638181875</v>
      </c>
      <c r="N56" s="99">
        <f t="shared" si="2"/>
        <v>1649.1894654088048</v>
      </c>
      <c r="O56" s="99">
        <f t="shared" si="3"/>
        <v>1663.2936970544802</v>
      </c>
      <c r="P56" s="99">
        <f t="shared" si="4"/>
        <v>1674.6408542674965</v>
      </c>
      <c r="Q56" s="99">
        <f t="shared" si="5"/>
        <v>1679.0274667519764</v>
      </c>
    </row>
    <row r="57" spans="1:17" ht="20.25" customHeight="1" x14ac:dyDescent="0.2">
      <c r="A57" s="172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5"/>
      <c r="N57" s="175"/>
      <c r="O57" s="175"/>
      <c r="P57" s="174" t="s">
        <v>31</v>
      </c>
      <c r="Q57" s="174"/>
    </row>
    <row r="58" spans="1:17" ht="24.75" customHeight="1" x14ac:dyDescent="0.2">
      <c r="A58" s="172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5"/>
      <c r="N58" s="175"/>
      <c r="O58" s="175"/>
      <c r="P58" s="174"/>
      <c r="Q58" s="174"/>
    </row>
    <row r="59" spans="1:17" ht="20.25" customHeight="1" thickBot="1" x14ac:dyDescent="0.25">
      <c r="A59" s="172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5"/>
      <c r="N59" s="175"/>
      <c r="O59" s="175"/>
      <c r="P59" s="174"/>
      <c r="Q59" s="174"/>
    </row>
    <row r="60" spans="1:17" ht="19.5" customHeight="1" x14ac:dyDescent="0.2">
      <c r="A60" s="349" t="s">
        <v>1</v>
      </c>
      <c r="B60" s="340" t="s">
        <v>0</v>
      </c>
      <c r="C60" s="342" t="s">
        <v>174</v>
      </c>
      <c r="D60" s="342"/>
      <c r="E60" s="342"/>
      <c r="F60" s="342"/>
      <c r="G60" s="342"/>
      <c r="H60" s="342" t="s">
        <v>68</v>
      </c>
      <c r="I60" s="342"/>
      <c r="J60" s="342"/>
      <c r="K60" s="342"/>
      <c r="L60" s="342"/>
      <c r="M60" s="342" t="s">
        <v>89</v>
      </c>
      <c r="N60" s="342"/>
      <c r="O60" s="342"/>
      <c r="P60" s="342"/>
      <c r="Q60" s="342"/>
    </row>
    <row r="61" spans="1:17" ht="21.75" customHeight="1" x14ac:dyDescent="0.2">
      <c r="A61" s="350"/>
      <c r="B61" s="340"/>
      <c r="C61" s="270" t="s">
        <v>112</v>
      </c>
      <c r="D61" s="270" t="s">
        <v>164</v>
      </c>
      <c r="E61" s="270" t="s">
        <v>199</v>
      </c>
      <c r="F61" s="270" t="s">
        <v>200</v>
      </c>
      <c r="G61" s="273" t="s">
        <v>202</v>
      </c>
      <c r="H61" s="270" t="s">
        <v>112</v>
      </c>
      <c r="I61" s="270" t="s">
        <v>164</v>
      </c>
      <c r="J61" s="270" t="s">
        <v>199</v>
      </c>
      <c r="K61" s="270" t="s">
        <v>200</v>
      </c>
      <c r="L61" s="273" t="s">
        <v>202</v>
      </c>
      <c r="M61" s="270" t="s">
        <v>112</v>
      </c>
      <c r="N61" s="270" t="s">
        <v>164</v>
      </c>
      <c r="O61" s="270" t="s">
        <v>199</v>
      </c>
      <c r="P61" s="270" t="s">
        <v>200</v>
      </c>
      <c r="Q61" s="273" t="s">
        <v>202</v>
      </c>
    </row>
    <row r="62" spans="1:17" ht="18" customHeight="1" x14ac:dyDescent="0.2">
      <c r="A62" s="187">
        <v>1</v>
      </c>
      <c r="B62" s="187">
        <v>2</v>
      </c>
      <c r="C62" s="233">
        <v>3</v>
      </c>
      <c r="D62" s="233">
        <v>4</v>
      </c>
      <c r="E62" s="233">
        <v>5</v>
      </c>
      <c r="F62" s="233">
        <v>6</v>
      </c>
      <c r="G62" s="233">
        <v>7</v>
      </c>
      <c r="H62" s="233">
        <v>8</v>
      </c>
      <c r="I62" s="233">
        <v>9</v>
      </c>
      <c r="J62" s="233">
        <v>10</v>
      </c>
      <c r="K62" s="233">
        <v>11</v>
      </c>
      <c r="L62" s="233">
        <v>12</v>
      </c>
      <c r="M62" s="233">
        <v>13</v>
      </c>
      <c r="N62" s="233">
        <v>14</v>
      </c>
      <c r="O62" s="233">
        <v>15</v>
      </c>
      <c r="P62" s="233">
        <v>16</v>
      </c>
      <c r="Q62" s="233">
        <v>17</v>
      </c>
    </row>
    <row r="63" spans="1:17" ht="20.100000000000001" customHeight="1" x14ac:dyDescent="0.2">
      <c r="A63" s="189" t="s">
        <v>107</v>
      </c>
      <c r="B63" s="187" t="s">
        <v>110</v>
      </c>
      <c r="C63" s="97">
        <v>3630</v>
      </c>
      <c r="D63" s="76">
        <v>3544.4500000000003</v>
      </c>
      <c r="E63" s="76">
        <v>3585.19</v>
      </c>
      <c r="F63" s="76">
        <v>3648.1</v>
      </c>
      <c r="G63" s="96">
        <v>3690.14</v>
      </c>
      <c r="H63" s="97">
        <v>7532.25</v>
      </c>
      <c r="I63" s="76">
        <v>5855.97</v>
      </c>
      <c r="J63" s="76">
        <v>6807.8999999999987</v>
      </c>
      <c r="K63" s="76">
        <v>7427.5315999999993</v>
      </c>
      <c r="L63" s="96">
        <v>7657.0405000000001</v>
      </c>
      <c r="M63" s="99">
        <f>H63/C63*1000</f>
        <v>2075</v>
      </c>
      <c r="N63" s="99">
        <f t="shared" ref="N63:Q63" si="25">I63/D63*1000</f>
        <v>1652.1519558746772</v>
      </c>
      <c r="O63" s="99">
        <f t="shared" si="25"/>
        <v>1898.895177103584</v>
      </c>
      <c r="P63" s="99">
        <f t="shared" si="25"/>
        <v>2036</v>
      </c>
      <c r="Q63" s="99">
        <f t="shared" si="25"/>
        <v>2075</v>
      </c>
    </row>
    <row r="64" spans="1:17" ht="20.100000000000001" customHeight="1" x14ac:dyDescent="0.2">
      <c r="A64" s="189"/>
      <c r="B64" s="187" t="s">
        <v>9</v>
      </c>
      <c r="C64" s="100">
        <v>224.78</v>
      </c>
      <c r="D64" s="76">
        <v>221.94</v>
      </c>
      <c r="E64" s="76">
        <v>274.23</v>
      </c>
      <c r="F64" s="76">
        <v>292.61</v>
      </c>
      <c r="G64" s="96">
        <v>348.1</v>
      </c>
      <c r="H64" s="100">
        <v>793.69</v>
      </c>
      <c r="I64" s="76">
        <v>695.33802000000003</v>
      </c>
      <c r="J64" s="76">
        <v>925.80048000000011</v>
      </c>
      <c r="K64" s="76">
        <v>932.84068000000002</v>
      </c>
      <c r="L64" s="96">
        <v>1153.2553</v>
      </c>
      <c r="M64" s="99">
        <f t="shared" ref="M64:M101" si="26">H64/C64*1000</f>
        <v>3530.9636088619986</v>
      </c>
      <c r="N64" s="99">
        <f t="shared" ref="N64:N101" si="27">I64/D64*1000</f>
        <v>3133</v>
      </c>
      <c r="O64" s="99">
        <f t="shared" ref="O64:O101" si="28">J64/E64*1000</f>
        <v>3376.0000000000005</v>
      </c>
      <c r="P64" s="99">
        <f t="shared" ref="P64:P101" si="29">K64/F64*1000</f>
        <v>3187.9999999999995</v>
      </c>
      <c r="Q64" s="99">
        <f t="shared" ref="Q64:Q101" si="30">L64/G64*1000</f>
        <v>3312.9999999999995</v>
      </c>
    </row>
    <row r="65" spans="1:17" s="8" customFormat="1" ht="20.100000000000001" customHeight="1" x14ac:dyDescent="0.2">
      <c r="A65" s="190"/>
      <c r="B65" s="32" t="s">
        <v>10</v>
      </c>
      <c r="C65" s="103">
        <f t="shared" ref="C65:L65" si="31">C63+C64</f>
        <v>3854.78</v>
      </c>
      <c r="D65" s="103">
        <f t="shared" si="31"/>
        <v>3766.3900000000003</v>
      </c>
      <c r="E65" s="103">
        <f t="shared" si="31"/>
        <v>3859.42</v>
      </c>
      <c r="F65" s="103">
        <f t="shared" si="31"/>
        <v>3940.71</v>
      </c>
      <c r="G65" s="103">
        <f t="shared" si="31"/>
        <v>4038.24</v>
      </c>
      <c r="H65" s="103">
        <f t="shared" si="31"/>
        <v>8325.94</v>
      </c>
      <c r="I65" s="103">
        <f t="shared" si="31"/>
        <v>6551.3080200000004</v>
      </c>
      <c r="J65" s="103">
        <f t="shared" si="31"/>
        <v>7733.7004799999986</v>
      </c>
      <c r="K65" s="103">
        <f t="shared" si="31"/>
        <v>8360.3722799999996</v>
      </c>
      <c r="L65" s="103">
        <f t="shared" si="31"/>
        <v>8810.2957999999999</v>
      </c>
      <c r="M65" s="285">
        <f t="shared" si="26"/>
        <v>2159.9001758855238</v>
      </c>
      <c r="N65" s="285">
        <f t="shared" si="27"/>
        <v>1739.4130772437265</v>
      </c>
      <c r="O65" s="285">
        <f t="shared" si="28"/>
        <v>2003.8504438490752</v>
      </c>
      <c r="P65" s="285">
        <f t="shared" si="29"/>
        <v>2121.5395905813925</v>
      </c>
      <c r="Q65" s="285">
        <f t="shared" si="30"/>
        <v>2181.7167379848652</v>
      </c>
    </row>
    <row r="66" spans="1:17" ht="20.100000000000001" customHeight="1" x14ac:dyDescent="0.2">
      <c r="A66" s="184" t="s">
        <v>21</v>
      </c>
      <c r="B66" s="187" t="s">
        <v>8</v>
      </c>
      <c r="C66" s="103">
        <v>2898</v>
      </c>
      <c r="D66" s="93">
        <v>3065</v>
      </c>
      <c r="E66" s="93">
        <v>3103</v>
      </c>
      <c r="F66" s="93">
        <v>2920</v>
      </c>
      <c r="G66" s="103">
        <v>2928</v>
      </c>
      <c r="H66" s="103">
        <v>11586.204</v>
      </c>
      <c r="I66" s="93">
        <v>13381.79</v>
      </c>
      <c r="J66" s="93">
        <v>12821.596</v>
      </c>
      <c r="K66" s="93">
        <v>11779.28</v>
      </c>
      <c r="L66" s="312">
        <v>12783.647999999999</v>
      </c>
      <c r="M66" s="285">
        <f t="shared" si="26"/>
        <v>3998</v>
      </c>
      <c r="N66" s="285">
        <f t="shared" si="27"/>
        <v>4366.0000000000009</v>
      </c>
      <c r="O66" s="285">
        <f t="shared" si="28"/>
        <v>4132</v>
      </c>
      <c r="P66" s="285">
        <f t="shared" si="29"/>
        <v>4034</v>
      </c>
      <c r="Q66" s="285">
        <f t="shared" si="30"/>
        <v>4366</v>
      </c>
    </row>
    <row r="67" spans="1:17" ht="20.100000000000001" customHeight="1" x14ac:dyDescent="0.2">
      <c r="A67" s="184" t="s">
        <v>36</v>
      </c>
      <c r="B67" s="187" t="s">
        <v>8</v>
      </c>
      <c r="C67" s="103">
        <v>197.75399999999999</v>
      </c>
      <c r="D67" s="93">
        <v>190.64099999999999</v>
      </c>
      <c r="E67" s="93">
        <v>197.81</v>
      </c>
      <c r="F67" s="93">
        <v>219.52</v>
      </c>
      <c r="G67" s="103">
        <v>231.47200000000001</v>
      </c>
      <c r="H67" s="103">
        <v>452.68200000000002</v>
      </c>
      <c r="I67" s="93">
        <v>450.86596499999996</v>
      </c>
      <c r="J67" s="93">
        <v>453.18271000000004</v>
      </c>
      <c r="K67" s="93">
        <v>480.52928000000003</v>
      </c>
      <c r="L67" s="309">
        <v>634.0018080000001</v>
      </c>
      <c r="M67" s="285">
        <f t="shared" si="26"/>
        <v>2289.116781455748</v>
      </c>
      <c r="N67" s="285">
        <f t="shared" si="27"/>
        <v>2364.9999999999995</v>
      </c>
      <c r="O67" s="285">
        <f t="shared" si="28"/>
        <v>2291.0000000000005</v>
      </c>
      <c r="P67" s="285">
        <f t="shared" si="29"/>
        <v>2189</v>
      </c>
      <c r="Q67" s="285">
        <f t="shared" si="30"/>
        <v>2739.0000000000005</v>
      </c>
    </row>
    <row r="68" spans="1:17" ht="20.100000000000001" customHeight="1" x14ac:dyDescent="0.2">
      <c r="A68" s="188" t="s">
        <v>43</v>
      </c>
      <c r="B68" s="187" t="s">
        <v>8</v>
      </c>
      <c r="C68" s="96">
        <v>10.65</v>
      </c>
      <c r="D68" s="76">
        <v>9.5009999999999994</v>
      </c>
      <c r="E68" s="76">
        <v>9.2560000000000002</v>
      </c>
      <c r="F68" s="76">
        <v>8.6850000000000005</v>
      </c>
      <c r="G68" s="96">
        <v>8.702</v>
      </c>
      <c r="H68" s="96">
        <v>19.670000000000002</v>
      </c>
      <c r="I68" s="76">
        <v>17.633856000000002</v>
      </c>
      <c r="J68" s="76">
        <v>17.179136</v>
      </c>
      <c r="K68" s="76">
        <v>16.13673</v>
      </c>
      <c r="L68" s="307">
        <v>16.194421999999999</v>
      </c>
      <c r="M68" s="99">
        <f t="shared" si="26"/>
        <v>1846.9483568075118</v>
      </c>
      <c r="N68" s="99">
        <f t="shared" si="27"/>
        <v>1856.0000000000002</v>
      </c>
      <c r="O68" s="99">
        <f t="shared" si="28"/>
        <v>1855.9999999999998</v>
      </c>
      <c r="P68" s="99">
        <f t="shared" si="29"/>
        <v>1857.9999999999998</v>
      </c>
      <c r="Q68" s="99">
        <f t="shared" si="30"/>
        <v>1861</v>
      </c>
    </row>
    <row r="69" spans="1:17" ht="20.100000000000001" customHeight="1" x14ac:dyDescent="0.2">
      <c r="A69" s="348" t="s">
        <v>11</v>
      </c>
      <c r="B69" s="187" t="s">
        <v>110</v>
      </c>
      <c r="C69" s="97">
        <v>1312.98</v>
      </c>
      <c r="D69" s="76">
        <v>1671.24739</v>
      </c>
      <c r="E69" s="76">
        <v>1572.7088468977042</v>
      </c>
      <c r="F69" s="76">
        <v>1742.437092650383</v>
      </c>
      <c r="G69" s="96">
        <v>1859.6595924512983</v>
      </c>
      <c r="H69" s="97">
        <v>2113.98</v>
      </c>
      <c r="I69" s="76">
        <v>5922.9007501599999</v>
      </c>
      <c r="J69" s="76">
        <v>5469.8813695102153</v>
      </c>
      <c r="K69" s="76">
        <v>6387.7743816563043</v>
      </c>
      <c r="L69" s="96">
        <v>6136.8766550892842</v>
      </c>
      <c r="M69" s="99">
        <f t="shared" si="26"/>
        <v>1610.0626056756387</v>
      </c>
      <c r="N69" s="99">
        <f t="shared" si="27"/>
        <v>3544</v>
      </c>
      <c r="O69" s="99">
        <f t="shared" si="28"/>
        <v>3478</v>
      </c>
      <c r="P69" s="99">
        <f t="shared" si="29"/>
        <v>3666.0000000000005</v>
      </c>
      <c r="Q69" s="99">
        <f t="shared" si="30"/>
        <v>3300</v>
      </c>
    </row>
    <row r="70" spans="1:17" ht="20.100000000000001" customHeight="1" x14ac:dyDescent="0.2">
      <c r="A70" s="346"/>
      <c r="B70" s="187" t="s">
        <v>9</v>
      </c>
      <c r="C70" s="100">
        <v>129.85</v>
      </c>
      <c r="D70" s="76">
        <v>157.666</v>
      </c>
      <c r="E70" s="76">
        <v>148.55115310229576</v>
      </c>
      <c r="F70" s="76">
        <v>164.97290734961689</v>
      </c>
      <c r="G70" s="96">
        <v>176.58040754870171</v>
      </c>
      <c r="H70" s="100">
        <v>255.42</v>
      </c>
      <c r="I70" s="76">
        <v>715.96130600000004</v>
      </c>
      <c r="J70" s="76">
        <v>661.0526313052161</v>
      </c>
      <c r="K70" s="76">
        <v>783.3685567969369</v>
      </c>
      <c r="L70" s="96">
        <v>744.28641781777776</v>
      </c>
      <c r="M70" s="99">
        <f t="shared" si="26"/>
        <v>1967.0388910281094</v>
      </c>
      <c r="N70" s="99">
        <f t="shared" si="27"/>
        <v>4541</v>
      </c>
      <c r="O70" s="99">
        <f t="shared" si="28"/>
        <v>4450</v>
      </c>
      <c r="P70" s="99">
        <f t="shared" si="29"/>
        <v>4748.4679113813054</v>
      </c>
      <c r="Q70" s="99">
        <f t="shared" si="30"/>
        <v>4215</v>
      </c>
    </row>
    <row r="71" spans="1:17" s="8" customFormat="1" ht="20.100000000000001" customHeight="1" x14ac:dyDescent="0.2">
      <c r="A71" s="347"/>
      <c r="B71" s="32" t="s">
        <v>10</v>
      </c>
      <c r="C71" s="103">
        <f t="shared" ref="C71:L71" si="32">C69+C70</f>
        <v>1442.83</v>
      </c>
      <c r="D71" s="103">
        <f t="shared" si="32"/>
        <v>1828.9133899999999</v>
      </c>
      <c r="E71" s="103">
        <f t="shared" si="32"/>
        <v>1721.26</v>
      </c>
      <c r="F71" s="103">
        <f t="shared" si="32"/>
        <v>1907.4099999999999</v>
      </c>
      <c r="G71" s="103">
        <f t="shared" si="32"/>
        <v>2036.24</v>
      </c>
      <c r="H71" s="103">
        <f t="shared" si="32"/>
        <v>2369.4</v>
      </c>
      <c r="I71" s="103">
        <f t="shared" si="32"/>
        <v>6638.8620561600001</v>
      </c>
      <c r="J71" s="103">
        <f t="shared" si="32"/>
        <v>6130.9340008154313</v>
      </c>
      <c r="K71" s="103">
        <f t="shared" si="32"/>
        <v>7171.1429384532412</v>
      </c>
      <c r="L71" s="103">
        <f t="shared" si="32"/>
        <v>6881.1630729070621</v>
      </c>
      <c r="M71" s="285">
        <f t="shared" si="26"/>
        <v>1642.1893085117445</v>
      </c>
      <c r="N71" s="285">
        <f t="shared" si="27"/>
        <v>3629.9488496609456</v>
      </c>
      <c r="O71" s="285">
        <f t="shared" si="28"/>
        <v>3561.8872226249559</v>
      </c>
      <c r="P71" s="285">
        <f t="shared" si="29"/>
        <v>3759.6232264973141</v>
      </c>
      <c r="Q71" s="285">
        <f t="shared" si="30"/>
        <v>3379.3477551305655</v>
      </c>
    </row>
    <row r="72" spans="1:17" ht="20.100000000000001" customHeight="1" x14ac:dyDescent="0.2">
      <c r="A72" s="346" t="s">
        <v>109</v>
      </c>
      <c r="B72" s="187" t="s">
        <v>110</v>
      </c>
      <c r="C72" s="97">
        <v>889</v>
      </c>
      <c r="D72" s="76">
        <v>1047</v>
      </c>
      <c r="E72" s="76">
        <v>1189</v>
      </c>
      <c r="F72" s="76">
        <v>1096</v>
      </c>
      <c r="G72" s="96">
        <v>1800</v>
      </c>
      <c r="H72" s="97">
        <v>2659.8879999999999</v>
      </c>
      <c r="I72" s="76">
        <v>2946.2579999999998</v>
      </c>
      <c r="J72" s="76">
        <v>4134.1530000000002</v>
      </c>
      <c r="K72" s="76">
        <v>4021.2240000000002</v>
      </c>
      <c r="L72" s="96">
        <v>5439.6</v>
      </c>
      <c r="M72" s="99">
        <f t="shared" si="26"/>
        <v>2992</v>
      </c>
      <c r="N72" s="99">
        <f t="shared" si="27"/>
        <v>2813.9999999999995</v>
      </c>
      <c r="O72" s="99">
        <f t="shared" si="28"/>
        <v>3477.0000000000005</v>
      </c>
      <c r="P72" s="99">
        <f t="shared" si="29"/>
        <v>3669</v>
      </c>
      <c r="Q72" s="99">
        <f t="shared" si="30"/>
        <v>3022.0000000000005</v>
      </c>
    </row>
    <row r="73" spans="1:17" ht="20.100000000000001" customHeight="1" x14ac:dyDescent="0.2">
      <c r="A73" s="346"/>
      <c r="B73" s="187" t="s">
        <v>9</v>
      </c>
      <c r="C73" s="100">
        <v>793.17</v>
      </c>
      <c r="D73" s="76">
        <v>915</v>
      </c>
      <c r="E73" s="76">
        <v>743</v>
      </c>
      <c r="F73" s="76">
        <v>915</v>
      </c>
      <c r="G73" s="96">
        <v>1386.4</v>
      </c>
      <c r="H73" s="100">
        <v>2513.55573</v>
      </c>
      <c r="I73" s="76">
        <v>3315.96</v>
      </c>
      <c r="J73" s="76">
        <v>2535.8589999999999</v>
      </c>
      <c r="K73" s="76">
        <v>3406.5450000000001</v>
      </c>
      <c r="L73" s="96">
        <v>4777.5344000000005</v>
      </c>
      <c r="M73" s="99">
        <f t="shared" si="26"/>
        <v>3169</v>
      </c>
      <c r="N73" s="99">
        <f t="shared" si="27"/>
        <v>3624</v>
      </c>
      <c r="O73" s="99">
        <f t="shared" si="28"/>
        <v>3413</v>
      </c>
      <c r="P73" s="99">
        <f t="shared" si="29"/>
        <v>3723</v>
      </c>
      <c r="Q73" s="99">
        <f t="shared" si="30"/>
        <v>3446</v>
      </c>
    </row>
    <row r="74" spans="1:17" s="8" customFormat="1" ht="20.100000000000001" customHeight="1" x14ac:dyDescent="0.2">
      <c r="A74" s="347"/>
      <c r="B74" s="32" t="s">
        <v>10</v>
      </c>
      <c r="C74" s="103">
        <f t="shared" ref="C74:L74" si="33">C72+C73</f>
        <v>1682.17</v>
      </c>
      <c r="D74" s="103">
        <f t="shared" si="33"/>
        <v>1962</v>
      </c>
      <c r="E74" s="103">
        <f t="shared" si="33"/>
        <v>1932</v>
      </c>
      <c r="F74" s="103">
        <f t="shared" si="33"/>
        <v>2011</v>
      </c>
      <c r="G74" s="103">
        <f t="shared" si="33"/>
        <v>3186.4</v>
      </c>
      <c r="H74" s="103">
        <f t="shared" si="33"/>
        <v>5173.44373</v>
      </c>
      <c r="I74" s="103">
        <f t="shared" si="33"/>
        <v>6262.2179999999998</v>
      </c>
      <c r="J74" s="103">
        <f t="shared" si="33"/>
        <v>6670.0120000000006</v>
      </c>
      <c r="K74" s="103">
        <f t="shared" si="33"/>
        <v>7427.7690000000002</v>
      </c>
      <c r="L74" s="103">
        <f t="shared" si="33"/>
        <v>10217.134400000001</v>
      </c>
      <c r="M74" s="285">
        <f t="shared" si="26"/>
        <v>3075.4583246639754</v>
      </c>
      <c r="N74" s="285">
        <f t="shared" si="27"/>
        <v>3191.7522935779816</v>
      </c>
      <c r="O74" s="285">
        <f t="shared" si="28"/>
        <v>3452.3871635610772</v>
      </c>
      <c r="P74" s="285">
        <f t="shared" si="29"/>
        <v>3693.5698657384387</v>
      </c>
      <c r="Q74" s="285">
        <f t="shared" si="30"/>
        <v>3206.4820487070051</v>
      </c>
    </row>
    <row r="75" spans="1:17" ht="20.100000000000001" customHeight="1" x14ac:dyDescent="0.2">
      <c r="A75" s="188" t="s">
        <v>59</v>
      </c>
      <c r="B75" s="187" t="s">
        <v>110</v>
      </c>
      <c r="C75" s="97">
        <v>205.22899999999998</v>
      </c>
      <c r="D75" s="76">
        <v>201.84399999999999</v>
      </c>
      <c r="E75" s="76">
        <v>198.64400000000001</v>
      </c>
      <c r="F75" s="76">
        <v>196.75799999999998</v>
      </c>
      <c r="G75" s="96">
        <v>198.19400000000002</v>
      </c>
      <c r="H75" s="97">
        <v>583.13499999999999</v>
      </c>
      <c r="I75" s="76">
        <v>576.97699999999998</v>
      </c>
      <c r="J75" s="76">
        <v>560.649</v>
      </c>
      <c r="K75" s="76">
        <v>582.1400000000001</v>
      </c>
      <c r="L75" s="96">
        <v>585.26688200000012</v>
      </c>
      <c r="M75" s="99">
        <f t="shared" si="26"/>
        <v>2841.3869384930981</v>
      </c>
      <c r="N75" s="99">
        <f t="shared" si="27"/>
        <v>2858.5293593071879</v>
      </c>
      <c r="O75" s="99">
        <f t="shared" si="28"/>
        <v>2822.380741426874</v>
      </c>
      <c r="P75" s="99">
        <f t="shared" si="29"/>
        <v>2958.6598765996819</v>
      </c>
      <c r="Q75" s="99">
        <f t="shared" si="30"/>
        <v>2953.0000000000005</v>
      </c>
    </row>
    <row r="76" spans="1:17" ht="20.100000000000001" customHeight="1" x14ac:dyDescent="0.2">
      <c r="A76" s="189"/>
      <c r="B76" s="187" t="s">
        <v>9</v>
      </c>
      <c r="C76" s="100">
        <v>71.876999999999995</v>
      </c>
      <c r="D76" s="76">
        <v>72.244</v>
      </c>
      <c r="E76" s="76">
        <v>70.742000000000004</v>
      </c>
      <c r="F76" s="76">
        <v>70.576999999999998</v>
      </c>
      <c r="G76" s="96">
        <v>65.599000000000004</v>
      </c>
      <c r="H76" s="100">
        <v>231.50899999999999</v>
      </c>
      <c r="I76" s="76">
        <v>235.081976</v>
      </c>
      <c r="J76" s="76">
        <v>232.52895400000003</v>
      </c>
      <c r="K76" s="76">
        <v>228.10486399999999</v>
      </c>
      <c r="L76" s="96">
        <v>217.85427900000002</v>
      </c>
      <c r="M76" s="99">
        <f t="shared" si="26"/>
        <v>3220.9051574217065</v>
      </c>
      <c r="N76" s="99">
        <f t="shared" si="27"/>
        <v>3254</v>
      </c>
      <c r="O76" s="99">
        <f t="shared" si="28"/>
        <v>3287.0000000000005</v>
      </c>
      <c r="P76" s="99">
        <f t="shared" si="29"/>
        <v>3231.9999999999995</v>
      </c>
      <c r="Q76" s="99">
        <f t="shared" si="30"/>
        <v>3321</v>
      </c>
    </row>
    <row r="77" spans="1:17" s="8" customFormat="1" ht="20.100000000000001" customHeight="1" x14ac:dyDescent="0.2">
      <c r="A77" s="190"/>
      <c r="B77" s="32" t="s">
        <v>10</v>
      </c>
      <c r="C77" s="96">
        <f t="shared" ref="C77:L77" si="34">C75+C76</f>
        <v>277.10599999999999</v>
      </c>
      <c r="D77" s="96">
        <f t="shared" si="34"/>
        <v>274.08799999999997</v>
      </c>
      <c r="E77" s="96">
        <f t="shared" si="34"/>
        <v>269.38600000000002</v>
      </c>
      <c r="F77" s="96">
        <f t="shared" si="34"/>
        <v>267.33499999999998</v>
      </c>
      <c r="G77" s="96">
        <f t="shared" si="34"/>
        <v>263.79300000000001</v>
      </c>
      <c r="H77" s="96">
        <f t="shared" si="34"/>
        <v>814.64400000000001</v>
      </c>
      <c r="I77" s="96">
        <f t="shared" si="34"/>
        <v>812.05897600000003</v>
      </c>
      <c r="J77" s="96">
        <f t="shared" si="34"/>
        <v>793.177954</v>
      </c>
      <c r="K77" s="96">
        <f t="shared" si="34"/>
        <v>810.24486400000012</v>
      </c>
      <c r="L77" s="96">
        <f t="shared" si="34"/>
        <v>803.12116100000014</v>
      </c>
      <c r="M77" s="99">
        <f t="shared" si="26"/>
        <v>2939.8280802292261</v>
      </c>
      <c r="N77" s="99">
        <f t="shared" si="27"/>
        <v>2962.767344794373</v>
      </c>
      <c r="O77" s="99">
        <f t="shared" si="28"/>
        <v>2944.3918911895935</v>
      </c>
      <c r="P77" s="99">
        <f t="shared" si="29"/>
        <v>3030.8222417565985</v>
      </c>
      <c r="Q77" s="99">
        <f t="shared" si="30"/>
        <v>3044.5127846455371</v>
      </c>
    </row>
    <row r="78" spans="1:17" ht="20.100000000000001" customHeight="1" x14ac:dyDescent="0.2">
      <c r="A78" s="188" t="s">
        <v>35</v>
      </c>
      <c r="B78" s="187" t="s">
        <v>8</v>
      </c>
      <c r="C78" s="97">
        <v>5966</v>
      </c>
      <c r="D78" s="76">
        <v>5788</v>
      </c>
      <c r="E78" s="76">
        <v>5719</v>
      </c>
      <c r="F78" s="76">
        <v>5711</v>
      </c>
      <c r="G78" s="96">
        <v>5652</v>
      </c>
      <c r="H78" s="97">
        <v>13680.038</v>
      </c>
      <c r="I78" s="76">
        <v>13196.64</v>
      </c>
      <c r="J78" s="76">
        <v>15458.457</v>
      </c>
      <c r="K78" s="76">
        <v>15436.833000000001</v>
      </c>
      <c r="L78" s="96">
        <v>15429.96</v>
      </c>
      <c r="M78" s="99">
        <f t="shared" si="26"/>
        <v>2293</v>
      </c>
      <c r="N78" s="99">
        <f t="shared" si="27"/>
        <v>2280</v>
      </c>
      <c r="O78" s="99">
        <f t="shared" si="28"/>
        <v>2703</v>
      </c>
      <c r="P78" s="99">
        <f t="shared" si="29"/>
        <v>2703.0000000000005</v>
      </c>
      <c r="Q78" s="99">
        <f t="shared" si="30"/>
        <v>2730</v>
      </c>
    </row>
    <row r="79" spans="1:17" ht="20.100000000000001" customHeight="1" x14ac:dyDescent="0.2">
      <c r="A79" s="189"/>
      <c r="B79" s="187" t="s">
        <v>9</v>
      </c>
      <c r="C79" s="100">
        <v>26</v>
      </c>
      <c r="D79" s="76">
        <v>26</v>
      </c>
      <c r="E79" s="76">
        <v>29</v>
      </c>
      <c r="F79" s="76">
        <v>26</v>
      </c>
      <c r="G79" s="96">
        <v>26</v>
      </c>
      <c r="H79" s="100">
        <v>74</v>
      </c>
      <c r="I79" s="76">
        <v>77.349999999999994</v>
      </c>
      <c r="J79" s="76">
        <v>86.825999999999993</v>
      </c>
      <c r="K79" s="76">
        <v>80.963999999999999</v>
      </c>
      <c r="L79" s="96">
        <v>90.063999999999993</v>
      </c>
      <c r="M79" s="99">
        <f t="shared" si="26"/>
        <v>2846.1538461538462</v>
      </c>
      <c r="N79" s="99">
        <f t="shared" si="27"/>
        <v>2974.9999999999995</v>
      </c>
      <c r="O79" s="99">
        <f t="shared" si="28"/>
        <v>2994</v>
      </c>
      <c r="P79" s="99">
        <f t="shared" si="29"/>
        <v>3114</v>
      </c>
      <c r="Q79" s="99">
        <f t="shared" si="30"/>
        <v>3463.9999999999995</v>
      </c>
    </row>
    <row r="80" spans="1:17" s="8" customFormat="1" ht="20.100000000000001" customHeight="1" x14ac:dyDescent="0.2">
      <c r="A80" s="190"/>
      <c r="B80" s="32" t="s">
        <v>10</v>
      </c>
      <c r="C80" s="103">
        <f t="shared" ref="C80:L80" si="35">C78+C79</f>
        <v>5992</v>
      </c>
      <c r="D80" s="103">
        <f t="shared" si="35"/>
        <v>5814</v>
      </c>
      <c r="E80" s="103">
        <f t="shared" si="35"/>
        <v>5748</v>
      </c>
      <c r="F80" s="103">
        <f t="shared" si="35"/>
        <v>5737</v>
      </c>
      <c r="G80" s="103">
        <f t="shared" si="35"/>
        <v>5678</v>
      </c>
      <c r="H80" s="103">
        <f t="shared" si="35"/>
        <v>13754.038</v>
      </c>
      <c r="I80" s="103">
        <f t="shared" si="35"/>
        <v>13273.99</v>
      </c>
      <c r="J80" s="103">
        <f t="shared" si="35"/>
        <v>15545.282999999999</v>
      </c>
      <c r="K80" s="103">
        <f t="shared" si="35"/>
        <v>15517.797</v>
      </c>
      <c r="L80" s="103">
        <f t="shared" si="35"/>
        <v>15520.023999999999</v>
      </c>
      <c r="M80" s="285">
        <f t="shared" si="26"/>
        <v>2295.4002002670227</v>
      </c>
      <c r="N80" s="285">
        <f t="shared" si="27"/>
        <v>2283.1080151358788</v>
      </c>
      <c r="O80" s="285">
        <f t="shared" si="28"/>
        <v>2704.4681628392482</v>
      </c>
      <c r="P80" s="285">
        <f t="shared" si="29"/>
        <v>2704.8626459822208</v>
      </c>
      <c r="Q80" s="285">
        <f t="shared" si="30"/>
        <v>2733.361042620641</v>
      </c>
    </row>
    <row r="81" spans="1:17" ht="20.100000000000001" customHeight="1" x14ac:dyDescent="0.2">
      <c r="A81" s="188" t="s">
        <v>108</v>
      </c>
      <c r="B81" s="187" t="s">
        <v>8</v>
      </c>
      <c r="C81" s="97">
        <v>246</v>
      </c>
      <c r="D81" s="76">
        <v>239</v>
      </c>
      <c r="E81" s="76">
        <v>239</v>
      </c>
      <c r="F81" s="76">
        <v>230</v>
      </c>
      <c r="G81" s="96">
        <v>238</v>
      </c>
      <c r="H81" s="97">
        <v>573</v>
      </c>
      <c r="I81" s="76">
        <v>604.90899999999999</v>
      </c>
      <c r="J81" s="76">
        <v>561.65</v>
      </c>
      <c r="K81" s="76">
        <v>597.77</v>
      </c>
      <c r="L81" s="96">
        <v>657.35599999999999</v>
      </c>
      <c r="M81" s="99">
        <f t="shared" si="26"/>
        <v>2329.2682926829266</v>
      </c>
      <c r="N81" s="99">
        <f t="shared" si="27"/>
        <v>2531</v>
      </c>
      <c r="O81" s="99">
        <f t="shared" si="28"/>
        <v>2350</v>
      </c>
      <c r="P81" s="99">
        <f t="shared" si="29"/>
        <v>2598.9999999999995</v>
      </c>
      <c r="Q81" s="99">
        <f t="shared" si="30"/>
        <v>2762</v>
      </c>
    </row>
    <row r="82" spans="1:17" ht="20.100000000000001" customHeight="1" x14ac:dyDescent="0.2">
      <c r="A82" s="189"/>
      <c r="B82" s="187" t="s">
        <v>9</v>
      </c>
      <c r="C82" s="100">
        <v>15</v>
      </c>
      <c r="D82" s="76">
        <v>13</v>
      </c>
      <c r="E82" s="76">
        <v>17</v>
      </c>
      <c r="F82" s="76">
        <v>17</v>
      </c>
      <c r="G82" s="96">
        <v>16</v>
      </c>
      <c r="H82" s="100">
        <v>57</v>
      </c>
      <c r="I82" s="76">
        <v>41.781999999999996</v>
      </c>
      <c r="J82" s="76">
        <v>55.912999999999997</v>
      </c>
      <c r="K82" s="76">
        <v>60.604999999999997</v>
      </c>
      <c r="L82" s="96">
        <v>57.52</v>
      </c>
      <c r="M82" s="99">
        <f t="shared" si="26"/>
        <v>3800</v>
      </c>
      <c r="N82" s="99">
        <f t="shared" si="27"/>
        <v>3213.9999999999995</v>
      </c>
      <c r="O82" s="99">
        <f t="shared" si="28"/>
        <v>3288.9999999999995</v>
      </c>
      <c r="P82" s="99">
        <f t="shared" si="29"/>
        <v>3565</v>
      </c>
      <c r="Q82" s="99">
        <f t="shared" si="30"/>
        <v>3595</v>
      </c>
    </row>
    <row r="83" spans="1:17" s="8" customFormat="1" ht="20.100000000000001" customHeight="1" x14ac:dyDescent="0.2">
      <c r="A83" s="190"/>
      <c r="B83" s="187" t="s">
        <v>10</v>
      </c>
      <c r="C83" s="96">
        <f t="shared" ref="C83:L83" si="36">C81+C82</f>
        <v>261</v>
      </c>
      <c r="D83" s="96">
        <f t="shared" si="36"/>
        <v>252</v>
      </c>
      <c r="E83" s="96">
        <f t="shared" si="36"/>
        <v>256</v>
      </c>
      <c r="F83" s="96">
        <f t="shared" si="36"/>
        <v>247</v>
      </c>
      <c r="G83" s="96">
        <f t="shared" si="36"/>
        <v>254</v>
      </c>
      <c r="H83" s="96">
        <f t="shared" si="36"/>
        <v>630</v>
      </c>
      <c r="I83" s="96">
        <f t="shared" si="36"/>
        <v>646.69100000000003</v>
      </c>
      <c r="J83" s="96">
        <f t="shared" si="36"/>
        <v>617.56299999999999</v>
      </c>
      <c r="K83" s="96">
        <f t="shared" si="36"/>
        <v>658.375</v>
      </c>
      <c r="L83" s="96">
        <f t="shared" si="36"/>
        <v>714.87599999999998</v>
      </c>
      <c r="M83" s="99">
        <f t="shared" si="26"/>
        <v>2413.7931034482758</v>
      </c>
      <c r="N83" s="99">
        <f t="shared" si="27"/>
        <v>2566.2341269841268</v>
      </c>
      <c r="O83" s="99">
        <f t="shared" si="28"/>
        <v>2412.35546875</v>
      </c>
      <c r="P83" s="99">
        <f t="shared" si="29"/>
        <v>2665.4858299595144</v>
      </c>
      <c r="Q83" s="99">
        <f t="shared" si="30"/>
        <v>2814.4724409448818</v>
      </c>
    </row>
    <row r="84" spans="1:17" ht="20.100000000000001" customHeight="1" x14ac:dyDescent="0.2">
      <c r="A84" s="188" t="s">
        <v>13</v>
      </c>
      <c r="B84" s="187" t="s">
        <v>8</v>
      </c>
      <c r="C84" s="97">
        <v>4211.473</v>
      </c>
      <c r="D84" s="76">
        <v>3858</v>
      </c>
      <c r="E84" s="76">
        <v>4233.0720000000001</v>
      </c>
      <c r="F84" s="76">
        <v>4219.2030000000004</v>
      </c>
      <c r="G84" s="96">
        <v>4300.0780000000004</v>
      </c>
      <c r="H84" s="97">
        <v>10942.45972225</v>
      </c>
      <c r="I84" s="76">
        <v>10690.518</v>
      </c>
      <c r="J84" s="76">
        <v>11891.904999999999</v>
      </c>
      <c r="K84" s="76">
        <v>11341.217664000002</v>
      </c>
      <c r="L84" s="96">
        <v>11855.315046000002</v>
      </c>
      <c r="M84" s="99">
        <f t="shared" si="26"/>
        <v>2598.25</v>
      </c>
      <c r="N84" s="99">
        <f t="shared" si="27"/>
        <v>2771</v>
      </c>
      <c r="O84" s="99">
        <f t="shared" si="28"/>
        <v>2809.2848408909649</v>
      </c>
      <c r="P84" s="99">
        <f t="shared" si="29"/>
        <v>2688</v>
      </c>
      <c r="Q84" s="99">
        <f t="shared" si="30"/>
        <v>2757</v>
      </c>
    </row>
    <row r="85" spans="1:17" ht="20.100000000000001" customHeight="1" x14ac:dyDescent="0.2">
      <c r="A85" s="189"/>
      <c r="B85" s="187" t="s">
        <v>9</v>
      </c>
      <c r="C85" s="100">
        <v>1285</v>
      </c>
      <c r="D85" s="76">
        <v>1257.8</v>
      </c>
      <c r="E85" s="76">
        <v>1279.5</v>
      </c>
      <c r="F85" s="76">
        <v>1271.7719999999999</v>
      </c>
      <c r="G85" s="96">
        <v>1285.5509999999999</v>
      </c>
      <c r="H85" s="100">
        <v>4360</v>
      </c>
      <c r="I85" s="76">
        <v>4276.5200000000004</v>
      </c>
      <c r="J85" s="76">
        <v>4350.3</v>
      </c>
      <c r="K85" s="76">
        <v>4540.2260400000005</v>
      </c>
      <c r="L85" s="96">
        <v>4669.1212319999995</v>
      </c>
      <c r="M85" s="99">
        <f t="shared" si="26"/>
        <v>3392.9961089494163</v>
      </c>
      <c r="N85" s="99">
        <f t="shared" si="27"/>
        <v>3400.0000000000005</v>
      </c>
      <c r="O85" s="99">
        <f t="shared" si="28"/>
        <v>3400.0000000000005</v>
      </c>
      <c r="P85" s="99">
        <f t="shared" si="29"/>
        <v>3570.0000000000009</v>
      </c>
      <c r="Q85" s="99">
        <f t="shared" si="30"/>
        <v>3631.9999999999995</v>
      </c>
    </row>
    <row r="86" spans="1:17" s="8" customFormat="1" ht="20.100000000000001" customHeight="1" x14ac:dyDescent="0.2">
      <c r="A86" s="190"/>
      <c r="B86" s="32" t="s">
        <v>10</v>
      </c>
      <c r="C86" s="103">
        <f t="shared" ref="C86:L86" si="37">C84+C85</f>
        <v>5496.473</v>
      </c>
      <c r="D86" s="103">
        <f t="shared" si="37"/>
        <v>5115.8</v>
      </c>
      <c r="E86" s="103">
        <f t="shared" si="37"/>
        <v>5512.5720000000001</v>
      </c>
      <c r="F86" s="103">
        <f t="shared" si="37"/>
        <v>5490.9750000000004</v>
      </c>
      <c r="G86" s="103">
        <f t="shared" si="37"/>
        <v>5585.6290000000008</v>
      </c>
      <c r="H86" s="103">
        <f t="shared" si="37"/>
        <v>15302.45972225</v>
      </c>
      <c r="I86" s="103">
        <f t="shared" si="37"/>
        <v>14967.038</v>
      </c>
      <c r="J86" s="103">
        <f t="shared" si="37"/>
        <v>16242.204999999998</v>
      </c>
      <c r="K86" s="103">
        <f t="shared" si="37"/>
        <v>15881.443704000001</v>
      </c>
      <c r="L86" s="103">
        <f t="shared" si="37"/>
        <v>16524.436278000001</v>
      </c>
      <c r="M86" s="285">
        <f t="shared" si="26"/>
        <v>2784.0507398562681</v>
      </c>
      <c r="N86" s="285">
        <f t="shared" si="27"/>
        <v>2925.6495562766331</v>
      </c>
      <c r="O86" s="285">
        <f t="shared" si="28"/>
        <v>2946.3932625279085</v>
      </c>
      <c r="P86" s="285">
        <f t="shared" si="29"/>
        <v>2892.2811894062529</v>
      </c>
      <c r="Q86" s="285">
        <f t="shared" si="30"/>
        <v>2958.3841458141956</v>
      </c>
    </row>
    <row r="87" spans="1:17" s="8" customFormat="1" ht="20.100000000000001" customHeight="1" x14ac:dyDescent="0.2">
      <c r="A87" s="184" t="s">
        <v>32</v>
      </c>
      <c r="B87" s="187" t="s">
        <v>8</v>
      </c>
      <c r="C87" s="97">
        <v>4.8765000000000001</v>
      </c>
      <c r="D87" s="76">
        <v>5.3405500000000004</v>
      </c>
      <c r="E87" s="76">
        <v>5.3911100000000003</v>
      </c>
      <c r="F87" s="76">
        <v>5.7011000000000003</v>
      </c>
      <c r="G87" s="310">
        <v>6.2560000000000002</v>
      </c>
      <c r="H87" s="97">
        <v>12.5937</v>
      </c>
      <c r="I87" s="76">
        <v>16.844094700000003</v>
      </c>
      <c r="J87" s="76">
        <v>11.440373333333334</v>
      </c>
      <c r="K87" s="76">
        <v>17.981269400000002</v>
      </c>
      <c r="L87" s="307">
        <v>13.344048000000001</v>
      </c>
      <c r="M87" s="99">
        <f t="shared" si="26"/>
        <v>2582.5284527837589</v>
      </c>
      <c r="N87" s="99">
        <f t="shared" si="27"/>
        <v>3154.0000000000005</v>
      </c>
      <c r="O87" s="99">
        <f t="shared" si="28"/>
        <v>2122.0812287883818</v>
      </c>
      <c r="P87" s="99">
        <f t="shared" si="29"/>
        <v>3154.0000000000005</v>
      </c>
      <c r="Q87" s="99">
        <f t="shared" si="30"/>
        <v>2133</v>
      </c>
    </row>
    <row r="88" spans="1:17" s="8" customFormat="1" ht="20.100000000000001" customHeight="1" x14ac:dyDescent="0.2">
      <c r="A88" s="184" t="s">
        <v>111</v>
      </c>
      <c r="B88" s="187" t="s">
        <v>8</v>
      </c>
      <c r="C88" s="97">
        <v>8.0000000000000004E-4</v>
      </c>
      <c r="D88" s="76">
        <v>1E-3</v>
      </c>
      <c r="E88" s="76">
        <v>1E-3</v>
      </c>
      <c r="F88" s="76">
        <v>0.8</v>
      </c>
      <c r="G88" s="310">
        <v>0.08</v>
      </c>
      <c r="H88" s="97">
        <v>2.8E-3</v>
      </c>
      <c r="I88" s="76">
        <v>7.3333333333333334E-4</v>
      </c>
      <c r="J88" s="76">
        <v>3.5333333333333332E-3</v>
      </c>
      <c r="K88" s="76">
        <v>4.4000000000000004</v>
      </c>
      <c r="L88" s="307">
        <v>0.44</v>
      </c>
      <c r="M88" s="99">
        <f t="shared" si="26"/>
        <v>3500</v>
      </c>
      <c r="N88" s="99">
        <f t="shared" si="27"/>
        <v>733.33333333333326</v>
      </c>
      <c r="O88" s="99">
        <f t="shared" si="28"/>
        <v>3533.333333333333</v>
      </c>
      <c r="P88" s="99">
        <f t="shared" si="29"/>
        <v>5500</v>
      </c>
      <c r="Q88" s="99">
        <f t="shared" si="30"/>
        <v>5500</v>
      </c>
    </row>
    <row r="89" spans="1:17" ht="20.100000000000001" customHeight="1" x14ac:dyDescent="0.2">
      <c r="A89" s="346" t="s">
        <v>54</v>
      </c>
      <c r="B89" s="187" t="s">
        <v>8</v>
      </c>
      <c r="C89" s="97">
        <v>14.233000000000001</v>
      </c>
      <c r="D89" s="76">
        <v>14.25</v>
      </c>
      <c r="E89" s="76">
        <v>14.2</v>
      </c>
      <c r="F89" s="76">
        <v>13.45</v>
      </c>
      <c r="G89" s="310">
        <v>15.853</v>
      </c>
      <c r="H89" s="97">
        <v>31.312666666666669</v>
      </c>
      <c r="I89" s="76">
        <v>31.35</v>
      </c>
      <c r="J89" s="76">
        <v>29.905199999999997</v>
      </c>
      <c r="K89" s="76">
        <v>27.796666666666663</v>
      </c>
      <c r="L89" s="307">
        <v>32.942534000000002</v>
      </c>
      <c r="M89" s="99">
        <f t="shared" si="26"/>
        <v>2200.0046839504439</v>
      </c>
      <c r="N89" s="99">
        <f t="shared" si="27"/>
        <v>2200</v>
      </c>
      <c r="O89" s="99">
        <f t="shared" si="28"/>
        <v>2106</v>
      </c>
      <c r="P89" s="99">
        <f t="shared" si="29"/>
        <v>2066.6666666666665</v>
      </c>
      <c r="Q89" s="99">
        <f t="shared" si="30"/>
        <v>2078.0000000000005</v>
      </c>
    </row>
    <row r="90" spans="1:17" ht="20.100000000000001" customHeight="1" x14ac:dyDescent="0.2">
      <c r="A90" s="346"/>
      <c r="B90" s="187" t="s">
        <v>9</v>
      </c>
      <c r="C90" s="96">
        <v>0.15</v>
      </c>
      <c r="D90" s="76">
        <v>0.15</v>
      </c>
      <c r="E90" s="76">
        <v>0.2</v>
      </c>
      <c r="F90" s="76">
        <v>3.35</v>
      </c>
      <c r="G90" s="96"/>
      <c r="H90" s="96">
        <v>0.35000000000000003</v>
      </c>
      <c r="I90" s="76">
        <v>0.35</v>
      </c>
      <c r="J90" s="76">
        <v>0.40600000000000003</v>
      </c>
      <c r="K90" s="76">
        <v>8.4866666666666681</v>
      </c>
      <c r="L90" s="96"/>
      <c r="M90" s="99">
        <f t="shared" si="26"/>
        <v>2333.3333333333335</v>
      </c>
      <c r="N90" s="99">
        <f t="shared" si="27"/>
        <v>2333.3333333333335</v>
      </c>
      <c r="O90" s="99">
        <f t="shared" si="28"/>
        <v>2029.9999999999998</v>
      </c>
      <c r="P90" s="99">
        <f t="shared" si="29"/>
        <v>2533.3333333333335</v>
      </c>
      <c r="Q90" s="99" t="e">
        <f t="shared" si="30"/>
        <v>#DIV/0!</v>
      </c>
    </row>
    <row r="91" spans="1:17" s="8" customFormat="1" ht="20.100000000000001" customHeight="1" x14ac:dyDescent="0.2">
      <c r="A91" s="347"/>
      <c r="B91" s="187" t="s">
        <v>10</v>
      </c>
      <c r="C91" s="96">
        <f t="shared" ref="C91:L91" si="38">C89+C90</f>
        <v>14.383000000000001</v>
      </c>
      <c r="D91" s="96">
        <f t="shared" si="38"/>
        <v>14.4</v>
      </c>
      <c r="E91" s="96">
        <f t="shared" si="38"/>
        <v>14.399999999999999</v>
      </c>
      <c r="F91" s="96">
        <f t="shared" si="38"/>
        <v>16.8</v>
      </c>
      <c r="G91" s="96">
        <f t="shared" si="38"/>
        <v>15.853</v>
      </c>
      <c r="H91" s="96">
        <f t="shared" si="38"/>
        <v>31.66266666666667</v>
      </c>
      <c r="I91" s="96">
        <f t="shared" si="38"/>
        <v>31.700000000000003</v>
      </c>
      <c r="J91" s="96">
        <f t="shared" si="38"/>
        <v>30.311199999999996</v>
      </c>
      <c r="K91" s="96">
        <f t="shared" si="38"/>
        <v>36.283333333333331</v>
      </c>
      <c r="L91" s="96">
        <f t="shared" si="38"/>
        <v>32.942534000000002</v>
      </c>
      <c r="M91" s="99">
        <f t="shared" si="26"/>
        <v>2201.395165589006</v>
      </c>
      <c r="N91" s="99">
        <f t="shared" si="27"/>
        <v>2201.3888888888887</v>
      </c>
      <c r="O91" s="99">
        <f t="shared" si="28"/>
        <v>2104.9444444444443</v>
      </c>
      <c r="P91" s="99">
        <f t="shared" si="29"/>
        <v>2159.7222222222217</v>
      </c>
      <c r="Q91" s="99">
        <f t="shared" si="30"/>
        <v>2078.0000000000005</v>
      </c>
    </row>
    <row r="92" spans="1:17" s="8" customFormat="1" ht="20.100000000000001" customHeight="1" x14ac:dyDescent="0.2">
      <c r="A92" s="184" t="s">
        <v>55</v>
      </c>
      <c r="B92" s="187" t="s">
        <v>8</v>
      </c>
      <c r="C92" s="97">
        <v>5.9729999999999999</v>
      </c>
      <c r="D92" s="76">
        <v>5.8540000000000001</v>
      </c>
      <c r="E92" s="76">
        <v>5.85</v>
      </c>
      <c r="F92" s="76">
        <v>5.84</v>
      </c>
      <c r="G92" s="311">
        <v>6.1710000000000003</v>
      </c>
      <c r="H92" s="97">
        <v>17.260666666666665</v>
      </c>
      <c r="I92" s="76">
        <v>16.836103999999999</v>
      </c>
      <c r="J92" s="76">
        <v>16.832421340629271</v>
      </c>
      <c r="K92" s="76">
        <v>16.800000000000004</v>
      </c>
      <c r="L92" s="307">
        <v>19.747199999999999</v>
      </c>
      <c r="M92" s="99">
        <f t="shared" si="26"/>
        <v>2889.7817958591436</v>
      </c>
      <c r="N92" s="99">
        <f t="shared" si="27"/>
        <v>2876</v>
      </c>
      <c r="O92" s="99">
        <f t="shared" si="28"/>
        <v>2877.336981304149</v>
      </c>
      <c r="P92" s="99">
        <f t="shared" si="29"/>
        <v>2876.7123287671243</v>
      </c>
      <c r="Q92" s="99">
        <f t="shared" si="30"/>
        <v>3199.9999999999995</v>
      </c>
    </row>
    <row r="93" spans="1:17" s="8" customFormat="1" ht="20.100000000000001" customHeight="1" x14ac:dyDescent="0.2">
      <c r="A93" s="184" t="s">
        <v>63</v>
      </c>
      <c r="B93" s="187" t="s">
        <v>8</v>
      </c>
      <c r="C93" s="97">
        <v>1.7829999999999999</v>
      </c>
      <c r="D93" s="76">
        <v>1.7829999999999999</v>
      </c>
      <c r="E93" s="76">
        <v>1.4319999999999999</v>
      </c>
      <c r="F93" s="76">
        <v>0.95</v>
      </c>
      <c r="G93" s="310">
        <v>1.4339999999999999</v>
      </c>
      <c r="H93" s="97">
        <v>2.0306666666666664</v>
      </c>
      <c r="I93" s="76">
        <v>2.1788259999999999</v>
      </c>
      <c r="J93" s="76">
        <v>1.8226666666666667</v>
      </c>
      <c r="K93" s="76">
        <v>2.0266666666666668</v>
      </c>
      <c r="L93" s="307">
        <v>2.8049040000000001</v>
      </c>
      <c r="M93" s="99">
        <f t="shared" si="26"/>
        <v>1138.9044681248829</v>
      </c>
      <c r="N93" s="99">
        <f t="shared" si="27"/>
        <v>1222</v>
      </c>
      <c r="O93" s="99">
        <f t="shared" si="28"/>
        <v>1272.8119180633148</v>
      </c>
      <c r="P93" s="99">
        <f t="shared" si="29"/>
        <v>2133.3333333333339</v>
      </c>
      <c r="Q93" s="99">
        <f t="shared" si="30"/>
        <v>1956.0000000000002</v>
      </c>
    </row>
    <row r="94" spans="1:17" ht="20.100000000000001" hidden="1" customHeight="1" x14ac:dyDescent="0.2">
      <c r="A94" s="188"/>
      <c r="B94" s="187" t="s">
        <v>9</v>
      </c>
      <c r="C94" s="96"/>
      <c r="D94" s="76"/>
      <c r="E94" s="76"/>
      <c r="F94" s="76"/>
      <c r="G94" s="96"/>
      <c r="H94" s="96"/>
      <c r="I94" s="76"/>
      <c r="J94" s="76"/>
      <c r="K94" s="76"/>
      <c r="L94" s="96"/>
      <c r="M94" s="99" t="e">
        <f t="shared" si="26"/>
        <v>#DIV/0!</v>
      </c>
      <c r="N94" s="99" t="e">
        <f t="shared" si="27"/>
        <v>#DIV/0!</v>
      </c>
      <c r="O94" s="99" t="e">
        <f t="shared" si="28"/>
        <v>#DIV/0!</v>
      </c>
      <c r="P94" s="99" t="e">
        <f t="shared" si="29"/>
        <v>#DIV/0!</v>
      </c>
      <c r="Q94" s="99" t="e">
        <f t="shared" si="30"/>
        <v>#DIV/0!</v>
      </c>
    </row>
    <row r="95" spans="1:17" ht="20.100000000000001" hidden="1" customHeight="1" x14ac:dyDescent="0.2">
      <c r="A95" s="188"/>
      <c r="B95" s="187" t="s">
        <v>10</v>
      </c>
      <c r="C95" s="96"/>
      <c r="D95" s="76"/>
      <c r="E95" s="76"/>
      <c r="F95" s="76"/>
      <c r="G95" s="96"/>
      <c r="H95" s="96"/>
      <c r="I95" s="76"/>
      <c r="J95" s="76"/>
      <c r="K95" s="76"/>
      <c r="L95" s="96"/>
      <c r="M95" s="99" t="e">
        <f t="shared" si="26"/>
        <v>#DIV/0!</v>
      </c>
      <c r="N95" s="99" t="e">
        <f t="shared" si="27"/>
        <v>#DIV/0!</v>
      </c>
      <c r="O95" s="99" t="e">
        <f t="shared" si="28"/>
        <v>#DIV/0!</v>
      </c>
      <c r="P95" s="99" t="e">
        <f t="shared" si="29"/>
        <v>#DIV/0!</v>
      </c>
      <c r="Q95" s="99" t="e">
        <f t="shared" si="30"/>
        <v>#DIV/0!</v>
      </c>
    </row>
    <row r="96" spans="1:17" ht="20.25" customHeight="1" x14ac:dyDescent="0.2">
      <c r="A96" s="188" t="s">
        <v>163</v>
      </c>
      <c r="B96" s="187" t="s">
        <v>8</v>
      </c>
      <c r="C96" s="97">
        <v>12.105</v>
      </c>
      <c r="D96" s="76">
        <v>13.074000000000002</v>
      </c>
      <c r="E96" s="76">
        <v>13.346</v>
      </c>
      <c r="F96" s="76">
        <v>13.72</v>
      </c>
      <c r="G96" s="96">
        <v>4.3179999999999996</v>
      </c>
      <c r="H96" s="97">
        <v>36.174999999999997</v>
      </c>
      <c r="I96" s="76">
        <v>26.979333333333333</v>
      </c>
      <c r="J96" s="76">
        <v>46.716999999999999</v>
      </c>
      <c r="K96" s="76">
        <v>43.284999999999997</v>
      </c>
      <c r="L96" s="96">
        <v>14.452346</v>
      </c>
      <c r="M96" s="99">
        <f t="shared" si="26"/>
        <v>2988.4345311854604</v>
      </c>
      <c r="N96" s="99">
        <f t="shared" si="27"/>
        <v>2063.5867625312321</v>
      </c>
      <c r="O96" s="99">
        <f t="shared" si="28"/>
        <v>3500.4495729057394</v>
      </c>
      <c r="P96" s="99">
        <f t="shared" si="29"/>
        <v>3154.8833819241981</v>
      </c>
      <c r="Q96" s="99">
        <f t="shared" si="30"/>
        <v>3347.0000000000005</v>
      </c>
    </row>
    <row r="97" spans="1:17" ht="17.25" customHeight="1" x14ac:dyDescent="0.2">
      <c r="A97" s="189"/>
      <c r="B97" s="187" t="s">
        <v>9</v>
      </c>
      <c r="C97" s="100">
        <v>4.0999999999999996</v>
      </c>
      <c r="D97" s="76">
        <v>4.2969999999999997</v>
      </c>
      <c r="E97" s="76">
        <v>4.5149999999999997</v>
      </c>
      <c r="F97" s="76">
        <v>4.5179999999999998</v>
      </c>
      <c r="G97" s="96">
        <v>13.829000000000001</v>
      </c>
      <c r="H97" s="100">
        <v>15.989000000000001</v>
      </c>
      <c r="I97" s="76">
        <v>15.516466999999999</v>
      </c>
      <c r="J97" s="76">
        <v>16.624230000000001</v>
      </c>
      <c r="K97" s="76">
        <v>16.061489999999999</v>
      </c>
      <c r="L97" s="96">
        <v>35.554359000000005</v>
      </c>
      <c r="M97" s="99">
        <f t="shared" si="26"/>
        <v>3899.7560975609763</v>
      </c>
      <c r="N97" s="99">
        <f t="shared" si="27"/>
        <v>3610.9999999999995</v>
      </c>
      <c r="O97" s="99">
        <f t="shared" si="28"/>
        <v>3682.0000000000005</v>
      </c>
      <c r="P97" s="99">
        <f t="shared" si="29"/>
        <v>3555</v>
      </c>
      <c r="Q97" s="99">
        <f t="shared" si="30"/>
        <v>2571</v>
      </c>
    </row>
    <row r="98" spans="1:17" s="8" customFormat="1" ht="21" customHeight="1" x14ac:dyDescent="0.2">
      <c r="A98" s="190"/>
      <c r="B98" s="187" t="s">
        <v>10</v>
      </c>
      <c r="C98" s="96">
        <f t="shared" ref="C98:L98" si="39">C96+C97</f>
        <v>16.204999999999998</v>
      </c>
      <c r="D98" s="96">
        <f t="shared" si="39"/>
        <v>17.371000000000002</v>
      </c>
      <c r="E98" s="96">
        <f t="shared" si="39"/>
        <v>17.861000000000001</v>
      </c>
      <c r="F98" s="96">
        <f t="shared" si="39"/>
        <v>18.238</v>
      </c>
      <c r="G98" s="96">
        <f t="shared" si="39"/>
        <v>18.146999999999998</v>
      </c>
      <c r="H98" s="96">
        <f t="shared" si="39"/>
        <v>52.164000000000001</v>
      </c>
      <c r="I98" s="96">
        <f t="shared" si="39"/>
        <v>42.495800333333335</v>
      </c>
      <c r="J98" s="96">
        <f t="shared" si="39"/>
        <v>63.341229999999996</v>
      </c>
      <c r="K98" s="96">
        <f t="shared" si="39"/>
        <v>59.346489999999996</v>
      </c>
      <c r="L98" s="96">
        <f t="shared" si="39"/>
        <v>50.006705000000004</v>
      </c>
      <c r="M98" s="99">
        <f t="shared" si="26"/>
        <v>3219.0064794816417</v>
      </c>
      <c r="N98" s="99">
        <f t="shared" si="27"/>
        <v>2446.3646498954195</v>
      </c>
      <c r="O98" s="99">
        <f t="shared" si="28"/>
        <v>3546.3428699400924</v>
      </c>
      <c r="P98" s="99">
        <f t="shared" si="29"/>
        <v>3254.0020835617938</v>
      </c>
      <c r="Q98" s="99">
        <f t="shared" si="30"/>
        <v>2755.6458367774289</v>
      </c>
    </row>
    <row r="99" spans="1:17" ht="18.75" customHeight="1" x14ac:dyDescent="0.2">
      <c r="A99" s="189" t="s">
        <v>14</v>
      </c>
      <c r="B99" s="338" t="s">
        <v>8</v>
      </c>
      <c r="C99" s="93">
        <f>C6+C9+C12+C15+C18+C19+C22+C25+C26+C27+C30+C33+C36+C39+C42+C45+C48+C51+C54+C63+C66+C67+C68+C69+C72+C75+C78+C81+C84+C87+C89+C92+C93+C96+C88</f>
        <v>39845.772299999997</v>
      </c>
      <c r="D99" s="93">
        <f t="shared" ref="D99:K99" si="40">D6+D9+D12+D15+D18+D19+D22+D25+D26+D27+D30+D33+D36+D39+D42+D45+D48+D51+D54+D63+D66+D67+D68+D69+D72+D75+D78+D81+D84+D87+D89+D92+D93+D96+D88</f>
        <v>39349.26614</v>
      </c>
      <c r="E99" s="93">
        <f t="shared" si="40"/>
        <v>39964.354187139012</v>
      </c>
      <c r="F99" s="93">
        <f t="shared" si="40"/>
        <v>39012.960219553599</v>
      </c>
      <c r="G99" s="93">
        <f t="shared" si="40"/>
        <v>40357.97271868417</v>
      </c>
      <c r="H99" s="93">
        <f t="shared" si="40"/>
        <v>96302.792136916672</v>
      </c>
      <c r="I99" s="93">
        <f t="shared" si="40"/>
        <v>97135.162802426697</v>
      </c>
      <c r="J99" s="93">
        <f t="shared" si="40"/>
        <v>102039.99265946484</v>
      </c>
      <c r="K99" s="93">
        <f t="shared" si="40"/>
        <v>102276.50593681225</v>
      </c>
      <c r="L99" s="93">
        <f>L6+L9+L12+L15+L18+L19+L22+L25+L26+L27+L30+L33+L36+L39+L42+L45+L48+L51+L54+L63+L66+L67+L68+L69+L72+L75+L78+L81+L84+L87+L89+L92+L93+L96+L88</f>
        <v>105208.13602349439</v>
      </c>
      <c r="M99" s="285">
        <f t="shared" si="26"/>
        <v>2416.8885826041997</v>
      </c>
      <c r="N99" s="285">
        <f t="shared" si="27"/>
        <v>2468.538103273168</v>
      </c>
      <c r="O99" s="285">
        <f t="shared" si="28"/>
        <v>2553.2751556961848</v>
      </c>
      <c r="P99" s="285">
        <f t="shared" si="29"/>
        <v>2621.6033174932077</v>
      </c>
      <c r="Q99" s="285">
        <f t="shared" si="30"/>
        <v>2606.8736593101248</v>
      </c>
    </row>
    <row r="100" spans="1:17" ht="18.75" customHeight="1" x14ac:dyDescent="0.2">
      <c r="A100" s="189"/>
      <c r="B100" s="338" t="s">
        <v>9</v>
      </c>
      <c r="C100" s="93">
        <f>SUM(C7,C10,C13,C16,C20,C23,C31,C34,C37,C40,C43,C46,C49,C52,C55,C64,C70,C73,C76,C79,C82,C85,C90,C97)</f>
        <v>4147.5820000000003</v>
      </c>
      <c r="D100" s="93">
        <f t="shared" ref="D100:L100" si="41">SUM(D7,D10,D13,D16,D20,D23,D31,D34,D37,D40,D43,D46,D49,D52,D55,D64,D70,D73,D76,D79,D82,D85,D90,D97)</f>
        <v>4424.7989999999991</v>
      </c>
      <c r="E100" s="93">
        <f t="shared" si="41"/>
        <v>4192.0914228609872</v>
      </c>
      <c r="F100" s="93">
        <f t="shared" si="41"/>
        <v>4649.3368804463944</v>
      </c>
      <c r="G100" s="93">
        <f t="shared" si="41"/>
        <v>5410.7142813158407</v>
      </c>
      <c r="H100" s="93">
        <f t="shared" si="41"/>
        <v>13395.641063333334</v>
      </c>
      <c r="I100" s="93">
        <f t="shared" si="41"/>
        <v>15622.44328379802</v>
      </c>
      <c r="J100" s="93">
        <f t="shared" si="41"/>
        <v>14437.830240674502</v>
      </c>
      <c r="K100" s="93">
        <f t="shared" si="41"/>
        <v>16593.813394110526</v>
      </c>
      <c r="L100" s="93">
        <f t="shared" si="41"/>
        <v>19160.179880200507</v>
      </c>
      <c r="M100" s="285">
        <f t="shared" si="26"/>
        <v>3229.7471305771246</v>
      </c>
      <c r="N100" s="285">
        <f t="shared" si="27"/>
        <v>3530.6560329176586</v>
      </c>
      <c r="O100" s="285">
        <f t="shared" si="28"/>
        <v>3444.0637820873385</v>
      </c>
      <c r="P100" s="285">
        <f t="shared" si="29"/>
        <v>3569.0709924459834</v>
      </c>
      <c r="Q100" s="285">
        <f t="shared" si="30"/>
        <v>3541.1553602754479</v>
      </c>
    </row>
    <row r="101" spans="1:17" s="8" customFormat="1" ht="18.75" customHeight="1" x14ac:dyDescent="0.2">
      <c r="A101" s="183"/>
      <c r="B101" s="32" t="s">
        <v>10</v>
      </c>
      <c r="C101" s="93">
        <f t="shared" ref="C101:D101" si="42">C99+C100</f>
        <v>43993.354299999999</v>
      </c>
      <c r="D101" s="93">
        <f t="shared" si="42"/>
        <v>43774.065139999999</v>
      </c>
      <c r="E101" s="93">
        <f t="shared" ref="E101" si="43">E99+E100</f>
        <v>44156.445609999995</v>
      </c>
      <c r="F101" s="93">
        <f t="shared" ref="F101" si="44">F99+F100</f>
        <v>43662.297099999996</v>
      </c>
      <c r="G101" s="93">
        <f t="shared" ref="G101" si="45">G99+G100</f>
        <v>45768.687000000013</v>
      </c>
      <c r="H101" s="93">
        <f t="shared" ref="H101" si="46">H99+H100</f>
        <v>109698.43320025</v>
      </c>
      <c r="I101" s="93">
        <f t="shared" ref="I101" si="47">I99+I100</f>
        <v>112757.60608622473</v>
      </c>
      <c r="J101" s="93">
        <f t="shared" ref="J101" si="48">J99+J100</f>
        <v>116477.82290013935</v>
      </c>
      <c r="K101" s="93">
        <f t="shared" ref="K101" si="49">K99+K100</f>
        <v>118870.31933092276</v>
      </c>
      <c r="L101" s="93">
        <f t="shared" ref="L101" si="50">L99+L100</f>
        <v>124368.31590369489</v>
      </c>
      <c r="M101" s="285">
        <f t="shared" si="26"/>
        <v>2493.5228273841808</v>
      </c>
      <c r="N101" s="285">
        <f t="shared" si="27"/>
        <v>2575.8998102095097</v>
      </c>
      <c r="O101" s="285">
        <f t="shared" si="28"/>
        <v>2637.8441763383448</v>
      </c>
      <c r="P101" s="285">
        <f t="shared" si="29"/>
        <v>2722.4934835350837</v>
      </c>
      <c r="Q101" s="285">
        <f t="shared" si="30"/>
        <v>2717.3232193375979</v>
      </c>
    </row>
    <row r="102" spans="1:17" ht="18.75" customHeight="1" x14ac:dyDescent="0.2">
      <c r="A102" s="21"/>
      <c r="B102" s="10"/>
      <c r="M102" s="13"/>
      <c r="N102" s="13"/>
      <c r="O102" s="13"/>
      <c r="P102" s="13" t="s">
        <v>33</v>
      </c>
      <c r="Q102" s="13"/>
    </row>
  </sheetData>
  <mergeCells count="17">
    <mergeCell ref="A2:N2"/>
    <mergeCell ref="C3:G3"/>
    <mergeCell ref="A3:A4"/>
    <mergeCell ref="B3:B4"/>
    <mergeCell ref="B60:B61"/>
    <mergeCell ref="A6:A8"/>
    <mergeCell ref="A39:A41"/>
    <mergeCell ref="C60:G60"/>
    <mergeCell ref="H60:L60"/>
    <mergeCell ref="M60:Q60"/>
    <mergeCell ref="A9:A11"/>
    <mergeCell ref="M3:Q3"/>
    <mergeCell ref="H3:L3"/>
    <mergeCell ref="A72:A74"/>
    <mergeCell ref="A89:A91"/>
    <mergeCell ref="A69:A71"/>
    <mergeCell ref="A60:A61"/>
  </mergeCells>
  <phoneticPr fontId="0" type="noConversion"/>
  <printOptions horizontalCentered="1" verticalCentered="1"/>
  <pageMargins left="0.31496062992126" right="0.31496062992126" top="0" bottom="0" header="0.511811023622047" footer="0.31496062992126"/>
  <pageSetup paperSize="9" scale="57" orientation="landscape" r:id="rId1"/>
  <headerFooter alignWithMargins="0"/>
  <rowBreaks count="1" manualBreakCount="1">
    <brk id="5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view="pageBreakPreview" zoomScale="60" zoomScaleNormal="75" workbookViewId="0">
      <pane xSplit="1" ySplit="5" topLeftCell="F6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9.140625" style="52" customWidth="1"/>
    <col min="2" max="6" width="13.7109375" style="55" customWidth="1"/>
    <col min="7" max="11" width="13.7109375" style="56" customWidth="1"/>
    <col min="12" max="16" width="13.7109375" style="52" customWidth="1"/>
    <col min="17" max="16384" width="9.140625" style="52"/>
  </cols>
  <sheetData>
    <row r="1" spans="1:16" ht="27" customHeight="1" x14ac:dyDescent="0.2">
      <c r="A1" s="390" t="s">
        <v>185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</row>
    <row r="2" spans="1:16" ht="22.5" customHeight="1" x14ac:dyDescent="0.2">
      <c r="A2" s="121"/>
      <c r="B2" s="131"/>
      <c r="C2" s="131"/>
      <c r="D2" s="131"/>
      <c r="E2" s="131"/>
      <c r="F2" s="131"/>
      <c r="G2" s="134"/>
      <c r="H2" s="134"/>
      <c r="I2" s="134"/>
      <c r="J2" s="134"/>
      <c r="K2" s="134"/>
      <c r="L2" s="135"/>
      <c r="M2" s="135"/>
      <c r="N2" s="135"/>
      <c r="O2" s="135"/>
      <c r="P2" s="135"/>
    </row>
    <row r="3" spans="1:16" ht="26.25" customHeight="1" x14ac:dyDescent="0.2">
      <c r="A3" s="389" t="s">
        <v>1</v>
      </c>
      <c r="B3" s="342" t="s">
        <v>174</v>
      </c>
      <c r="C3" s="342"/>
      <c r="D3" s="342"/>
      <c r="E3" s="342"/>
      <c r="F3" s="342"/>
      <c r="G3" s="342" t="s">
        <v>68</v>
      </c>
      <c r="H3" s="342"/>
      <c r="I3" s="342"/>
      <c r="J3" s="342"/>
      <c r="K3" s="342"/>
      <c r="L3" s="342" t="s">
        <v>89</v>
      </c>
      <c r="M3" s="342"/>
      <c r="N3" s="342"/>
      <c r="O3" s="342"/>
      <c r="P3" s="342"/>
    </row>
    <row r="4" spans="1:16" ht="41.25" customHeight="1" x14ac:dyDescent="0.2">
      <c r="A4" s="389"/>
      <c r="B4" s="277" t="s">
        <v>112</v>
      </c>
      <c r="C4" s="277" t="s">
        <v>164</v>
      </c>
      <c r="D4" s="277" t="s">
        <v>199</v>
      </c>
      <c r="E4" s="277" t="s">
        <v>200</v>
      </c>
      <c r="F4" s="273" t="s">
        <v>202</v>
      </c>
      <c r="G4" s="277" t="s">
        <v>112</v>
      </c>
      <c r="H4" s="277" t="s">
        <v>164</v>
      </c>
      <c r="I4" s="277" t="s">
        <v>199</v>
      </c>
      <c r="J4" s="277" t="s">
        <v>200</v>
      </c>
      <c r="K4" s="273" t="s">
        <v>202</v>
      </c>
      <c r="L4" s="339" t="s">
        <v>112</v>
      </c>
      <c r="M4" s="339" t="s">
        <v>164</v>
      </c>
      <c r="N4" s="339" t="s">
        <v>199</v>
      </c>
      <c r="O4" s="339" t="s">
        <v>200</v>
      </c>
      <c r="P4" s="339" t="s">
        <v>202</v>
      </c>
    </row>
    <row r="5" spans="1:16" s="79" customFormat="1" ht="15" customHeight="1" x14ac:dyDescent="0.2">
      <c r="A5" s="242">
        <v>1</v>
      </c>
      <c r="B5" s="136">
        <v>2</v>
      </c>
      <c r="C5" s="136">
        <v>3</v>
      </c>
      <c r="D5" s="136">
        <v>4</v>
      </c>
      <c r="E5" s="136">
        <v>5</v>
      </c>
      <c r="F5" s="136">
        <v>6</v>
      </c>
      <c r="G5" s="136">
        <v>7</v>
      </c>
      <c r="H5" s="136">
        <v>8</v>
      </c>
      <c r="I5" s="136">
        <v>9</v>
      </c>
      <c r="J5" s="136">
        <v>10</v>
      </c>
      <c r="K5" s="136">
        <v>11</v>
      </c>
      <c r="L5" s="136">
        <v>12</v>
      </c>
      <c r="M5" s="136">
        <v>13</v>
      </c>
      <c r="N5" s="136">
        <v>14</v>
      </c>
      <c r="O5" s="136">
        <v>15</v>
      </c>
      <c r="P5" s="136">
        <v>16</v>
      </c>
    </row>
    <row r="6" spans="1:16" s="71" customFormat="1" ht="32.25" customHeight="1" x14ac:dyDescent="0.2">
      <c r="A6" s="252" t="s">
        <v>24</v>
      </c>
      <c r="B6" s="128">
        <v>0.4</v>
      </c>
      <c r="C6" s="128">
        <v>0.438</v>
      </c>
      <c r="D6" s="128">
        <v>0.45300000000000001</v>
      </c>
      <c r="E6" s="128">
        <v>0.45400000000000001</v>
      </c>
      <c r="F6" s="128">
        <v>0.45400000000000001</v>
      </c>
      <c r="G6" s="128">
        <v>0.20200000000000001</v>
      </c>
      <c r="H6" s="128">
        <v>0.25185000000000002</v>
      </c>
      <c r="I6" s="128">
        <v>0.35198099999999999</v>
      </c>
      <c r="J6" s="128">
        <v>0.35593600000000003</v>
      </c>
      <c r="K6" s="128">
        <v>0.36002200000000001</v>
      </c>
      <c r="L6" s="129">
        <f>G6/B6*1000</f>
        <v>505</v>
      </c>
      <c r="M6" s="129">
        <f t="shared" ref="M6:P6" si="0">H6/C6*1000</f>
        <v>575.00000000000011</v>
      </c>
      <c r="N6" s="129">
        <f t="shared" si="0"/>
        <v>776.99999999999989</v>
      </c>
      <c r="O6" s="129">
        <f t="shared" si="0"/>
        <v>784</v>
      </c>
      <c r="P6" s="129">
        <f t="shared" si="0"/>
        <v>793</v>
      </c>
    </row>
    <row r="7" spans="1:16" s="54" customFormat="1" ht="32.25" customHeight="1" x14ac:dyDescent="0.2">
      <c r="A7" s="205" t="s">
        <v>98</v>
      </c>
      <c r="B7" s="137">
        <v>23.783000000000001</v>
      </c>
      <c r="C7" s="128">
        <v>28.184999999999999</v>
      </c>
      <c r="D7" s="128">
        <v>26.731000000000002</v>
      </c>
      <c r="E7" s="128">
        <v>24.122</v>
      </c>
      <c r="F7" s="128">
        <v>23.268000000000001</v>
      </c>
      <c r="G7" s="128">
        <v>15.657</v>
      </c>
      <c r="H7" s="128">
        <v>21.026009999999999</v>
      </c>
      <c r="I7" s="128">
        <v>19.567091999999999</v>
      </c>
      <c r="J7" s="128">
        <v>18.429207999999999</v>
      </c>
      <c r="K7" s="128">
        <v>16.962371999999998</v>
      </c>
      <c r="L7" s="129">
        <f t="shared" ref="L7:L26" si="1">G7/B7*1000</f>
        <v>658.32737669764117</v>
      </c>
      <c r="M7" s="129">
        <f t="shared" ref="M7:M26" si="2">H7/C7*1000</f>
        <v>746</v>
      </c>
      <c r="N7" s="129">
        <f t="shared" ref="N7:N26" si="3">I7/D7*1000</f>
        <v>731.99999999999989</v>
      </c>
      <c r="O7" s="129">
        <f t="shared" ref="O7:O26" si="4">J7/E7*1000</f>
        <v>764</v>
      </c>
      <c r="P7" s="129">
        <f t="shared" ref="P7:P26" si="5">K7/F7*1000</f>
        <v>728.99999999999989</v>
      </c>
    </row>
    <row r="8" spans="1:16" s="54" customFormat="1" ht="32.25" customHeight="1" x14ac:dyDescent="0.2">
      <c r="A8" s="205" t="s">
        <v>48</v>
      </c>
      <c r="B8" s="137">
        <v>146.09299999999999</v>
      </c>
      <c r="C8" s="128">
        <v>138.16200000000001</v>
      </c>
      <c r="D8" s="128">
        <v>147.91399999999999</v>
      </c>
      <c r="E8" s="128">
        <v>143.04599999999999</v>
      </c>
      <c r="F8" s="128">
        <v>136.53200000000001</v>
      </c>
      <c r="G8" s="128">
        <v>146.875</v>
      </c>
      <c r="H8" s="128">
        <v>147.557016</v>
      </c>
      <c r="I8" s="128">
        <v>148.061914</v>
      </c>
      <c r="J8" s="128">
        <v>90.118979999999993</v>
      </c>
      <c r="K8" s="128">
        <v>124.51718400000001</v>
      </c>
      <c r="L8" s="129">
        <f t="shared" si="1"/>
        <v>1005.3527547521099</v>
      </c>
      <c r="M8" s="129">
        <f t="shared" si="2"/>
        <v>1068</v>
      </c>
      <c r="N8" s="129">
        <f t="shared" si="3"/>
        <v>1001.0000000000001</v>
      </c>
      <c r="O8" s="129">
        <f t="shared" si="4"/>
        <v>630</v>
      </c>
      <c r="P8" s="129">
        <f t="shared" si="5"/>
        <v>912</v>
      </c>
    </row>
    <row r="9" spans="1:16" s="54" customFormat="1" ht="32.25" customHeight="1" x14ac:dyDescent="0.2">
      <c r="A9" s="205" t="s">
        <v>47</v>
      </c>
      <c r="B9" s="137">
        <v>18.7</v>
      </c>
      <c r="C9" s="128">
        <v>13.04</v>
      </c>
      <c r="D9" s="128">
        <v>13.66</v>
      </c>
      <c r="E9" s="128">
        <v>13.81</v>
      </c>
      <c r="F9" s="128">
        <v>14.41</v>
      </c>
      <c r="G9" s="128">
        <v>7</v>
      </c>
      <c r="H9" s="128">
        <v>4.5900799999999995</v>
      </c>
      <c r="I9" s="128">
        <v>4.9722400000000002</v>
      </c>
      <c r="J9" s="128">
        <v>4.4606300000000001</v>
      </c>
      <c r="K9" s="128">
        <v>5.8216400000000004</v>
      </c>
      <c r="L9" s="129">
        <f t="shared" si="1"/>
        <v>374.33155080213902</v>
      </c>
      <c r="M9" s="129">
        <f t="shared" si="2"/>
        <v>352</v>
      </c>
      <c r="N9" s="129">
        <f t="shared" si="3"/>
        <v>364</v>
      </c>
      <c r="O9" s="129">
        <f t="shared" si="4"/>
        <v>323</v>
      </c>
      <c r="P9" s="129">
        <f t="shared" si="5"/>
        <v>404</v>
      </c>
    </row>
    <row r="10" spans="1:16" s="54" customFormat="1" ht="32.25" customHeight="1" x14ac:dyDescent="0.2">
      <c r="A10" s="205" t="s">
        <v>18</v>
      </c>
      <c r="B10" s="137">
        <v>4.4000000000000004</v>
      </c>
      <c r="C10" s="128">
        <v>1.5</v>
      </c>
      <c r="D10" s="128">
        <v>1.1000000000000001</v>
      </c>
      <c r="E10" s="128">
        <v>0.8</v>
      </c>
      <c r="F10" s="128">
        <v>1.1499999999999999</v>
      </c>
      <c r="G10" s="128">
        <v>4.5</v>
      </c>
      <c r="H10" s="128">
        <v>0.86850000000000005</v>
      </c>
      <c r="I10" s="128">
        <v>0.79420000000000002</v>
      </c>
      <c r="J10" s="128">
        <v>0.9</v>
      </c>
      <c r="K10" s="128">
        <v>0.9142499999999999</v>
      </c>
      <c r="L10" s="129">
        <f t="shared" si="1"/>
        <v>1022.7272727272727</v>
      </c>
      <c r="M10" s="129">
        <f t="shared" si="2"/>
        <v>579.00000000000011</v>
      </c>
      <c r="N10" s="129">
        <f t="shared" si="3"/>
        <v>722</v>
      </c>
      <c r="O10" s="129">
        <f t="shared" si="4"/>
        <v>1125</v>
      </c>
      <c r="P10" s="129">
        <f t="shared" si="5"/>
        <v>794.99999999999989</v>
      </c>
    </row>
    <row r="11" spans="1:16" s="54" customFormat="1" ht="32.25" customHeight="1" x14ac:dyDescent="0.2">
      <c r="A11" s="205" t="s">
        <v>99</v>
      </c>
      <c r="B11" s="137">
        <v>0.57699999999999996</v>
      </c>
      <c r="C11" s="128">
        <v>0.441</v>
      </c>
      <c r="D11" s="128">
        <v>0.48399999999999999</v>
      </c>
      <c r="E11" s="128">
        <v>0.49</v>
      </c>
      <c r="F11" s="128">
        <v>0.29899999999999999</v>
      </c>
      <c r="G11" s="128">
        <v>0.35699999999999998</v>
      </c>
      <c r="H11" s="128">
        <v>0.38600000000000001</v>
      </c>
      <c r="I11" s="128">
        <v>0.42591999999999997</v>
      </c>
      <c r="J11" s="128">
        <v>0.45569999999999999</v>
      </c>
      <c r="K11" s="128">
        <v>0.19644299999999998</v>
      </c>
      <c r="L11" s="129">
        <f t="shared" si="1"/>
        <v>618.71750433275565</v>
      </c>
      <c r="M11" s="129">
        <f t="shared" si="2"/>
        <v>875.28344671201819</v>
      </c>
      <c r="N11" s="129">
        <f t="shared" si="3"/>
        <v>880</v>
      </c>
      <c r="O11" s="129">
        <f t="shared" si="4"/>
        <v>930</v>
      </c>
      <c r="P11" s="129">
        <f t="shared" si="5"/>
        <v>656.99999999999989</v>
      </c>
    </row>
    <row r="12" spans="1:16" s="54" customFormat="1" ht="32.25" customHeight="1" x14ac:dyDescent="0.2">
      <c r="A12" s="205" t="s">
        <v>100</v>
      </c>
      <c r="B12" s="137">
        <v>0.06</v>
      </c>
      <c r="C12" s="128">
        <v>0.21</v>
      </c>
      <c r="D12" s="128">
        <v>0</v>
      </c>
      <c r="E12" s="128">
        <v>0.379</v>
      </c>
      <c r="F12" s="128">
        <v>0.4</v>
      </c>
      <c r="G12" s="128">
        <v>0.03</v>
      </c>
      <c r="H12" s="128">
        <v>0.11991</v>
      </c>
      <c r="I12" s="128">
        <v>0</v>
      </c>
      <c r="J12" s="128">
        <v>0.27174300000000001</v>
      </c>
      <c r="K12" s="128">
        <v>0.28520000000000001</v>
      </c>
      <c r="L12" s="129">
        <f t="shared" si="1"/>
        <v>500</v>
      </c>
      <c r="M12" s="129">
        <f t="shared" si="2"/>
        <v>571.00000000000011</v>
      </c>
      <c r="N12" s="129" t="e">
        <f t="shared" si="3"/>
        <v>#DIV/0!</v>
      </c>
      <c r="O12" s="129">
        <f t="shared" si="4"/>
        <v>717</v>
      </c>
      <c r="P12" s="129">
        <f t="shared" si="5"/>
        <v>713</v>
      </c>
    </row>
    <row r="13" spans="1:16" s="54" customFormat="1" ht="32.25" customHeight="1" x14ac:dyDescent="0.2">
      <c r="A13" s="205" t="s">
        <v>83</v>
      </c>
      <c r="B13" s="128">
        <v>62.1</v>
      </c>
      <c r="C13" s="128">
        <v>69.44</v>
      </c>
      <c r="D13" s="128">
        <v>57.262</v>
      </c>
      <c r="E13" s="128">
        <v>62.319000000000003</v>
      </c>
      <c r="F13" s="128">
        <v>72.444000000000003</v>
      </c>
      <c r="G13" s="128">
        <v>53.661999999999999</v>
      </c>
      <c r="H13" s="128">
        <v>62.496000000000002</v>
      </c>
      <c r="I13" s="128">
        <v>50.10425</v>
      </c>
      <c r="J13" s="128">
        <v>52.908831000000006</v>
      </c>
      <c r="K13" s="128">
        <v>63.750720000000001</v>
      </c>
      <c r="L13" s="129">
        <f t="shared" si="1"/>
        <v>864.12238325281794</v>
      </c>
      <c r="M13" s="129">
        <f t="shared" si="2"/>
        <v>900</v>
      </c>
      <c r="N13" s="129">
        <f t="shared" si="3"/>
        <v>875</v>
      </c>
      <c r="O13" s="129">
        <f t="shared" si="4"/>
        <v>849.00000000000011</v>
      </c>
      <c r="P13" s="129">
        <f t="shared" si="5"/>
        <v>880</v>
      </c>
    </row>
    <row r="14" spans="1:16" s="54" customFormat="1" ht="32.25" customHeight="1" x14ac:dyDescent="0.2">
      <c r="A14" s="205" t="s">
        <v>6</v>
      </c>
      <c r="B14" s="137">
        <v>528.84121863799282</v>
      </c>
      <c r="C14" s="128">
        <v>596</v>
      </c>
      <c r="D14" s="128">
        <v>421</v>
      </c>
      <c r="E14" s="128">
        <v>379</v>
      </c>
      <c r="F14" s="128">
        <v>542</v>
      </c>
      <c r="G14" s="128">
        <v>447.23888848384416</v>
      </c>
      <c r="H14" s="128">
        <v>679.00000000000011</v>
      </c>
      <c r="I14" s="128">
        <v>329.64299999999997</v>
      </c>
      <c r="J14" s="128">
        <v>294.483</v>
      </c>
      <c r="K14" s="128">
        <v>615.16999999999996</v>
      </c>
      <c r="L14" s="129">
        <f t="shared" si="1"/>
        <v>845.69597210234122</v>
      </c>
      <c r="M14" s="129">
        <f t="shared" si="2"/>
        <v>1139.2617449664431</v>
      </c>
      <c r="N14" s="129">
        <f t="shared" si="3"/>
        <v>782.99999999999989</v>
      </c>
      <c r="O14" s="129">
        <f t="shared" si="4"/>
        <v>777</v>
      </c>
      <c r="P14" s="129">
        <f t="shared" si="5"/>
        <v>1135</v>
      </c>
    </row>
    <row r="15" spans="1:16" s="54" customFormat="1" ht="32.25" hidden="1" customHeight="1" x14ac:dyDescent="0.2">
      <c r="A15" s="205" t="s">
        <v>101</v>
      </c>
      <c r="B15" s="137">
        <v>0</v>
      </c>
      <c r="C15" s="128">
        <v>0</v>
      </c>
      <c r="D15" s="128">
        <v>0</v>
      </c>
      <c r="E15" s="128">
        <v>0</v>
      </c>
      <c r="F15" s="128"/>
      <c r="G15" s="128">
        <v>0</v>
      </c>
      <c r="H15" s="128">
        <v>0</v>
      </c>
      <c r="I15" s="128">
        <v>0</v>
      </c>
      <c r="J15" s="128">
        <v>0</v>
      </c>
      <c r="K15" s="128"/>
      <c r="L15" s="129" t="e">
        <f t="shared" si="1"/>
        <v>#DIV/0!</v>
      </c>
      <c r="M15" s="129" t="e">
        <f t="shared" si="2"/>
        <v>#DIV/0!</v>
      </c>
      <c r="N15" s="129" t="e">
        <f t="shared" si="3"/>
        <v>#DIV/0!</v>
      </c>
      <c r="O15" s="129" t="e">
        <f t="shared" si="4"/>
        <v>#DIV/0!</v>
      </c>
      <c r="P15" s="129" t="e">
        <f t="shared" si="5"/>
        <v>#DIV/0!</v>
      </c>
    </row>
    <row r="16" spans="1:16" s="54" customFormat="1" ht="32.25" customHeight="1" x14ac:dyDescent="0.2">
      <c r="A16" s="205" t="s">
        <v>29</v>
      </c>
      <c r="B16" s="137">
        <v>0.7</v>
      </c>
      <c r="C16" s="128">
        <v>0.72</v>
      </c>
      <c r="D16" s="128">
        <v>0.76</v>
      </c>
      <c r="E16" s="128">
        <v>0.66400000000000003</v>
      </c>
      <c r="F16" s="128">
        <v>0.81299999999999994</v>
      </c>
      <c r="G16" s="128">
        <v>0.66</v>
      </c>
      <c r="H16" s="128">
        <v>0.66743999999999992</v>
      </c>
      <c r="I16" s="128">
        <v>0.70147999999999999</v>
      </c>
      <c r="J16" s="128">
        <v>0.61287200000000008</v>
      </c>
      <c r="K16" s="128">
        <v>0.75039900000000004</v>
      </c>
      <c r="L16" s="129">
        <f t="shared" si="1"/>
        <v>942.857142857143</v>
      </c>
      <c r="M16" s="129">
        <f t="shared" si="2"/>
        <v>926.99999999999989</v>
      </c>
      <c r="N16" s="129">
        <f t="shared" si="3"/>
        <v>922.99999999999989</v>
      </c>
      <c r="O16" s="129">
        <f t="shared" si="4"/>
        <v>923</v>
      </c>
      <c r="P16" s="129">
        <f t="shared" si="5"/>
        <v>923.00000000000011</v>
      </c>
    </row>
    <row r="17" spans="1:16" s="54" customFormat="1" ht="32.25" customHeight="1" x14ac:dyDescent="0.2">
      <c r="A17" s="205" t="s">
        <v>26</v>
      </c>
      <c r="B17" s="137">
        <v>0</v>
      </c>
      <c r="C17" s="128">
        <v>1.256</v>
      </c>
      <c r="D17" s="128">
        <v>1.258</v>
      </c>
      <c r="E17" s="128">
        <v>0</v>
      </c>
      <c r="F17" s="128">
        <v>0</v>
      </c>
      <c r="G17" s="128">
        <v>0</v>
      </c>
      <c r="H17" s="128">
        <v>1.3891359999999999</v>
      </c>
      <c r="I17" s="128">
        <v>1.392606</v>
      </c>
      <c r="J17" s="128">
        <v>0</v>
      </c>
      <c r="K17" s="128">
        <v>0</v>
      </c>
      <c r="L17" s="129" t="e">
        <f t="shared" si="1"/>
        <v>#DIV/0!</v>
      </c>
      <c r="M17" s="129">
        <f t="shared" si="2"/>
        <v>1105.9999999999998</v>
      </c>
      <c r="N17" s="129">
        <f t="shared" si="3"/>
        <v>1107</v>
      </c>
      <c r="O17" s="129" t="e">
        <f t="shared" si="4"/>
        <v>#DIV/0!</v>
      </c>
      <c r="P17" s="129" t="e">
        <f t="shared" si="5"/>
        <v>#DIV/0!</v>
      </c>
    </row>
    <row r="18" spans="1:16" s="54" customFormat="1" ht="32.25" customHeight="1" x14ac:dyDescent="0.2">
      <c r="A18" s="205" t="s">
        <v>20</v>
      </c>
      <c r="B18" s="137">
        <v>2.08</v>
      </c>
      <c r="C18" s="128">
        <v>2.14</v>
      </c>
      <c r="D18" s="128">
        <v>2.1800000000000002</v>
      </c>
      <c r="E18" s="128">
        <v>2.21</v>
      </c>
      <c r="F18" s="128">
        <v>2.21</v>
      </c>
      <c r="G18" s="128">
        <v>1.7</v>
      </c>
      <c r="H18" s="128">
        <v>1.7590800000000002</v>
      </c>
      <c r="I18" s="128">
        <v>1.7897800000000001</v>
      </c>
      <c r="J18" s="128">
        <v>1.82104</v>
      </c>
      <c r="K18" s="128">
        <v>1.82104</v>
      </c>
      <c r="L18" s="129">
        <f t="shared" si="1"/>
        <v>817.30769230769226</v>
      </c>
      <c r="M18" s="129">
        <f t="shared" si="2"/>
        <v>822.00000000000011</v>
      </c>
      <c r="N18" s="129">
        <f t="shared" si="3"/>
        <v>821.00000000000011</v>
      </c>
      <c r="O18" s="129">
        <f t="shared" si="4"/>
        <v>824</v>
      </c>
      <c r="P18" s="129">
        <f t="shared" si="5"/>
        <v>824</v>
      </c>
    </row>
    <row r="19" spans="1:16" s="54" customFormat="1" ht="32.25" customHeight="1" x14ac:dyDescent="0.2">
      <c r="A19" s="205" t="s">
        <v>107</v>
      </c>
      <c r="B19" s="137">
        <v>11.23</v>
      </c>
      <c r="C19" s="128">
        <v>10.64</v>
      </c>
      <c r="D19" s="128">
        <v>9.73</v>
      </c>
      <c r="E19" s="128">
        <v>9.34</v>
      </c>
      <c r="F19" s="128">
        <v>9.0500000000000007</v>
      </c>
      <c r="G19" s="128">
        <v>5.88</v>
      </c>
      <c r="H19" s="128">
        <v>5.6179199999999998</v>
      </c>
      <c r="I19" s="128">
        <v>5.1374400000000007</v>
      </c>
      <c r="J19" s="128">
        <v>4.9408599999999998</v>
      </c>
      <c r="K19" s="128">
        <v>4.7603</v>
      </c>
      <c r="L19" s="129">
        <f t="shared" si="1"/>
        <v>523.5975066785395</v>
      </c>
      <c r="M19" s="129">
        <f t="shared" si="2"/>
        <v>527.99999999999989</v>
      </c>
      <c r="N19" s="129">
        <f t="shared" si="3"/>
        <v>528</v>
      </c>
      <c r="O19" s="129">
        <f t="shared" si="4"/>
        <v>529</v>
      </c>
      <c r="P19" s="129">
        <f t="shared" si="5"/>
        <v>525.99999999999989</v>
      </c>
    </row>
    <row r="20" spans="1:16" s="54" customFormat="1" ht="32.25" customHeight="1" x14ac:dyDescent="0.2">
      <c r="A20" s="205" t="s">
        <v>21</v>
      </c>
      <c r="B20" s="137">
        <v>0.7</v>
      </c>
      <c r="C20" s="128">
        <v>0.8</v>
      </c>
      <c r="D20" s="128">
        <v>0.7</v>
      </c>
      <c r="E20" s="128">
        <v>0.8</v>
      </c>
      <c r="F20" s="128">
        <v>0.6</v>
      </c>
      <c r="G20" s="128">
        <v>0.4</v>
      </c>
      <c r="H20" s="128">
        <v>0.45200000000000001</v>
      </c>
      <c r="I20" s="128">
        <v>0.47670000000000001</v>
      </c>
      <c r="J20" s="128">
        <v>0.43440000000000001</v>
      </c>
      <c r="K20" s="128">
        <v>0.35880000000000001</v>
      </c>
      <c r="L20" s="129">
        <f t="shared" si="1"/>
        <v>571.42857142857156</v>
      </c>
      <c r="M20" s="129">
        <f t="shared" si="2"/>
        <v>565</v>
      </c>
      <c r="N20" s="129">
        <f t="shared" si="3"/>
        <v>681</v>
      </c>
      <c r="O20" s="129">
        <f t="shared" si="4"/>
        <v>542.99999999999989</v>
      </c>
      <c r="P20" s="129">
        <f t="shared" si="5"/>
        <v>598.00000000000011</v>
      </c>
    </row>
    <row r="21" spans="1:16" s="54" customFormat="1" ht="32.25" customHeight="1" x14ac:dyDescent="0.2">
      <c r="A21" s="205" t="s">
        <v>22</v>
      </c>
      <c r="B21" s="137">
        <v>75.677000000000007</v>
      </c>
      <c r="C21" s="128">
        <v>31.346</v>
      </c>
      <c r="D21" s="128">
        <v>19.771000000000001</v>
      </c>
      <c r="E21" s="130">
        <v>17.02</v>
      </c>
      <c r="F21" s="128">
        <v>20.135999999999999</v>
      </c>
      <c r="G21" s="128">
        <v>75.876999999999995</v>
      </c>
      <c r="H21" s="128">
        <v>33.665604000000002</v>
      </c>
      <c r="I21" s="128">
        <v>23.013444</v>
      </c>
      <c r="J21" s="128">
        <v>23.4025</v>
      </c>
      <c r="K21" s="128">
        <v>26.821151999999998</v>
      </c>
      <c r="L21" s="129">
        <f t="shared" si="1"/>
        <v>1002.6428108936663</v>
      </c>
      <c r="M21" s="129">
        <f t="shared" si="2"/>
        <v>1074</v>
      </c>
      <c r="N21" s="129">
        <f t="shared" si="3"/>
        <v>1164</v>
      </c>
      <c r="O21" s="129">
        <f t="shared" si="4"/>
        <v>1375</v>
      </c>
      <c r="P21" s="129">
        <f t="shared" si="5"/>
        <v>1331.9999999999998</v>
      </c>
    </row>
    <row r="22" spans="1:16" s="54" customFormat="1" ht="32.25" customHeight="1" x14ac:dyDescent="0.2">
      <c r="A22" s="205" t="s">
        <v>59</v>
      </c>
      <c r="B22" s="137">
        <v>3.8</v>
      </c>
      <c r="C22" s="128">
        <v>2.8919999999999999</v>
      </c>
      <c r="D22" s="128">
        <v>2.5150000000000001</v>
      </c>
      <c r="E22" s="130">
        <v>2.214</v>
      </c>
      <c r="F22" s="128">
        <v>1.5609999999999999</v>
      </c>
      <c r="G22" s="128">
        <v>2.5350000000000001</v>
      </c>
      <c r="H22" s="128">
        <v>2.0706720000000001</v>
      </c>
      <c r="I22" s="128">
        <v>1.87619</v>
      </c>
      <c r="J22" s="128">
        <v>1.656072</v>
      </c>
      <c r="K22" s="128">
        <v>1.1364079999999999</v>
      </c>
      <c r="L22" s="129">
        <f t="shared" si="1"/>
        <v>667.1052631578948</v>
      </c>
      <c r="M22" s="129">
        <f t="shared" si="2"/>
        <v>716.00000000000011</v>
      </c>
      <c r="N22" s="129">
        <f t="shared" si="3"/>
        <v>746</v>
      </c>
      <c r="O22" s="129">
        <f t="shared" si="4"/>
        <v>748</v>
      </c>
      <c r="P22" s="129">
        <f t="shared" si="5"/>
        <v>728</v>
      </c>
    </row>
    <row r="23" spans="1:16" s="54" customFormat="1" ht="32.25" customHeight="1" x14ac:dyDescent="0.2">
      <c r="A23" s="205" t="s">
        <v>12</v>
      </c>
      <c r="B23" s="137">
        <v>489</v>
      </c>
      <c r="C23" s="128">
        <v>484</v>
      </c>
      <c r="D23" s="128">
        <v>476</v>
      </c>
      <c r="E23" s="130">
        <v>463</v>
      </c>
      <c r="F23" s="128">
        <v>472</v>
      </c>
      <c r="G23" s="128">
        <v>372.27510917030565</v>
      </c>
      <c r="H23" s="128">
        <v>498.036</v>
      </c>
      <c r="I23" s="128">
        <v>488.37599999999998</v>
      </c>
      <c r="J23" s="128">
        <v>452.81400000000002</v>
      </c>
      <c r="K23" s="128">
        <v>478.608</v>
      </c>
      <c r="L23" s="129">
        <f t="shared" si="1"/>
        <v>761.29879175931626</v>
      </c>
      <c r="M23" s="129">
        <f t="shared" si="2"/>
        <v>1029</v>
      </c>
      <c r="N23" s="129">
        <f t="shared" si="3"/>
        <v>1026</v>
      </c>
      <c r="O23" s="129">
        <f t="shared" si="4"/>
        <v>978.00000000000011</v>
      </c>
      <c r="P23" s="129">
        <f t="shared" si="5"/>
        <v>1014</v>
      </c>
    </row>
    <row r="24" spans="1:16" s="54" customFormat="1" ht="32.25" customHeight="1" x14ac:dyDescent="0.2">
      <c r="A24" s="205" t="s">
        <v>90</v>
      </c>
      <c r="B24" s="137">
        <v>10</v>
      </c>
      <c r="C24" s="128">
        <v>10</v>
      </c>
      <c r="D24" s="128">
        <v>11</v>
      </c>
      <c r="E24" s="130">
        <v>11</v>
      </c>
      <c r="F24" s="128">
        <v>12</v>
      </c>
      <c r="G24" s="128">
        <v>8</v>
      </c>
      <c r="H24" s="128">
        <v>6.96</v>
      </c>
      <c r="I24" s="128">
        <v>9.702</v>
      </c>
      <c r="J24" s="128">
        <v>11.154</v>
      </c>
      <c r="K24" s="128">
        <v>9.0120000000000005</v>
      </c>
      <c r="L24" s="129">
        <f t="shared" si="1"/>
        <v>800</v>
      </c>
      <c r="M24" s="129">
        <f t="shared" si="2"/>
        <v>696</v>
      </c>
      <c r="N24" s="129">
        <f t="shared" si="3"/>
        <v>882</v>
      </c>
      <c r="O24" s="129">
        <f t="shared" si="4"/>
        <v>1014</v>
      </c>
      <c r="P24" s="129">
        <f t="shared" si="5"/>
        <v>751</v>
      </c>
    </row>
    <row r="25" spans="1:16" s="54" customFormat="1" ht="32.25" customHeight="1" x14ac:dyDescent="0.2">
      <c r="A25" s="205" t="s">
        <v>96</v>
      </c>
      <c r="B25" s="137">
        <v>83</v>
      </c>
      <c r="C25" s="128">
        <v>158</v>
      </c>
      <c r="D25" s="128">
        <v>170.2</v>
      </c>
      <c r="E25" s="130">
        <v>172.02500000000001</v>
      </c>
      <c r="F25" s="128">
        <v>158.98400000000001</v>
      </c>
      <c r="G25" s="128">
        <v>81</v>
      </c>
      <c r="H25" s="128">
        <v>154.9</v>
      </c>
      <c r="I25" s="128">
        <v>141.43619999999999</v>
      </c>
      <c r="J25" s="128">
        <v>143.81289999999998</v>
      </c>
      <c r="K25" s="128">
        <v>142.60864800000002</v>
      </c>
      <c r="L25" s="129">
        <f t="shared" si="1"/>
        <v>975.9036144578314</v>
      </c>
      <c r="M25" s="129">
        <f t="shared" si="2"/>
        <v>980.37974683544303</v>
      </c>
      <c r="N25" s="129">
        <f t="shared" si="3"/>
        <v>831</v>
      </c>
      <c r="O25" s="129">
        <f t="shared" si="4"/>
        <v>835.99999999999989</v>
      </c>
      <c r="P25" s="129">
        <f t="shared" si="5"/>
        <v>897</v>
      </c>
    </row>
    <row r="26" spans="1:16" s="82" customFormat="1" ht="32.25" customHeight="1" x14ac:dyDescent="0.2">
      <c r="A26" s="205" t="s">
        <v>46</v>
      </c>
      <c r="B26" s="266">
        <f>SUM(B6:B25)</f>
        <v>1461.141218637993</v>
      </c>
      <c r="C26" s="266">
        <f>SUM(C6:C25)</f>
        <v>1549.21</v>
      </c>
      <c r="D26" s="266">
        <f>SUM(D6:D25)</f>
        <v>1362.7180000000001</v>
      </c>
      <c r="E26" s="291">
        <f>SUM(E6:E25)</f>
        <v>1302.6930000000002</v>
      </c>
      <c r="F26" s="291">
        <f t="shared" ref="F26" si="6">SUM(F6:F25)</f>
        <v>1468.3110000000001</v>
      </c>
      <c r="G26" s="278">
        <f>SUM(G6:G25)</f>
        <v>1223.8489976541496</v>
      </c>
      <c r="H26" s="278">
        <f>SUM(H6:H25)</f>
        <v>1621.8132180000005</v>
      </c>
      <c r="I26" s="278">
        <f>SUM(I6:I25)</f>
        <v>1227.8224369999998</v>
      </c>
      <c r="J26" s="291">
        <f t="shared" ref="J26" si="7">SUM(J6:J25)</f>
        <v>1103.0326719999998</v>
      </c>
      <c r="K26" s="291">
        <f>SUM(K6:K25)</f>
        <v>1493.8545779999999</v>
      </c>
      <c r="L26" s="288">
        <f t="shared" si="1"/>
        <v>837.59802409445672</v>
      </c>
      <c r="M26" s="288">
        <f t="shared" si="2"/>
        <v>1046.8646716713683</v>
      </c>
      <c r="N26" s="288">
        <f t="shared" si="3"/>
        <v>901.00992061453633</v>
      </c>
      <c r="O26" s="288">
        <f t="shared" si="4"/>
        <v>846.73263155632196</v>
      </c>
      <c r="P26" s="288">
        <f t="shared" si="5"/>
        <v>1017.3965719796419</v>
      </c>
    </row>
    <row r="27" spans="1:16" x14ac:dyDescent="0.2">
      <c r="B27" s="56"/>
      <c r="C27" s="56"/>
      <c r="D27" s="56"/>
      <c r="E27" s="56"/>
      <c r="F27" s="56"/>
    </row>
    <row r="28" spans="1:16" x14ac:dyDescent="0.2">
      <c r="B28" s="56"/>
      <c r="C28" s="56"/>
      <c r="D28" s="56"/>
      <c r="E28" s="56"/>
      <c r="F28" s="56"/>
    </row>
    <row r="29" spans="1:16" x14ac:dyDescent="0.2">
      <c r="D29" s="56"/>
      <c r="E29" s="56"/>
      <c r="F29" s="56"/>
    </row>
    <row r="30" spans="1:16" x14ac:dyDescent="0.2">
      <c r="H30" s="55"/>
    </row>
    <row r="31" spans="1:16" x14ac:dyDescent="0.2">
      <c r="C31" s="56"/>
      <c r="I31" s="55"/>
      <c r="J31" s="55"/>
      <c r="K31" s="55"/>
    </row>
    <row r="32" spans="1:16" x14ac:dyDescent="0.2">
      <c r="D32" s="56"/>
      <c r="E32" s="56"/>
      <c r="F32" s="56"/>
    </row>
  </sheetData>
  <mergeCells count="5">
    <mergeCell ref="A3:A4"/>
    <mergeCell ref="B3:F3"/>
    <mergeCell ref="L3:P3"/>
    <mergeCell ref="G3:K3"/>
    <mergeCell ref="A1:P1"/>
  </mergeCells>
  <printOptions horizontalCentered="1"/>
  <pageMargins left="0.31496062992126" right="0.31496062992126" top="0.511811023622047" bottom="0.511811023622047" header="0.511811023622047" footer="0.511811023622047"/>
  <pageSetup paperSize="9" scale="61" orientation="landscape" r:id="rId1"/>
  <headerFooter alignWithMargins="0"/>
  <rowBreaks count="1" manualBreakCount="1">
    <brk id="43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17"/>
  <sheetViews>
    <sheetView tabSelected="1" view="pageBreakPreview" zoomScale="80" zoomScaleNormal="80" zoomScaleSheetLayoutView="80" workbookViewId="0">
      <pane xSplit="2" ySplit="6" topLeftCell="C103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9.28515625" style="58" customWidth="1"/>
    <col min="2" max="2" width="27.140625" style="58" customWidth="1"/>
    <col min="3" max="3" width="10.85546875" style="59" customWidth="1"/>
    <col min="4" max="4" width="10.5703125" style="59" customWidth="1"/>
    <col min="5" max="5" width="10.28515625" style="59" customWidth="1"/>
    <col min="6" max="6" width="11.42578125" style="59" customWidth="1"/>
    <col min="7" max="7" width="10.42578125" style="59" customWidth="1"/>
    <col min="8" max="8" width="10.7109375" style="60" customWidth="1"/>
    <col min="9" max="9" width="10.28515625" style="60" customWidth="1"/>
    <col min="10" max="11" width="11.42578125" style="60" customWidth="1"/>
    <col min="12" max="12" width="10.85546875" style="60" customWidth="1"/>
    <col min="13" max="17" width="10.5703125" style="58" customWidth="1"/>
    <col min="18" max="18" width="10.85546875" style="58" bestFit="1" customWidth="1"/>
    <col min="19" max="244" width="9.28515625" style="58" bestFit="1" customWidth="1"/>
    <col min="245" max="16384" width="9.140625" style="58"/>
  </cols>
  <sheetData>
    <row r="2" spans="1:17" ht="15.75" customHeight="1" x14ac:dyDescent="0.2">
      <c r="A2" s="407" t="s">
        <v>186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</row>
    <row r="3" spans="1:17" ht="18" x14ac:dyDescent="0.2">
      <c r="A3" s="138"/>
      <c r="B3" s="138"/>
      <c r="C3" s="139"/>
      <c r="D3" s="139"/>
      <c r="E3" s="139"/>
      <c r="F3" s="139"/>
      <c r="G3" s="139"/>
      <c r="H3" s="140"/>
      <c r="I3" s="140"/>
      <c r="J3" s="140"/>
      <c r="K3" s="140"/>
      <c r="L3" s="140"/>
      <c r="M3" s="141"/>
      <c r="N3" s="141"/>
      <c r="O3" s="141"/>
      <c r="P3" s="141"/>
      <c r="Q3" s="141"/>
    </row>
    <row r="4" spans="1:17" ht="18" x14ac:dyDescent="0.2">
      <c r="A4" s="402" t="s">
        <v>1</v>
      </c>
      <c r="B4" s="408" t="s">
        <v>0</v>
      </c>
      <c r="C4" s="342" t="s">
        <v>174</v>
      </c>
      <c r="D4" s="342"/>
      <c r="E4" s="342"/>
      <c r="F4" s="342"/>
      <c r="G4" s="342"/>
      <c r="H4" s="342" t="s">
        <v>68</v>
      </c>
      <c r="I4" s="342"/>
      <c r="J4" s="342"/>
      <c r="K4" s="342"/>
      <c r="L4" s="342"/>
      <c r="M4" s="342" t="s">
        <v>89</v>
      </c>
      <c r="N4" s="342"/>
      <c r="O4" s="342"/>
      <c r="P4" s="342"/>
      <c r="Q4" s="342"/>
    </row>
    <row r="5" spans="1:17" ht="31.5" customHeight="1" x14ac:dyDescent="0.2">
      <c r="A5" s="402"/>
      <c r="B5" s="408"/>
      <c r="C5" s="290" t="s">
        <v>112</v>
      </c>
      <c r="D5" s="290" t="s">
        <v>164</v>
      </c>
      <c r="E5" s="290" t="s">
        <v>199</v>
      </c>
      <c r="F5" s="290" t="s">
        <v>200</v>
      </c>
      <c r="G5" s="273" t="s">
        <v>202</v>
      </c>
      <c r="H5" s="290" t="s">
        <v>112</v>
      </c>
      <c r="I5" s="290" t="s">
        <v>164</v>
      </c>
      <c r="J5" s="290" t="s">
        <v>199</v>
      </c>
      <c r="K5" s="290" t="s">
        <v>200</v>
      </c>
      <c r="L5" s="273" t="s">
        <v>202</v>
      </c>
      <c r="M5" s="339" t="s">
        <v>112</v>
      </c>
      <c r="N5" s="339" t="s">
        <v>164</v>
      </c>
      <c r="O5" s="339" t="s">
        <v>199</v>
      </c>
      <c r="P5" s="339" t="s">
        <v>200</v>
      </c>
      <c r="Q5" s="339" t="s">
        <v>202</v>
      </c>
    </row>
    <row r="6" spans="1:17" s="63" customFormat="1" ht="18" x14ac:dyDescent="0.2">
      <c r="A6" s="216">
        <v>1</v>
      </c>
      <c r="B6" s="176">
        <v>2</v>
      </c>
      <c r="C6" s="176">
        <v>3</v>
      </c>
      <c r="D6" s="176">
        <v>4</v>
      </c>
      <c r="E6" s="176">
        <v>5</v>
      </c>
      <c r="F6" s="176">
        <v>6</v>
      </c>
      <c r="G6" s="176">
        <v>7</v>
      </c>
      <c r="H6" s="176">
        <v>8</v>
      </c>
      <c r="I6" s="176">
        <v>9</v>
      </c>
      <c r="J6" s="176">
        <v>10</v>
      </c>
      <c r="K6" s="176">
        <v>11</v>
      </c>
      <c r="L6" s="176">
        <v>12</v>
      </c>
      <c r="M6" s="176">
        <v>13</v>
      </c>
      <c r="N6" s="176">
        <v>14</v>
      </c>
      <c r="O6" s="176">
        <v>15</v>
      </c>
      <c r="P6" s="176">
        <v>16</v>
      </c>
      <c r="Q6" s="176">
        <v>17</v>
      </c>
    </row>
    <row r="7" spans="1:17" ht="24.95" customHeight="1" x14ac:dyDescent="0.2">
      <c r="A7" s="386" t="s">
        <v>2</v>
      </c>
      <c r="B7" s="216" t="s">
        <v>119</v>
      </c>
      <c r="C7" s="160">
        <v>1</v>
      </c>
      <c r="D7" s="143">
        <v>17</v>
      </c>
      <c r="E7" s="143">
        <v>57</v>
      </c>
      <c r="F7" s="143">
        <v>84</v>
      </c>
      <c r="G7" s="143">
        <v>3</v>
      </c>
      <c r="H7" s="96">
        <v>0</v>
      </c>
      <c r="I7" s="144">
        <v>7</v>
      </c>
      <c r="J7" s="144">
        <v>10</v>
      </c>
      <c r="K7" s="144">
        <v>39</v>
      </c>
      <c r="L7" s="144">
        <v>1</v>
      </c>
      <c r="M7" s="145">
        <f>H7/C7*1000</f>
        <v>0</v>
      </c>
      <c r="N7" s="145">
        <f t="shared" ref="N7:Q22" si="0">I7/D7*1000</f>
        <v>411.76470588235293</v>
      </c>
      <c r="O7" s="145">
        <f t="shared" si="0"/>
        <v>175.43859649122805</v>
      </c>
      <c r="P7" s="145">
        <f t="shared" si="0"/>
        <v>464.28571428571428</v>
      </c>
      <c r="Q7" s="145">
        <f t="shared" si="0"/>
        <v>333.33333333333331</v>
      </c>
    </row>
    <row r="8" spans="1:17" ht="24.95" customHeight="1" x14ac:dyDescent="0.2">
      <c r="A8" s="386"/>
      <c r="B8" s="142" t="s">
        <v>120</v>
      </c>
      <c r="C8" s="160">
        <v>8</v>
      </c>
      <c r="D8" s="143">
        <f>4+3</f>
        <v>7</v>
      </c>
      <c r="E8" s="143">
        <f>14+2</f>
        <v>16</v>
      </c>
      <c r="F8" s="143">
        <v>8</v>
      </c>
      <c r="G8" s="143">
        <v>5</v>
      </c>
      <c r="H8" s="144">
        <v>5</v>
      </c>
      <c r="I8" s="144">
        <f>3+2</f>
        <v>5</v>
      </c>
      <c r="J8" s="144">
        <f>1+2</f>
        <v>3</v>
      </c>
      <c r="K8" s="144">
        <v>4</v>
      </c>
      <c r="L8" s="144">
        <v>3</v>
      </c>
      <c r="M8" s="145">
        <f t="shared" ref="M8:Q39" si="1">H8/C8*1000</f>
        <v>625</v>
      </c>
      <c r="N8" s="145">
        <f t="shared" si="0"/>
        <v>714.28571428571433</v>
      </c>
      <c r="O8" s="145">
        <f t="shared" si="0"/>
        <v>187.5</v>
      </c>
      <c r="P8" s="145">
        <f t="shared" si="0"/>
        <v>500</v>
      </c>
      <c r="Q8" s="145">
        <f t="shared" si="0"/>
        <v>600</v>
      </c>
    </row>
    <row r="9" spans="1:17" s="66" customFormat="1" ht="24.95" customHeight="1" x14ac:dyDescent="0.2">
      <c r="A9" s="386"/>
      <c r="B9" s="146" t="s">
        <v>10</v>
      </c>
      <c r="C9" s="147">
        <f>SUM(C7:C8)</f>
        <v>9</v>
      </c>
      <c r="D9" s="147">
        <f t="shared" ref="D9:L9" si="2">SUM(D7:D8)</f>
        <v>24</v>
      </c>
      <c r="E9" s="147">
        <f t="shared" si="2"/>
        <v>73</v>
      </c>
      <c r="F9" s="147">
        <f t="shared" si="2"/>
        <v>92</v>
      </c>
      <c r="G9" s="147">
        <f t="shared" si="2"/>
        <v>8</v>
      </c>
      <c r="H9" s="147">
        <f t="shared" si="2"/>
        <v>5</v>
      </c>
      <c r="I9" s="147">
        <f>SUM(I7:I8)</f>
        <v>12</v>
      </c>
      <c r="J9" s="147">
        <f t="shared" si="2"/>
        <v>13</v>
      </c>
      <c r="K9" s="147">
        <f t="shared" si="2"/>
        <v>43</v>
      </c>
      <c r="L9" s="147">
        <f t="shared" si="2"/>
        <v>4</v>
      </c>
      <c r="M9" s="289">
        <f t="shared" si="1"/>
        <v>555.55555555555554</v>
      </c>
      <c r="N9" s="289">
        <f t="shared" si="0"/>
        <v>500</v>
      </c>
      <c r="O9" s="289">
        <f t="shared" si="0"/>
        <v>178.08219178082192</v>
      </c>
      <c r="P9" s="289">
        <f t="shared" si="0"/>
        <v>467.39130434782612</v>
      </c>
      <c r="Q9" s="289">
        <f t="shared" si="0"/>
        <v>500</v>
      </c>
    </row>
    <row r="10" spans="1:17" ht="24.95" customHeight="1" x14ac:dyDescent="0.2">
      <c r="A10" s="397" t="s">
        <v>94</v>
      </c>
      <c r="B10" s="142" t="s">
        <v>120</v>
      </c>
      <c r="C10" s="163">
        <f>0.646+2.45</f>
        <v>3.0960000000000001</v>
      </c>
      <c r="D10" s="143">
        <f>0.662+2.049+0.437</f>
        <v>3.1479999999999997</v>
      </c>
      <c r="E10" s="143">
        <v>3.1680000000000001</v>
      </c>
      <c r="F10" s="163">
        <v>3.18</v>
      </c>
      <c r="G10" s="163">
        <f>0.674+3.329</f>
        <v>4.0030000000000001</v>
      </c>
      <c r="H10" s="163">
        <f>0.618+2.235</f>
        <v>2.8529999999999998</v>
      </c>
      <c r="I10" s="163">
        <f>0.64+2.017+0.264</f>
        <v>2.9210000000000003</v>
      </c>
      <c r="J10" s="163">
        <v>3.0010000000000003</v>
      </c>
      <c r="K10" s="163">
        <v>3.0340000000000003</v>
      </c>
      <c r="L10" s="163">
        <f>0.693+3.093</f>
        <v>3.786</v>
      </c>
      <c r="M10" s="145">
        <f t="shared" si="1"/>
        <v>921.51162790697663</v>
      </c>
      <c r="N10" s="145">
        <f t="shared" si="0"/>
        <v>927.89072426937753</v>
      </c>
      <c r="O10" s="145">
        <f t="shared" si="0"/>
        <v>947.28535353535358</v>
      </c>
      <c r="P10" s="145">
        <f t="shared" si="0"/>
        <v>954.08805031446536</v>
      </c>
      <c r="Q10" s="145">
        <f t="shared" si="0"/>
        <v>945.79065700724448</v>
      </c>
    </row>
    <row r="11" spans="1:17" s="66" customFormat="1" ht="24.75" customHeight="1" x14ac:dyDescent="0.2">
      <c r="A11" s="397"/>
      <c r="B11" s="146" t="s">
        <v>10</v>
      </c>
      <c r="C11" s="147">
        <f>SUM(C10:C10)</f>
        <v>3.0960000000000001</v>
      </c>
      <c r="D11" s="147">
        <f t="shared" ref="D11:L11" si="3">SUM(D10:D10)</f>
        <v>3.1479999999999997</v>
      </c>
      <c r="E11" s="147">
        <f t="shared" si="3"/>
        <v>3.1680000000000001</v>
      </c>
      <c r="F11" s="147">
        <f t="shared" si="3"/>
        <v>3.18</v>
      </c>
      <c r="G11" s="147">
        <f t="shared" si="3"/>
        <v>4.0030000000000001</v>
      </c>
      <c r="H11" s="147">
        <f>SUM(H10:H10)</f>
        <v>2.8529999999999998</v>
      </c>
      <c r="I11" s="147">
        <f>SUM(I10:I10)</f>
        <v>2.9210000000000003</v>
      </c>
      <c r="J11" s="147">
        <f t="shared" si="3"/>
        <v>3.0010000000000003</v>
      </c>
      <c r="K11" s="147">
        <f t="shared" si="3"/>
        <v>3.0340000000000003</v>
      </c>
      <c r="L11" s="147">
        <f t="shared" si="3"/>
        <v>3.786</v>
      </c>
      <c r="M11" s="289">
        <f t="shared" si="1"/>
        <v>921.51162790697663</v>
      </c>
      <c r="N11" s="289">
        <f t="shared" si="0"/>
        <v>927.89072426937753</v>
      </c>
      <c r="O11" s="289">
        <f t="shared" si="0"/>
        <v>947.28535353535358</v>
      </c>
      <c r="P11" s="289">
        <f t="shared" si="0"/>
        <v>954.08805031446536</v>
      </c>
      <c r="Q11" s="289">
        <f t="shared" si="0"/>
        <v>945.79065700724448</v>
      </c>
    </row>
    <row r="12" spans="1:17" ht="24.95" customHeight="1" x14ac:dyDescent="0.2">
      <c r="A12" s="406" t="s">
        <v>48</v>
      </c>
      <c r="B12" s="216" t="s">
        <v>119</v>
      </c>
      <c r="C12" s="160">
        <v>8.3000000000000007</v>
      </c>
      <c r="D12" s="143">
        <v>8.5869999999999997</v>
      </c>
      <c r="E12" s="143">
        <v>9.9120000000000008</v>
      </c>
      <c r="F12" s="143">
        <v>8.077</v>
      </c>
      <c r="G12" s="143">
        <v>6.9240000000000004</v>
      </c>
      <c r="H12" s="162">
        <v>7.6260000000000003</v>
      </c>
      <c r="I12" s="144">
        <v>7.9779999999999998</v>
      </c>
      <c r="J12" s="144">
        <v>8.9649999999999999</v>
      </c>
      <c r="K12" s="144">
        <v>7.4560000000000004</v>
      </c>
      <c r="L12" s="144">
        <v>6.3470000000000004</v>
      </c>
      <c r="M12" s="145">
        <f t="shared" si="1"/>
        <v>918.79518072289159</v>
      </c>
      <c r="N12" s="145">
        <f t="shared" si="0"/>
        <v>929.07884010713872</v>
      </c>
      <c r="O12" s="145">
        <f t="shared" si="0"/>
        <v>904.45924132364792</v>
      </c>
      <c r="P12" s="145">
        <f t="shared" si="0"/>
        <v>923.11501795221011</v>
      </c>
      <c r="Q12" s="145">
        <f t="shared" si="0"/>
        <v>916.66666666666663</v>
      </c>
    </row>
    <row r="13" spans="1:17" ht="24.95" customHeight="1" x14ac:dyDescent="0.2">
      <c r="A13" s="406"/>
      <c r="B13" s="216" t="s">
        <v>121</v>
      </c>
      <c r="C13" s="160">
        <f>0.137+0.303</f>
        <v>0.44</v>
      </c>
      <c r="D13" s="143">
        <v>0.439</v>
      </c>
      <c r="E13" s="143">
        <f>0.224+0.165</f>
        <v>0.38900000000000001</v>
      </c>
      <c r="F13" s="143">
        <v>0.35399999999999998</v>
      </c>
      <c r="G13" s="143">
        <v>0.439</v>
      </c>
      <c r="H13" s="144">
        <f>0.425</f>
        <v>0.42499999999999999</v>
      </c>
      <c r="I13" s="144">
        <v>0.42699999999999999</v>
      </c>
      <c r="J13" s="144">
        <f>0.214+0.164</f>
        <v>0.378</v>
      </c>
      <c r="K13" s="144">
        <v>0.34699999999999998</v>
      </c>
      <c r="L13" s="144">
        <v>0.42599999999999999</v>
      </c>
      <c r="M13" s="145">
        <f t="shared" si="1"/>
        <v>965.90909090909088</v>
      </c>
      <c r="N13" s="145">
        <f t="shared" si="0"/>
        <v>972.66514806378132</v>
      </c>
      <c r="O13" s="145">
        <f t="shared" si="0"/>
        <v>971.72236503856038</v>
      </c>
      <c r="P13" s="145">
        <f t="shared" si="0"/>
        <v>980.22598870056504</v>
      </c>
      <c r="Q13" s="145">
        <f t="shared" si="0"/>
        <v>970.38724373576304</v>
      </c>
    </row>
    <row r="14" spans="1:17" ht="24.95" customHeight="1" x14ac:dyDescent="0.2">
      <c r="A14" s="406"/>
      <c r="B14" s="142" t="s">
        <v>120</v>
      </c>
      <c r="C14" s="160">
        <f>1.903</f>
        <v>1.903</v>
      </c>
      <c r="D14" s="143">
        <f>1.357</f>
        <v>1.357</v>
      </c>
      <c r="E14" s="143">
        <v>1.66</v>
      </c>
      <c r="F14" s="143">
        <v>1.33</v>
      </c>
      <c r="G14" s="143">
        <f>2.511</f>
        <v>2.5110000000000001</v>
      </c>
      <c r="H14" s="162">
        <v>1.4330000000000001</v>
      </c>
      <c r="I14" s="144">
        <v>1.0229999999999999</v>
      </c>
      <c r="J14" s="144">
        <v>1.252</v>
      </c>
      <c r="K14" s="144">
        <v>0.99299999999999999</v>
      </c>
      <c r="L14" s="144">
        <v>1.8879999999999999</v>
      </c>
      <c r="M14" s="145">
        <f t="shared" si="1"/>
        <v>753.02154492905936</v>
      </c>
      <c r="N14" s="145">
        <f t="shared" si="0"/>
        <v>753.86882829771548</v>
      </c>
      <c r="O14" s="145">
        <f t="shared" si="0"/>
        <v>754.21686746987962</v>
      </c>
      <c r="P14" s="145">
        <f t="shared" si="0"/>
        <v>746.61654135338335</v>
      </c>
      <c r="Q14" s="145">
        <f t="shared" si="0"/>
        <v>751.89167662285934</v>
      </c>
    </row>
    <row r="15" spans="1:17" s="66" customFormat="1" ht="24.75" customHeight="1" x14ac:dyDescent="0.2">
      <c r="A15" s="406"/>
      <c r="B15" s="146" t="s">
        <v>10</v>
      </c>
      <c r="C15" s="148">
        <f>SUM(C12:C14)</f>
        <v>10.643000000000001</v>
      </c>
      <c r="D15" s="148">
        <f t="shared" ref="D15:L15" si="4">SUM(D12:D14)</f>
        <v>10.382999999999999</v>
      </c>
      <c r="E15" s="148">
        <f t="shared" si="4"/>
        <v>11.961</v>
      </c>
      <c r="F15" s="148">
        <f t="shared" si="4"/>
        <v>9.7609999999999992</v>
      </c>
      <c r="G15" s="148">
        <f t="shared" si="4"/>
        <v>9.8740000000000006</v>
      </c>
      <c r="H15" s="148">
        <f t="shared" si="4"/>
        <v>9.484</v>
      </c>
      <c r="I15" s="148">
        <f>SUM(I12:I14)</f>
        <v>9.427999999999999</v>
      </c>
      <c r="J15" s="148">
        <f t="shared" si="4"/>
        <v>10.595000000000001</v>
      </c>
      <c r="K15" s="148">
        <f t="shared" si="4"/>
        <v>8.7960000000000012</v>
      </c>
      <c r="L15" s="148">
        <f t="shared" si="4"/>
        <v>8.6610000000000014</v>
      </c>
      <c r="M15" s="289">
        <f t="shared" si="1"/>
        <v>891.10213285727707</v>
      </c>
      <c r="N15" s="289">
        <f t="shared" si="0"/>
        <v>908.02272946161997</v>
      </c>
      <c r="O15" s="289">
        <f t="shared" si="0"/>
        <v>885.79550204832378</v>
      </c>
      <c r="P15" s="289">
        <f t="shared" si="0"/>
        <v>901.13717856776987</v>
      </c>
      <c r="Q15" s="289">
        <f t="shared" si="0"/>
        <v>877.15211667004269</v>
      </c>
    </row>
    <row r="16" spans="1:17" ht="24.95" customHeight="1" x14ac:dyDescent="0.2">
      <c r="A16" s="397" t="s">
        <v>47</v>
      </c>
      <c r="B16" s="216" t="s">
        <v>119</v>
      </c>
      <c r="C16" s="160">
        <v>40.6</v>
      </c>
      <c r="D16" s="143">
        <v>39.11</v>
      </c>
      <c r="E16" s="143">
        <v>37.58</v>
      </c>
      <c r="F16" s="143">
        <v>34.090000000000003</v>
      </c>
      <c r="G16" s="143">
        <v>25.48</v>
      </c>
      <c r="H16" s="143">
        <v>15.6</v>
      </c>
      <c r="I16" s="144">
        <v>15.28</v>
      </c>
      <c r="J16" s="144">
        <v>14.44</v>
      </c>
      <c r="K16" s="144">
        <v>13.47</v>
      </c>
      <c r="L16" s="143">
        <v>10.74</v>
      </c>
      <c r="M16" s="145">
        <f t="shared" si="1"/>
        <v>384.23645320197039</v>
      </c>
      <c r="N16" s="145">
        <f t="shared" si="0"/>
        <v>390.69291741242648</v>
      </c>
      <c r="O16" s="145">
        <f t="shared" si="0"/>
        <v>384.24693986162856</v>
      </c>
      <c r="P16" s="145">
        <f t="shared" si="0"/>
        <v>395.13053681431506</v>
      </c>
      <c r="Q16" s="145">
        <f t="shared" si="0"/>
        <v>421.50706436420722</v>
      </c>
    </row>
    <row r="17" spans="1:17" ht="24.95" hidden="1" customHeight="1" x14ac:dyDescent="0.2">
      <c r="A17" s="397"/>
      <c r="B17" s="142" t="s">
        <v>122</v>
      </c>
      <c r="C17" s="96"/>
      <c r="D17" s="143"/>
      <c r="E17" s="143"/>
      <c r="F17" s="143"/>
      <c r="G17" s="143"/>
      <c r="H17" s="143"/>
      <c r="I17" s="144"/>
      <c r="J17" s="144"/>
      <c r="K17" s="144"/>
      <c r="L17" s="143"/>
      <c r="M17" s="145" t="e">
        <f t="shared" si="1"/>
        <v>#DIV/0!</v>
      </c>
      <c r="N17" s="145" t="e">
        <f t="shared" si="0"/>
        <v>#DIV/0!</v>
      </c>
      <c r="O17" s="145" t="e">
        <f t="shared" si="0"/>
        <v>#DIV/0!</v>
      </c>
      <c r="P17" s="145" t="e">
        <f t="shared" si="0"/>
        <v>#DIV/0!</v>
      </c>
      <c r="Q17" s="145" t="e">
        <f t="shared" si="0"/>
        <v>#DIV/0!</v>
      </c>
    </row>
    <row r="18" spans="1:17" ht="24.95" customHeight="1" x14ac:dyDescent="0.2">
      <c r="A18" s="397"/>
      <c r="B18" s="216" t="s">
        <v>123</v>
      </c>
      <c r="C18" s="96">
        <v>0</v>
      </c>
      <c r="D18" s="143">
        <v>0</v>
      </c>
      <c r="E18" s="143">
        <v>3.97</v>
      </c>
      <c r="F18" s="143">
        <v>3.11</v>
      </c>
      <c r="G18" s="143">
        <v>3.3</v>
      </c>
      <c r="H18" s="143">
        <v>0</v>
      </c>
      <c r="I18" s="144">
        <v>0</v>
      </c>
      <c r="J18" s="144">
        <v>1.37</v>
      </c>
      <c r="K18" s="144">
        <v>1.04</v>
      </c>
      <c r="L18" s="143">
        <v>1.17</v>
      </c>
      <c r="M18" s="145" t="e">
        <f t="shared" si="1"/>
        <v>#DIV/0!</v>
      </c>
      <c r="N18" s="145" t="e">
        <f t="shared" si="0"/>
        <v>#DIV/0!</v>
      </c>
      <c r="O18" s="145">
        <f t="shared" si="0"/>
        <v>345.08816120906806</v>
      </c>
      <c r="P18" s="145">
        <f t="shared" si="0"/>
        <v>334.40514469453382</v>
      </c>
      <c r="Q18" s="145">
        <f t="shared" si="0"/>
        <v>354.54545454545456</v>
      </c>
    </row>
    <row r="19" spans="1:17" ht="24.95" customHeight="1" x14ac:dyDescent="0.2">
      <c r="A19" s="397"/>
      <c r="B19" s="216" t="s">
        <v>165</v>
      </c>
      <c r="C19" s="96">
        <v>0</v>
      </c>
      <c r="D19" s="143">
        <v>0.45</v>
      </c>
      <c r="E19" s="143">
        <v>0.54</v>
      </c>
      <c r="F19" s="143">
        <v>0.6</v>
      </c>
      <c r="G19" s="143">
        <v>0.54</v>
      </c>
      <c r="H19" s="143">
        <v>0</v>
      </c>
      <c r="I19" s="144">
        <v>0.12</v>
      </c>
      <c r="J19" s="144">
        <v>0.15</v>
      </c>
      <c r="K19" s="144">
        <v>0.16</v>
      </c>
      <c r="L19" s="143">
        <v>0.17</v>
      </c>
      <c r="M19" s="145" t="e">
        <f t="shared" si="1"/>
        <v>#DIV/0!</v>
      </c>
      <c r="N19" s="145">
        <f t="shared" si="0"/>
        <v>266.66666666666669</v>
      </c>
      <c r="O19" s="145">
        <f t="shared" si="0"/>
        <v>277.77777777777771</v>
      </c>
      <c r="P19" s="145">
        <f t="shared" si="0"/>
        <v>266.66666666666669</v>
      </c>
      <c r="Q19" s="145">
        <f t="shared" si="0"/>
        <v>314.81481481481484</v>
      </c>
    </row>
    <row r="20" spans="1:17" ht="24.75" customHeight="1" x14ac:dyDescent="0.2">
      <c r="A20" s="397"/>
      <c r="B20" s="216" t="s">
        <v>140</v>
      </c>
      <c r="C20" s="96">
        <v>0</v>
      </c>
      <c r="D20" s="143">
        <v>4.43</v>
      </c>
      <c r="E20" s="143">
        <v>0</v>
      </c>
      <c r="F20" s="143">
        <v>0</v>
      </c>
      <c r="G20" s="143">
        <v>0</v>
      </c>
      <c r="H20" s="143">
        <v>0</v>
      </c>
      <c r="I20" s="144">
        <v>1.61</v>
      </c>
      <c r="J20" s="144">
        <v>0</v>
      </c>
      <c r="K20" s="144">
        <v>0</v>
      </c>
      <c r="L20" s="143">
        <v>0</v>
      </c>
      <c r="M20" s="145" t="e">
        <f t="shared" si="1"/>
        <v>#DIV/0!</v>
      </c>
      <c r="N20" s="145">
        <f t="shared" si="0"/>
        <v>363.43115124153502</v>
      </c>
      <c r="O20" s="145" t="e">
        <f t="shared" si="0"/>
        <v>#DIV/0!</v>
      </c>
      <c r="P20" s="145" t="e">
        <f t="shared" si="0"/>
        <v>#DIV/0!</v>
      </c>
      <c r="Q20" s="145" t="e">
        <f t="shared" si="0"/>
        <v>#DIV/0!</v>
      </c>
    </row>
    <row r="21" spans="1:17" s="66" customFormat="1" ht="24.95" customHeight="1" x14ac:dyDescent="0.2">
      <c r="A21" s="397"/>
      <c r="B21" s="146" t="s">
        <v>10</v>
      </c>
      <c r="C21" s="147">
        <f>SUM(C16:C20)</f>
        <v>40.6</v>
      </c>
      <c r="D21" s="147">
        <f t="shared" ref="D21:L21" si="5">SUM(D16:D20)</f>
        <v>43.99</v>
      </c>
      <c r="E21" s="147">
        <f t="shared" si="5"/>
        <v>42.089999999999996</v>
      </c>
      <c r="F21" s="147">
        <f t="shared" si="5"/>
        <v>37.800000000000004</v>
      </c>
      <c r="G21" s="147">
        <f t="shared" si="5"/>
        <v>29.32</v>
      </c>
      <c r="H21" s="147">
        <f t="shared" si="5"/>
        <v>15.6</v>
      </c>
      <c r="I21" s="147">
        <f t="shared" si="5"/>
        <v>17.009999999999998</v>
      </c>
      <c r="J21" s="147">
        <f t="shared" si="5"/>
        <v>15.959999999999999</v>
      </c>
      <c r="K21" s="147">
        <f t="shared" si="5"/>
        <v>14.670000000000002</v>
      </c>
      <c r="L21" s="147">
        <f t="shared" si="5"/>
        <v>12.08</v>
      </c>
      <c r="M21" s="289">
        <f t="shared" si="1"/>
        <v>384.23645320197039</v>
      </c>
      <c r="N21" s="289">
        <f t="shared" si="0"/>
        <v>386.67879063423499</v>
      </c>
      <c r="O21" s="289">
        <f t="shared" si="0"/>
        <v>379.18745545260157</v>
      </c>
      <c r="P21" s="289">
        <f t="shared" si="0"/>
        <v>388.09523809523813</v>
      </c>
      <c r="Q21" s="289">
        <f t="shared" si="0"/>
        <v>412.00545702592092</v>
      </c>
    </row>
    <row r="22" spans="1:17" s="66" customFormat="1" ht="24.95" customHeight="1" x14ac:dyDescent="0.2">
      <c r="A22" s="146" t="s">
        <v>124</v>
      </c>
      <c r="B22" s="146" t="s">
        <v>10</v>
      </c>
      <c r="C22" s="163">
        <v>0.14199999999999999</v>
      </c>
      <c r="D22" s="163">
        <v>0.19500000000000001</v>
      </c>
      <c r="E22" s="163">
        <v>0.17</v>
      </c>
      <c r="F22" s="163">
        <v>1E-3</v>
      </c>
      <c r="G22" s="163">
        <v>0</v>
      </c>
      <c r="H22" s="163">
        <v>0.11799999999999999</v>
      </c>
      <c r="I22" s="163">
        <v>0.187</v>
      </c>
      <c r="J22" s="163">
        <v>0.13900000000000001</v>
      </c>
      <c r="K22" s="163">
        <v>4.8000000000000001E-4</v>
      </c>
      <c r="L22" s="163">
        <v>0</v>
      </c>
      <c r="M22" s="145">
        <f t="shared" si="1"/>
        <v>830.9859154929577</v>
      </c>
      <c r="N22" s="145">
        <f t="shared" si="0"/>
        <v>958.97435897435889</v>
      </c>
      <c r="O22" s="145">
        <f t="shared" si="0"/>
        <v>817.64705882352939</v>
      </c>
      <c r="P22" s="145">
        <f t="shared" si="0"/>
        <v>480</v>
      </c>
      <c r="Q22" s="145" t="e">
        <f t="shared" si="0"/>
        <v>#DIV/0!</v>
      </c>
    </row>
    <row r="23" spans="1:17" ht="24.95" customHeight="1" x14ac:dyDescent="0.2">
      <c r="A23" s="397" t="s">
        <v>4</v>
      </c>
      <c r="B23" s="142" t="s">
        <v>125</v>
      </c>
      <c r="C23" s="160">
        <v>32</v>
      </c>
      <c r="D23" s="143">
        <v>27</v>
      </c>
      <c r="E23" s="143">
        <v>12.13</v>
      </c>
      <c r="F23" s="143">
        <v>11.56</v>
      </c>
      <c r="G23" s="143">
        <v>14.79</v>
      </c>
      <c r="H23" s="143">
        <v>15</v>
      </c>
      <c r="I23" s="143">
        <v>18</v>
      </c>
      <c r="J23" s="143">
        <v>0.99</v>
      </c>
      <c r="K23" s="143">
        <v>5.34</v>
      </c>
      <c r="L23" s="143">
        <v>7.71</v>
      </c>
      <c r="M23" s="145">
        <f t="shared" si="1"/>
        <v>468.75</v>
      </c>
      <c r="N23" s="145">
        <f t="shared" si="1"/>
        <v>666.66666666666663</v>
      </c>
      <c r="O23" s="145">
        <f t="shared" si="1"/>
        <v>81.615828524319866</v>
      </c>
      <c r="P23" s="145">
        <f t="shared" si="1"/>
        <v>461.93771626297575</v>
      </c>
      <c r="Q23" s="145">
        <f t="shared" si="1"/>
        <v>521.29817444219077</v>
      </c>
    </row>
    <row r="24" spans="1:17" s="62" customFormat="1" ht="24.95" customHeight="1" x14ac:dyDescent="0.2">
      <c r="A24" s="397"/>
      <c r="B24" s="142" t="s">
        <v>120</v>
      </c>
      <c r="C24" s="160">
        <v>5</v>
      </c>
      <c r="D24" s="143">
        <v>6</v>
      </c>
      <c r="E24" s="143">
        <v>5.38</v>
      </c>
      <c r="F24" s="143">
        <v>2.58</v>
      </c>
      <c r="G24" s="143">
        <v>2.4300000000000002</v>
      </c>
      <c r="H24" s="143">
        <v>2</v>
      </c>
      <c r="I24" s="143">
        <v>3</v>
      </c>
      <c r="J24" s="143">
        <v>2.5</v>
      </c>
      <c r="K24" s="143">
        <v>1.59</v>
      </c>
      <c r="L24" s="143">
        <v>1.49</v>
      </c>
      <c r="M24" s="145">
        <f t="shared" si="1"/>
        <v>400</v>
      </c>
      <c r="N24" s="145">
        <f t="shared" si="1"/>
        <v>500</v>
      </c>
      <c r="O24" s="145">
        <f t="shared" si="1"/>
        <v>464.68401486988847</v>
      </c>
      <c r="P24" s="145">
        <f t="shared" si="1"/>
        <v>616.2790697674418</v>
      </c>
      <c r="Q24" s="145">
        <f t="shared" si="1"/>
        <v>613.16872427983537</v>
      </c>
    </row>
    <row r="25" spans="1:17" s="66" customFormat="1" ht="23.25" customHeight="1" x14ac:dyDescent="0.2">
      <c r="A25" s="397"/>
      <c r="B25" s="146" t="s">
        <v>10</v>
      </c>
      <c r="C25" s="147">
        <f>SUM(C23:C24)</f>
        <v>37</v>
      </c>
      <c r="D25" s="147">
        <f t="shared" ref="D25:L25" si="6">SUM(D23:D24)</f>
        <v>33</v>
      </c>
      <c r="E25" s="147">
        <f t="shared" si="6"/>
        <v>17.510000000000002</v>
      </c>
      <c r="F25" s="147">
        <f t="shared" si="6"/>
        <v>14.14</v>
      </c>
      <c r="G25" s="147">
        <f t="shared" si="6"/>
        <v>17.22</v>
      </c>
      <c r="H25" s="147">
        <f t="shared" si="6"/>
        <v>17</v>
      </c>
      <c r="I25" s="147">
        <f t="shared" si="6"/>
        <v>21</v>
      </c>
      <c r="J25" s="147">
        <f t="shared" si="6"/>
        <v>3.49</v>
      </c>
      <c r="K25" s="147">
        <f t="shared" si="6"/>
        <v>6.93</v>
      </c>
      <c r="L25" s="147">
        <f t="shared" si="6"/>
        <v>9.1999999999999993</v>
      </c>
      <c r="M25" s="145">
        <f t="shared" si="1"/>
        <v>459.45945945945948</v>
      </c>
      <c r="N25" s="145">
        <f t="shared" si="1"/>
        <v>636.36363636363637</v>
      </c>
      <c r="O25" s="145">
        <f t="shared" si="1"/>
        <v>199.31467732724155</v>
      </c>
      <c r="P25" s="145">
        <f t="shared" si="1"/>
        <v>490.09900990099004</v>
      </c>
      <c r="Q25" s="145">
        <f t="shared" si="1"/>
        <v>534.2624854819976</v>
      </c>
    </row>
    <row r="26" spans="1:17" ht="23.25" customHeight="1" x14ac:dyDescent="0.2">
      <c r="A26" s="397" t="s">
        <v>18</v>
      </c>
      <c r="B26" s="142" t="s">
        <v>125</v>
      </c>
      <c r="C26" s="160">
        <v>0.7</v>
      </c>
      <c r="D26" s="143">
        <v>0.9</v>
      </c>
      <c r="E26" s="143">
        <v>0.2</v>
      </c>
      <c r="F26" s="143">
        <v>0.38</v>
      </c>
      <c r="G26" s="143">
        <v>0.32</v>
      </c>
      <c r="H26" s="162">
        <v>0.24</v>
      </c>
      <c r="I26" s="144">
        <v>0.4</v>
      </c>
      <c r="J26" s="144">
        <v>0.06</v>
      </c>
      <c r="K26" s="144">
        <v>0.57999999999999996</v>
      </c>
      <c r="L26" s="280">
        <v>0.16</v>
      </c>
      <c r="M26" s="145">
        <f t="shared" si="1"/>
        <v>342.85714285714283</v>
      </c>
      <c r="N26" s="145">
        <f t="shared" si="1"/>
        <v>444.44444444444446</v>
      </c>
      <c r="O26" s="145">
        <f t="shared" si="1"/>
        <v>300</v>
      </c>
      <c r="P26" s="145">
        <f t="shared" si="1"/>
        <v>1526.3157894736842</v>
      </c>
      <c r="Q26" s="145">
        <f t="shared" si="1"/>
        <v>500</v>
      </c>
    </row>
    <row r="27" spans="1:17" ht="23.25" customHeight="1" x14ac:dyDescent="0.2">
      <c r="A27" s="397"/>
      <c r="B27" s="142" t="s">
        <v>119</v>
      </c>
      <c r="C27" s="160">
        <v>0.1</v>
      </c>
      <c r="D27" s="143">
        <v>0.4</v>
      </c>
      <c r="E27" s="143">
        <v>0.5</v>
      </c>
      <c r="F27" s="143">
        <v>0.8</v>
      </c>
      <c r="G27" s="143">
        <v>0.67</v>
      </c>
      <c r="H27" s="144">
        <v>7.0000000000000007E-2</v>
      </c>
      <c r="I27" s="144">
        <v>0.2</v>
      </c>
      <c r="J27" s="144">
        <v>0.3</v>
      </c>
      <c r="K27" s="144">
        <v>0.11</v>
      </c>
      <c r="L27" s="280">
        <v>0.4</v>
      </c>
      <c r="M27" s="145">
        <f t="shared" si="1"/>
        <v>700.00000000000011</v>
      </c>
      <c r="N27" s="145">
        <f t="shared" si="1"/>
        <v>500</v>
      </c>
      <c r="O27" s="145">
        <f t="shared" si="1"/>
        <v>600</v>
      </c>
      <c r="P27" s="145">
        <f t="shared" si="1"/>
        <v>137.49999999999997</v>
      </c>
      <c r="Q27" s="145">
        <f t="shared" si="1"/>
        <v>597.01492537313425</v>
      </c>
    </row>
    <row r="28" spans="1:17" ht="23.25" customHeight="1" x14ac:dyDescent="0.2">
      <c r="A28" s="397"/>
      <c r="B28" s="142" t="s">
        <v>120</v>
      </c>
      <c r="C28" s="96">
        <v>0</v>
      </c>
      <c r="D28" s="143">
        <v>1.2</v>
      </c>
      <c r="E28" s="143">
        <v>0</v>
      </c>
      <c r="F28" s="143">
        <v>0</v>
      </c>
      <c r="G28" s="143">
        <v>0</v>
      </c>
      <c r="H28" s="143">
        <v>0</v>
      </c>
      <c r="I28" s="143">
        <v>0.5</v>
      </c>
      <c r="J28" s="143">
        <v>0</v>
      </c>
      <c r="K28" s="143">
        <v>0</v>
      </c>
      <c r="L28" s="143">
        <v>0</v>
      </c>
      <c r="M28" s="145" t="e">
        <f t="shared" si="1"/>
        <v>#DIV/0!</v>
      </c>
      <c r="N28" s="145">
        <f t="shared" si="1"/>
        <v>416.66666666666669</v>
      </c>
      <c r="O28" s="145" t="e">
        <f t="shared" si="1"/>
        <v>#DIV/0!</v>
      </c>
      <c r="P28" s="145" t="e">
        <f t="shared" si="1"/>
        <v>#DIV/0!</v>
      </c>
      <c r="Q28" s="145" t="e">
        <f t="shared" si="1"/>
        <v>#DIV/0!</v>
      </c>
    </row>
    <row r="29" spans="1:17" s="66" customFormat="1" ht="23.25" customHeight="1" x14ac:dyDescent="0.2">
      <c r="A29" s="397"/>
      <c r="B29" s="146" t="s">
        <v>10</v>
      </c>
      <c r="C29" s="147">
        <f>SUM(C26:C28)</f>
        <v>0.79999999999999993</v>
      </c>
      <c r="D29" s="147">
        <f t="shared" ref="D29:L29" si="7">SUM(D26:D28)</f>
        <v>2.5</v>
      </c>
      <c r="E29" s="147">
        <f t="shared" si="7"/>
        <v>0.7</v>
      </c>
      <c r="F29" s="147">
        <f t="shared" si="7"/>
        <v>1.1800000000000002</v>
      </c>
      <c r="G29" s="147">
        <f t="shared" si="7"/>
        <v>0.99</v>
      </c>
      <c r="H29" s="147">
        <f t="shared" si="7"/>
        <v>0.31</v>
      </c>
      <c r="I29" s="147">
        <f t="shared" si="7"/>
        <v>1.1000000000000001</v>
      </c>
      <c r="J29" s="147">
        <f t="shared" si="7"/>
        <v>0.36</v>
      </c>
      <c r="K29" s="147">
        <f t="shared" si="7"/>
        <v>0.69</v>
      </c>
      <c r="L29" s="147">
        <f t="shared" si="7"/>
        <v>0.56000000000000005</v>
      </c>
      <c r="M29" s="289">
        <f t="shared" si="1"/>
        <v>387.5</v>
      </c>
      <c r="N29" s="289">
        <f t="shared" si="1"/>
        <v>440.00000000000006</v>
      </c>
      <c r="O29" s="289">
        <f t="shared" si="1"/>
        <v>514.28571428571433</v>
      </c>
      <c r="P29" s="289">
        <f t="shared" si="1"/>
        <v>584.74576271186424</v>
      </c>
      <c r="Q29" s="289">
        <f t="shared" si="1"/>
        <v>565.6565656565657</v>
      </c>
    </row>
    <row r="30" spans="1:17" ht="23.25" customHeight="1" x14ac:dyDescent="0.2">
      <c r="A30" s="397" t="s">
        <v>44</v>
      </c>
      <c r="B30" s="142" t="s">
        <v>119</v>
      </c>
      <c r="C30" s="160">
        <v>1.8440000000000001</v>
      </c>
      <c r="D30" s="143">
        <v>1.6140000000000001</v>
      </c>
      <c r="E30" s="143">
        <v>1.6180000000000001</v>
      </c>
      <c r="F30" s="143">
        <v>1.633</v>
      </c>
      <c r="G30" s="143">
        <v>1.56</v>
      </c>
      <c r="H30" s="143">
        <v>0.738360309641098</v>
      </c>
      <c r="I30" s="143">
        <v>0.93799999999999994</v>
      </c>
      <c r="J30" s="143">
        <v>0.93799999999999994</v>
      </c>
      <c r="K30" s="143">
        <v>1.022</v>
      </c>
      <c r="L30" s="143">
        <v>0.80300000000000005</v>
      </c>
      <c r="M30" s="145">
        <f t="shared" si="1"/>
        <v>400.41231542358889</v>
      </c>
      <c r="N30" s="145">
        <f t="shared" si="1"/>
        <v>581.16480793060714</v>
      </c>
      <c r="O30" s="145">
        <f t="shared" si="1"/>
        <v>579.72805933250913</v>
      </c>
      <c r="P30" s="145">
        <f t="shared" si="1"/>
        <v>625.84200857317819</v>
      </c>
      <c r="Q30" s="145">
        <f t="shared" si="1"/>
        <v>514.74358974358984</v>
      </c>
    </row>
    <row r="31" spans="1:17" ht="23.25" customHeight="1" x14ac:dyDescent="0.2">
      <c r="A31" s="397"/>
      <c r="B31" s="142" t="s">
        <v>125</v>
      </c>
      <c r="C31" s="160">
        <v>3.4000000000000002E-2</v>
      </c>
      <c r="D31" s="143">
        <v>1.7000000000000001E-2</v>
      </c>
      <c r="E31" s="143">
        <v>1.6E-2</v>
      </c>
      <c r="F31" s="143">
        <v>2.8000000000000001E-2</v>
      </c>
      <c r="G31" s="143">
        <v>3.3530000000000002</v>
      </c>
      <c r="H31" s="143">
        <v>8.0323715693173814E-3</v>
      </c>
      <c r="I31" s="143">
        <v>0.105</v>
      </c>
      <c r="J31" s="143">
        <v>0.01</v>
      </c>
      <c r="K31" s="143">
        <v>1.4E-2</v>
      </c>
      <c r="L31" s="143">
        <v>10.106</v>
      </c>
      <c r="M31" s="145">
        <f t="shared" si="1"/>
        <v>236.24622262698179</v>
      </c>
      <c r="N31" s="145">
        <f t="shared" si="1"/>
        <v>6176.4705882352937</v>
      </c>
      <c r="O31" s="145">
        <f t="shared" si="1"/>
        <v>625</v>
      </c>
      <c r="P31" s="145">
        <f t="shared" si="1"/>
        <v>500</v>
      </c>
      <c r="Q31" s="145">
        <f t="shared" si="1"/>
        <v>3014.0172979421413</v>
      </c>
    </row>
    <row r="32" spans="1:17" ht="23.25" customHeight="1" x14ac:dyDescent="0.2">
      <c r="A32" s="397"/>
      <c r="B32" s="142" t="s">
        <v>120</v>
      </c>
      <c r="C32" s="160">
        <v>6.3159999999999998</v>
      </c>
      <c r="D32" s="143">
        <v>6.5039999999999996</v>
      </c>
      <c r="E32" s="143">
        <v>6.5679999999999996</v>
      </c>
      <c r="F32" s="143">
        <v>6.9960000000000004</v>
      </c>
      <c r="G32" s="143">
        <v>6.66</v>
      </c>
      <c r="H32" s="143">
        <v>6.4479393187895839</v>
      </c>
      <c r="I32" s="143">
        <v>5.9740000000000002</v>
      </c>
      <c r="J32" s="143">
        <v>6.0430000000000001</v>
      </c>
      <c r="K32" s="143">
        <v>6.5410000000000004</v>
      </c>
      <c r="L32" s="143">
        <v>5.5960000000000001</v>
      </c>
      <c r="M32" s="145">
        <f t="shared" si="1"/>
        <v>1020.8896958184901</v>
      </c>
      <c r="N32" s="145">
        <f t="shared" si="1"/>
        <v>918.51168511685125</v>
      </c>
      <c r="O32" s="145">
        <f t="shared" si="1"/>
        <v>920.06699147381255</v>
      </c>
      <c r="P32" s="145">
        <f t="shared" si="1"/>
        <v>934.96283590623204</v>
      </c>
      <c r="Q32" s="145">
        <f t="shared" si="1"/>
        <v>840.24024024024027</v>
      </c>
    </row>
    <row r="33" spans="1:17" s="66" customFormat="1" ht="23.25" customHeight="1" x14ac:dyDescent="0.2">
      <c r="A33" s="397"/>
      <c r="B33" s="146" t="s">
        <v>10</v>
      </c>
      <c r="C33" s="147">
        <f>SUM(C30:C32)</f>
        <v>8.1939999999999991</v>
      </c>
      <c r="D33" s="147">
        <f t="shared" ref="D33:L33" si="8">SUM(D30:D32)</f>
        <v>8.1349999999999998</v>
      </c>
      <c r="E33" s="147">
        <f t="shared" si="8"/>
        <v>8.202</v>
      </c>
      <c r="F33" s="147">
        <f t="shared" si="8"/>
        <v>8.657</v>
      </c>
      <c r="G33" s="147">
        <f t="shared" si="8"/>
        <v>11.573</v>
      </c>
      <c r="H33" s="147">
        <f>SUM(H30:H32)</f>
        <v>7.1943319999999993</v>
      </c>
      <c r="I33" s="147">
        <f t="shared" si="8"/>
        <v>7.0170000000000003</v>
      </c>
      <c r="J33" s="147">
        <f t="shared" si="8"/>
        <v>6.9909999999999997</v>
      </c>
      <c r="K33" s="147">
        <f t="shared" si="8"/>
        <v>7.577</v>
      </c>
      <c r="L33" s="157">
        <f t="shared" si="8"/>
        <v>16.505000000000003</v>
      </c>
      <c r="M33" s="289">
        <f t="shared" si="1"/>
        <v>878</v>
      </c>
      <c r="N33" s="289">
        <f t="shared" si="1"/>
        <v>862.56914566687158</v>
      </c>
      <c r="O33" s="289">
        <f t="shared" si="1"/>
        <v>852.35308461350894</v>
      </c>
      <c r="P33" s="289">
        <f t="shared" si="1"/>
        <v>875.24546609680033</v>
      </c>
      <c r="Q33" s="289">
        <f t="shared" si="1"/>
        <v>1426.1643480514995</v>
      </c>
    </row>
    <row r="34" spans="1:17" ht="23.25" customHeight="1" x14ac:dyDescent="0.2">
      <c r="A34" s="397" t="s">
        <v>19</v>
      </c>
      <c r="B34" s="142" t="s">
        <v>125</v>
      </c>
      <c r="C34" s="160">
        <v>1.1100000000000001</v>
      </c>
      <c r="D34" s="143">
        <v>1.119</v>
      </c>
      <c r="E34" s="143">
        <v>1.1240000000000001</v>
      </c>
      <c r="F34" s="143">
        <v>1.169</v>
      </c>
      <c r="G34" s="143">
        <v>1.087</v>
      </c>
      <c r="H34" s="143">
        <v>0.81</v>
      </c>
      <c r="I34" s="143">
        <v>0.83</v>
      </c>
      <c r="J34" s="143">
        <v>0.82199999999999995</v>
      </c>
      <c r="K34" s="143">
        <v>0.85570800000000014</v>
      </c>
      <c r="L34" s="143">
        <v>0.78</v>
      </c>
      <c r="M34" s="145">
        <f t="shared" si="1"/>
        <v>729.72972972972968</v>
      </c>
      <c r="N34" s="145">
        <f t="shared" si="1"/>
        <v>741.73369079535303</v>
      </c>
      <c r="O34" s="145">
        <f t="shared" si="1"/>
        <v>731.31672597864758</v>
      </c>
      <c r="P34" s="145">
        <f t="shared" si="1"/>
        <v>732.00000000000011</v>
      </c>
      <c r="Q34" s="145">
        <f t="shared" si="1"/>
        <v>717.57129714811413</v>
      </c>
    </row>
    <row r="35" spans="1:17" ht="23.25" customHeight="1" x14ac:dyDescent="0.2">
      <c r="A35" s="397"/>
      <c r="B35" s="142" t="s">
        <v>119</v>
      </c>
      <c r="C35" s="160">
        <v>0.79800000000000004</v>
      </c>
      <c r="D35" s="143">
        <v>0.77700000000000002</v>
      </c>
      <c r="E35" s="143">
        <v>0.77700000000000002</v>
      </c>
      <c r="F35" s="143">
        <v>0.63100000000000001</v>
      </c>
      <c r="G35" s="143">
        <v>0.71199999999999997</v>
      </c>
      <c r="H35" s="143">
        <v>0.28000000000000003</v>
      </c>
      <c r="I35" s="143">
        <v>0.47</v>
      </c>
      <c r="J35" s="143">
        <v>0.33450000000000002</v>
      </c>
      <c r="K35" s="143">
        <v>0.220219</v>
      </c>
      <c r="L35" s="143">
        <v>0.24</v>
      </c>
      <c r="M35" s="145">
        <f t="shared" si="1"/>
        <v>350.87719298245617</v>
      </c>
      <c r="N35" s="145">
        <f t="shared" si="1"/>
        <v>604.89060489060489</v>
      </c>
      <c r="O35" s="145">
        <f t="shared" si="1"/>
        <v>430.50193050193053</v>
      </c>
      <c r="P35" s="145">
        <f t="shared" si="1"/>
        <v>349</v>
      </c>
      <c r="Q35" s="145">
        <f t="shared" si="1"/>
        <v>337.07865168539325</v>
      </c>
    </row>
    <row r="36" spans="1:17" ht="23.25" customHeight="1" x14ac:dyDescent="0.2">
      <c r="A36" s="397"/>
      <c r="B36" s="142" t="s">
        <v>126</v>
      </c>
      <c r="C36" s="160">
        <v>0.25600000000000001</v>
      </c>
      <c r="D36" s="143">
        <v>0.21</v>
      </c>
      <c r="E36" s="143">
        <v>0.21</v>
      </c>
      <c r="F36" s="143">
        <v>0.21</v>
      </c>
      <c r="G36" s="143">
        <v>0</v>
      </c>
      <c r="H36" s="143">
        <v>5.0999999999999997E-2</v>
      </c>
      <c r="I36" s="143">
        <v>0.11600000000000001</v>
      </c>
      <c r="J36" s="143">
        <v>0.11600000000000001</v>
      </c>
      <c r="K36" s="143">
        <v>4.3049999999999998E-2</v>
      </c>
      <c r="L36" s="143">
        <v>0</v>
      </c>
      <c r="M36" s="145">
        <f t="shared" si="1"/>
        <v>199.21874999999997</v>
      </c>
      <c r="N36" s="145">
        <f t="shared" si="1"/>
        <v>552.38095238095241</v>
      </c>
      <c r="O36" s="145">
        <f t="shared" si="1"/>
        <v>552.38095238095241</v>
      </c>
      <c r="P36" s="145">
        <f t="shared" si="1"/>
        <v>205</v>
      </c>
      <c r="Q36" s="145" t="e">
        <f t="shared" si="1"/>
        <v>#DIV/0!</v>
      </c>
    </row>
    <row r="37" spans="1:17" ht="23.25" customHeight="1" x14ac:dyDescent="0.2">
      <c r="A37" s="397"/>
      <c r="B37" s="142" t="s">
        <v>127</v>
      </c>
      <c r="C37" s="160">
        <v>3.4590000000000001</v>
      </c>
      <c r="D37" s="143">
        <v>3.4209999999999998</v>
      </c>
      <c r="E37" s="143">
        <v>3.3239999999999998</v>
      </c>
      <c r="F37" s="143">
        <v>12.129</v>
      </c>
      <c r="G37" s="143">
        <v>3.8759999999999999</v>
      </c>
      <c r="H37" s="143">
        <v>2.5099999999999998</v>
      </c>
      <c r="I37" s="143">
        <v>2.8050000000000002</v>
      </c>
      <c r="J37" s="143">
        <v>2.5116000000000001</v>
      </c>
      <c r="K37" s="143">
        <v>37.712620999999999</v>
      </c>
      <c r="L37" s="143">
        <v>3.1</v>
      </c>
      <c r="M37" s="145">
        <f t="shared" si="1"/>
        <v>725.6432494940733</v>
      </c>
      <c r="N37" s="145">
        <f t="shared" si="1"/>
        <v>819.93569131832805</v>
      </c>
      <c r="O37" s="145">
        <f t="shared" si="1"/>
        <v>755.59566787003621</v>
      </c>
      <c r="P37" s="145">
        <f t="shared" si="1"/>
        <v>3109.2935114189136</v>
      </c>
      <c r="Q37" s="145">
        <f t="shared" si="1"/>
        <v>799.7936016511868</v>
      </c>
    </row>
    <row r="38" spans="1:17" ht="23.25" customHeight="1" x14ac:dyDescent="0.2">
      <c r="A38" s="397"/>
      <c r="B38" s="142" t="s">
        <v>120</v>
      </c>
      <c r="C38" s="160">
        <f>0.091+9.636+0.21+0.23</f>
        <v>10.167</v>
      </c>
      <c r="D38" s="143">
        <v>10.904999999999999</v>
      </c>
      <c r="E38" s="143">
        <f>0.151+10.962+0.33+0.373</f>
        <v>11.815999999999999</v>
      </c>
      <c r="F38" s="143">
        <v>1.3140000000000001</v>
      </c>
      <c r="G38" s="143">
        <v>8.7030000000000012</v>
      </c>
      <c r="H38" s="143">
        <v>4.4899999999999993</v>
      </c>
      <c r="I38" s="143">
        <v>4.609</v>
      </c>
      <c r="J38" s="143">
        <f>4.97-0.0041</f>
        <v>4.9658999999999995</v>
      </c>
      <c r="K38" s="143">
        <v>4.1125400000000001</v>
      </c>
      <c r="L38" s="143">
        <f>0.0012+2.66+1.38+0.73</f>
        <v>4.7712000000000003</v>
      </c>
      <c r="M38" s="145">
        <f t="shared" si="1"/>
        <v>441.62486475853245</v>
      </c>
      <c r="N38" s="145">
        <f t="shared" si="1"/>
        <v>422.65016047684549</v>
      </c>
      <c r="O38" s="145">
        <f t="shared" si="1"/>
        <v>420.26912660798916</v>
      </c>
      <c r="P38" s="145">
        <f t="shared" si="1"/>
        <v>3129.786910197869</v>
      </c>
      <c r="Q38" s="145">
        <f t="shared" si="1"/>
        <v>548.2247500861771</v>
      </c>
    </row>
    <row r="39" spans="1:17" s="66" customFormat="1" ht="23.25" customHeight="1" x14ac:dyDescent="0.2">
      <c r="A39" s="397"/>
      <c r="B39" s="146" t="s">
        <v>10</v>
      </c>
      <c r="C39" s="147">
        <f>SUM(C34:C38)</f>
        <v>15.79</v>
      </c>
      <c r="D39" s="147">
        <f>SUM(D34:D38)</f>
        <v>16.431999999999999</v>
      </c>
      <c r="E39" s="147">
        <f t="shared" ref="E39:L39" si="9">SUM(E34:E38)</f>
        <v>17.250999999999998</v>
      </c>
      <c r="F39" s="147">
        <f t="shared" si="9"/>
        <v>15.452999999999999</v>
      </c>
      <c r="G39" s="147">
        <f t="shared" si="9"/>
        <v>14.378</v>
      </c>
      <c r="H39" s="147">
        <f>SUM(H34:H38)</f>
        <v>8.1409999999999982</v>
      </c>
      <c r="I39" s="147">
        <f>SUM(I34:I38)</f>
        <v>8.83</v>
      </c>
      <c r="J39" s="147">
        <f t="shared" si="9"/>
        <v>8.75</v>
      </c>
      <c r="K39" s="147">
        <f t="shared" si="9"/>
        <v>42.944138000000002</v>
      </c>
      <c r="L39" s="147">
        <f t="shared" si="9"/>
        <v>8.8912000000000013</v>
      </c>
      <c r="M39" s="289">
        <f t="shared" si="1"/>
        <v>515.57948068397707</v>
      </c>
      <c r="N39" s="289">
        <f t="shared" si="1"/>
        <v>537.36611489776055</v>
      </c>
      <c r="O39" s="289">
        <f t="shared" si="1"/>
        <v>507.21697292910562</v>
      </c>
      <c r="P39" s="289">
        <f t="shared" si="1"/>
        <v>2779.0162428007511</v>
      </c>
      <c r="Q39" s="289">
        <f t="shared" si="1"/>
        <v>618.38920573097801</v>
      </c>
    </row>
    <row r="40" spans="1:17" s="66" customFormat="1" ht="23.25" customHeight="1" x14ac:dyDescent="0.2">
      <c r="A40" s="154" t="s">
        <v>161</v>
      </c>
      <c r="B40" s="154"/>
      <c r="C40" s="226"/>
      <c r="D40" s="226"/>
      <c r="E40" s="226"/>
      <c r="F40" s="226"/>
      <c r="G40" s="226"/>
      <c r="H40" s="226"/>
      <c r="I40" s="226"/>
      <c r="J40" s="226"/>
      <c r="K40" s="226"/>
      <c r="L40" s="226"/>
      <c r="M40" s="221"/>
      <c r="N40" s="221"/>
      <c r="O40" s="221"/>
      <c r="P40" s="153"/>
      <c r="Q40" s="153"/>
    </row>
    <row r="41" spans="1:17" s="66" customFormat="1" ht="23.25" customHeight="1" x14ac:dyDescent="0.2">
      <c r="A41" s="154"/>
      <c r="B41" s="154"/>
      <c r="C41" s="226"/>
      <c r="D41" s="226"/>
      <c r="E41" s="226"/>
      <c r="F41" s="226"/>
      <c r="G41" s="226"/>
      <c r="H41" s="226"/>
      <c r="I41" s="226"/>
      <c r="J41" s="226"/>
      <c r="K41" s="226"/>
      <c r="L41" s="226"/>
      <c r="M41" s="221"/>
      <c r="N41" s="221"/>
      <c r="O41" s="221"/>
      <c r="P41" s="153"/>
      <c r="Q41" s="153"/>
    </row>
    <row r="42" spans="1:17" s="66" customFormat="1" ht="23.25" customHeight="1" x14ac:dyDescent="0.2">
      <c r="A42" s="154"/>
      <c r="B42" s="154"/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1"/>
      <c r="N42" s="221"/>
      <c r="O42" s="221"/>
      <c r="P42" s="153"/>
      <c r="Q42" s="153"/>
    </row>
    <row r="43" spans="1:17" s="66" customFormat="1" ht="23.25" customHeight="1" x14ac:dyDescent="0.2">
      <c r="A43" s="402" t="s">
        <v>1</v>
      </c>
      <c r="B43" s="408" t="s">
        <v>0</v>
      </c>
      <c r="C43" s="342" t="s">
        <v>174</v>
      </c>
      <c r="D43" s="342"/>
      <c r="E43" s="342"/>
      <c r="F43" s="342"/>
      <c r="G43" s="342"/>
      <c r="H43" s="342" t="s">
        <v>68</v>
      </c>
      <c r="I43" s="342"/>
      <c r="J43" s="342"/>
      <c r="K43" s="342"/>
      <c r="L43" s="342"/>
      <c r="M43" s="342" t="s">
        <v>89</v>
      </c>
      <c r="N43" s="342"/>
      <c r="O43" s="342"/>
      <c r="P43" s="342"/>
      <c r="Q43" s="342"/>
    </row>
    <row r="44" spans="1:17" s="66" customFormat="1" ht="23.25" customHeight="1" x14ac:dyDescent="0.2">
      <c r="A44" s="402"/>
      <c r="B44" s="408"/>
      <c r="C44" s="290" t="s">
        <v>112</v>
      </c>
      <c r="D44" s="290" t="s">
        <v>164</v>
      </c>
      <c r="E44" s="290" t="s">
        <v>199</v>
      </c>
      <c r="F44" s="290" t="s">
        <v>200</v>
      </c>
      <c r="G44" s="273" t="s">
        <v>202</v>
      </c>
      <c r="H44" s="281" t="s">
        <v>112</v>
      </c>
      <c r="I44" s="281" t="s">
        <v>164</v>
      </c>
      <c r="J44" s="281" t="s">
        <v>199</v>
      </c>
      <c r="K44" s="281" t="s">
        <v>200</v>
      </c>
      <c r="L44" s="273" t="s">
        <v>202</v>
      </c>
      <c r="M44" s="290" t="s">
        <v>112</v>
      </c>
      <c r="N44" s="290" t="s">
        <v>164</v>
      </c>
      <c r="O44" s="290" t="s">
        <v>199</v>
      </c>
      <c r="P44" s="290" t="s">
        <v>200</v>
      </c>
      <c r="Q44" s="273" t="s">
        <v>202</v>
      </c>
    </row>
    <row r="45" spans="1:17" ht="23.25" customHeight="1" x14ac:dyDescent="0.2">
      <c r="A45" s="397" t="s">
        <v>41</v>
      </c>
      <c r="B45" s="142" t="s">
        <v>119</v>
      </c>
      <c r="C45" s="160">
        <v>25.006</v>
      </c>
      <c r="D45" s="143">
        <v>14.087999999999999</v>
      </c>
      <c r="E45" s="143">
        <v>17.053000000000001</v>
      </c>
      <c r="F45" s="143">
        <v>20.263999999999999</v>
      </c>
      <c r="G45" s="143">
        <v>18.663</v>
      </c>
      <c r="H45" s="143">
        <v>19.504000000000001</v>
      </c>
      <c r="I45" s="143">
        <v>8.8309999999999995</v>
      </c>
      <c r="J45" s="143">
        <v>11.292</v>
      </c>
      <c r="K45" s="143">
        <v>13.817</v>
      </c>
      <c r="L45" s="143">
        <v>13.087</v>
      </c>
      <c r="M45" s="145">
        <f>H45/C45*1000</f>
        <v>779.97280652643371</v>
      </c>
      <c r="N45" s="145">
        <f t="shared" ref="N45:Q60" si="10">I45/D45*1000</f>
        <v>626.84554230550827</v>
      </c>
      <c r="O45" s="145">
        <f t="shared" si="10"/>
        <v>662.17087902421861</v>
      </c>
      <c r="P45" s="145">
        <f t="shared" si="10"/>
        <v>681.84958547177268</v>
      </c>
      <c r="Q45" s="145">
        <f>L45/G45*1000</f>
        <v>701.22702673739479</v>
      </c>
    </row>
    <row r="46" spans="1:17" ht="23.25" customHeight="1" x14ac:dyDescent="0.2">
      <c r="A46" s="397"/>
      <c r="B46" s="142" t="s">
        <v>120</v>
      </c>
      <c r="C46" s="160">
        <v>20.843</v>
      </c>
      <c r="D46" s="143">
        <v>27.172000000000001</v>
      </c>
      <c r="E46" s="143">
        <v>24.611999999999998</v>
      </c>
      <c r="F46" s="143">
        <v>17.041</v>
      </c>
      <c r="G46" s="143">
        <v>18.581</v>
      </c>
      <c r="H46" s="143">
        <v>11.491</v>
      </c>
      <c r="I46" s="143">
        <v>19.795000000000002</v>
      </c>
      <c r="J46" s="143">
        <v>15.138</v>
      </c>
      <c r="K46" s="143">
        <v>11.695</v>
      </c>
      <c r="L46" s="143">
        <v>13.646000000000001</v>
      </c>
      <c r="M46" s="145">
        <f t="shared" ref="M46:Q75" si="11">H46/C46*1000</f>
        <v>551.31219114330952</v>
      </c>
      <c r="N46" s="145">
        <f t="shared" si="10"/>
        <v>728.50728691299867</v>
      </c>
      <c r="O46" s="145">
        <f t="shared" si="10"/>
        <v>615.06582155046317</v>
      </c>
      <c r="P46" s="145">
        <f t="shared" si="10"/>
        <v>686.28601607886867</v>
      </c>
      <c r="Q46" s="145">
        <f t="shared" si="10"/>
        <v>734.40611377213293</v>
      </c>
    </row>
    <row r="47" spans="1:17" s="66" customFormat="1" ht="23.25" customHeight="1" x14ac:dyDescent="0.2">
      <c r="A47" s="397"/>
      <c r="B47" s="146" t="s">
        <v>10</v>
      </c>
      <c r="C47" s="147">
        <f>SUM(C45:C46)</f>
        <v>45.849000000000004</v>
      </c>
      <c r="D47" s="147">
        <f t="shared" ref="D47:G47" si="12">SUM(D45:D46)</f>
        <v>41.26</v>
      </c>
      <c r="E47" s="147">
        <f t="shared" si="12"/>
        <v>41.664999999999999</v>
      </c>
      <c r="F47" s="147">
        <f t="shared" si="12"/>
        <v>37.305</v>
      </c>
      <c r="G47" s="147">
        <f t="shared" si="12"/>
        <v>37.244</v>
      </c>
      <c r="H47" s="147">
        <f>SUM(H45:H46)</f>
        <v>30.995000000000001</v>
      </c>
      <c r="I47" s="147">
        <f t="shared" ref="I47:L47" si="13">SUM(I45:I46)</f>
        <v>28.626000000000001</v>
      </c>
      <c r="J47" s="147">
        <f t="shared" si="13"/>
        <v>26.43</v>
      </c>
      <c r="K47" s="147">
        <f t="shared" si="13"/>
        <v>25.512</v>
      </c>
      <c r="L47" s="147">
        <f t="shared" si="13"/>
        <v>26.733000000000001</v>
      </c>
      <c r="M47" s="289">
        <f t="shared" si="11"/>
        <v>676.02346834173045</v>
      </c>
      <c r="N47" s="289">
        <f t="shared" si="10"/>
        <v>693.79544352884159</v>
      </c>
      <c r="O47" s="289">
        <f t="shared" si="10"/>
        <v>634.34537381495261</v>
      </c>
      <c r="P47" s="289">
        <f t="shared" si="10"/>
        <v>683.87615601125856</v>
      </c>
      <c r="Q47" s="289">
        <f t="shared" si="10"/>
        <v>717.78004510793687</v>
      </c>
    </row>
    <row r="48" spans="1:17" ht="23.25" customHeight="1" x14ac:dyDescent="0.2">
      <c r="A48" s="397" t="s">
        <v>5</v>
      </c>
      <c r="B48" s="216" t="s">
        <v>119</v>
      </c>
      <c r="C48" s="160">
        <v>36</v>
      </c>
      <c r="D48" s="143">
        <v>47</v>
      </c>
      <c r="E48" s="143">
        <v>38</v>
      </c>
      <c r="F48" s="143">
        <v>89</v>
      </c>
      <c r="G48" s="143">
        <v>47</v>
      </c>
      <c r="H48" s="162">
        <v>11</v>
      </c>
      <c r="I48" s="144">
        <v>33</v>
      </c>
      <c r="J48" s="144">
        <v>16</v>
      </c>
      <c r="K48" s="144">
        <v>71</v>
      </c>
      <c r="L48" s="143">
        <v>31</v>
      </c>
      <c r="M48" s="145">
        <f t="shared" si="11"/>
        <v>305.5555555555556</v>
      </c>
      <c r="N48" s="145">
        <f t="shared" si="10"/>
        <v>702.12765957446811</v>
      </c>
      <c r="O48" s="145">
        <f t="shared" si="10"/>
        <v>421.05263157894734</v>
      </c>
      <c r="P48" s="145">
        <f t="shared" si="10"/>
        <v>797.75280898876395</v>
      </c>
      <c r="Q48" s="145">
        <f>L48/G48*1000</f>
        <v>659.57446808510633</v>
      </c>
    </row>
    <row r="49" spans="1:244" ht="23.25" customHeight="1" x14ac:dyDescent="0.2">
      <c r="A49" s="397"/>
      <c r="B49" s="142" t="s">
        <v>128</v>
      </c>
      <c r="C49" s="160">
        <v>46</v>
      </c>
      <c r="D49" s="143">
        <v>58</v>
      </c>
      <c r="E49" s="143">
        <v>26</v>
      </c>
      <c r="F49" s="143">
        <v>33</v>
      </c>
      <c r="G49" s="143">
        <v>18</v>
      </c>
      <c r="H49" s="162">
        <v>17</v>
      </c>
      <c r="I49" s="144">
        <v>58</v>
      </c>
      <c r="J49" s="144">
        <v>16</v>
      </c>
      <c r="K49" s="144">
        <v>29</v>
      </c>
      <c r="L49" s="143">
        <v>15</v>
      </c>
      <c r="M49" s="145">
        <f t="shared" si="11"/>
        <v>369.56521739130432</v>
      </c>
      <c r="N49" s="145">
        <f t="shared" si="10"/>
        <v>1000</v>
      </c>
      <c r="O49" s="145">
        <f t="shared" si="10"/>
        <v>615.38461538461547</v>
      </c>
      <c r="P49" s="145">
        <f t="shared" si="10"/>
        <v>878.78787878787875</v>
      </c>
      <c r="Q49" s="145">
        <f t="shared" si="10"/>
        <v>833.33333333333337</v>
      </c>
    </row>
    <row r="50" spans="1:244" ht="23.25" customHeight="1" x14ac:dyDescent="0.2">
      <c r="A50" s="397"/>
      <c r="B50" s="142" t="s">
        <v>120</v>
      </c>
      <c r="C50" s="160">
        <f>57+3</f>
        <v>60</v>
      </c>
      <c r="D50" s="143">
        <f>87+1</f>
        <v>88</v>
      </c>
      <c r="E50" s="143">
        <f>44.42</f>
        <v>44.42</v>
      </c>
      <c r="F50" s="143">
        <v>32</v>
      </c>
      <c r="G50" s="143">
        <f>28+2</f>
        <v>30</v>
      </c>
      <c r="H50" s="162">
        <f>44</f>
        <v>44</v>
      </c>
      <c r="I50" s="144">
        <f>20+0.4</f>
        <v>20.399999999999999</v>
      </c>
      <c r="J50" s="144">
        <f>17+2</f>
        <v>19</v>
      </c>
      <c r="K50" s="144">
        <v>11</v>
      </c>
      <c r="L50" s="143">
        <f>9+1</f>
        <v>10</v>
      </c>
      <c r="M50" s="145">
        <f t="shared" si="11"/>
        <v>733.33333333333326</v>
      </c>
      <c r="N50" s="145">
        <f t="shared" si="10"/>
        <v>231.81818181818181</v>
      </c>
      <c r="O50" s="145">
        <f t="shared" si="10"/>
        <v>427.73525438991442</v>
      </c>
      <c r="P50" s="145">
        <f t="shared" si="10"/>
        <v>343.75</v>
      </c>
      <c r="Q50" s="145">
        <f t="shared" si="10"/>
        <v>333.33333333333331</v>
      </c>
    </row>
    <row r="51" spans="1:244" s="66" customFormat="1" ht="23.25" customHeight="1" x14ac:dyDescent="0.2">
      <c r="A51" s="397"/>
      <c r="B51" s="142" t="s">
        <v>10</v>
      </c>
      <c r="C51" s="147">
        <f>SUM(C48:C50)</f>
        <v>142</v>
      </c>
      <c r="D51" s="147">
        <f t="shared" ref="D51:K51" si="14">SUM(D48:D50)</f>
        <v>193</v>
      </c>
      <c r="E51" s="147">
        <f t="shared" si="14"/>
        <v>108.42</v>
      </c>
      <c r="F51" s="147">
        <f t="shared" si="14"/>
        <v>154</v>
      </c>
      <c r="G51" s="147">
        <f>SUM(G48:G50)</f>
        <v>95</v>
      </c>
      <c r="H51" s="147">
        <f t="shared" si="14"/>
        <v>72</v>
      </c>
      <c r="I51" s="147">
        <f t="shared" si="14"/>
        <v>111.4</v>
      </c>
      <c r="J51" s="147">
        <f t="shared" si="14"/>
        <v>51</v>
      </c>
      <c r="K51" s="147">
        <f t="shared" si="14"/>
        <v>111</v>
      </c>
      <c r="L51" s="147">
        <f>SUM(L48:L50)</f>
        <v>56</v>
      </c>
      <c r="M51" s="289">
        <f t="shared" si="11"/>
        <v>507.04225352112672</v>
      </c>
      <c r="N51" s="289">
        <f t="shared" si="10"/>
        <v>577.20207253886008</v>
      </c>
      <c r="O51" s="289">
        <f t="shared" si="10"/>
        <v>470.39291643608186</v>
      </c>
      <c r="P51" s="289">
        <f t="shared" si="10"/>
        <v>720.77922077922074</v>
      </c>
      <c r="Q51" s="289">
        <f t="shared" si="10"/>
        <v>589.47368421052624</v>
      </c>
    </row>
    <row r="52" spans="1:244" ht="23.25" hidden="1" customHeight="1" x14ac:dyDescent="0.2">
      <c r="A52" s="403" t="s">
        <v>17</v>
      </c>
      <c r="B52" s="142" t="s">
        <v>130</v>
      </c>
      <c r="C52" s="96">
        <v>0</v>
      </c>
      <c r="D52" s="143">
        <v>0</v>
      </c>
      <c r="E52" s="143"/>
      <c r="F52" s="143"/>
      <c r="G52" s="143"/>
      <c r="H52" s="143">
        <v>0</v>
      </c>
      <c r="I52" s="143"/>
      <c r="J52" s="143"/>
      <c r="K52" s="143"/>
      <c r="L52" s="143"/>
      <c r="M52" s="145" t="e">
        <f t="shared" si="11"/>
        <v>#DIV/0!</v>
      </c>
      <c r="N52" s="145" t="e">
        <f t="shared" si="10"/>
        <v>#DIV/0!</v>
      </c>
      <c r="O52" s="145" t="e">
        <f t="shared" si="10"/>
        <v>#DIV/0!</v>
      </c>
      <c r="P52" s="145" t="e">
        <f t="shared" si="10"/>
        <v>#DIV/0!</v>
      </c>
      <c r="Q52" s="145" t="e">
        <f t="shared" si="10"/>
        <v>#DIV/0!</v>
      </c>
    </row>
    <row r="53" spans="1:244" ht="23.25" customHeight="1" x14ac:dyDescent="0.2">
      <c r="A53" s="404"/>
      <c r="B53" s="142" t="s">
        <v>120</v>
      </c>
      <c r="C53" s="96">
        <v>0</v>
      </c>
      <c r="D53" s="143">
        <v>0</v>
      </c>
      <c r="E53" s="143">
        <v>0.13650000000000001</v>
      </c>
      <c r="F53" s="143">
        <v>9.0999999999999998E-2</v>
      </c>
      <c r="G53" s="143">
        <v>1.9E-2</v>
      </c>
      <c r="H53" s="143">
        <v>0</v>
      </c>
      <c r="I53" s="143">
        <v>0</v>
      </c>
      <c r="J53" s="143">
        <v>0.1245</v>
      </c>
      <c r="K53" s="143">
        <v>7.5999999999999998E-2</v>
      </c>
      <c r="L53" s="143">
        <v>1.2999999999999999E-2</v>
      </c>
      <c r="M53" s="145" t="e">
        <f t="shared" si="11"/>
        <v>#DIV/0!</v>
      </c>
      <c r="N53" s="145" t="e">
        <f t="shared" si="10"/>
        <v>#DIV/0!</v>
      </c>
      <c r="O53" s="145">
        <f t="shared" si="10"/>
        <v>912.08791208791206</v>
      </c>
      <c r="P53" s="145">
        <f t="shared" si="10"/>
        <v>835.16483516483515</v>
      </c>
      <c r="Q53" s="145">
        <f t="shared" si="10"/>
        <v>684.21052631578948</v>
      </c>
    </row>
    <row r="54" spans="1:244" s="66" customFormat="1" ht="23.25" customHeight="1" x14ac:dyDescent="0.2">
      <c r="A54" s="405"/>
      <c r="B54" s="146" t="s">
        <v>10</v>
      </c>
      <c r="C54" s="147">
        <f>SUM(C52:C53)</f>
        <v>0</v>
      </c>
      <c r="D54" s="147">
        <f t="shared" ref="D54:L54" si="15">SUM(D52:D53)</f>
        <v>0</v>
      </c>
      <c r="E54" s="147">
        <f t="shared" si="15"/>
        <v>0.13650000000000001</v>
      </c>
      <c r="F54" s="147">
        <f t="shared" si="15"/>
        <v>9.0999999999999998E-2</v>
      </c>
      <c r="G54" s="147">
        <f t="shared" si="15"/>
        <v>1.9E-2</v>
      </c>
      <c r="H54" s="147">
        <f t="shared" si="15"/>
        <v>0</v>
      </c>
      <c r="I54" s="147">
        <f t="shared" si="15"/>
        <v>0</v>
      </c>
      <c r="J54" s="147">
        <f t="shared" si="15"/>
        <v>0.1245</v>
      </c>
      <c r="K54" s="147">
        <f t="shared" si="15"/>
        <v>7.5999999999999998E-2</v>
      </c>
      <c r="L54" s="147">
        <f t="shared" si="15"/>
        <v>1.2999999999999999E-2</v>
      </c>
      <c r="M54" s="289" t="e">
        <f t="shared" si="11"/>
        <v>#DIV/0!</v>
      </c>
      <c r="N54" s="289" t="e">
        <f t="shared" si="10"/>
        <v>#DIV/0!</v>
      </c>
      <c r="O54" s="289">
        <f t="shared" si="10"/>
        <v>912.08791208791206</v>
      </c>
      <c r="P54" s="289">
        <f t="shared" si="10"/>
        <v>835.16483516483515</v>
      </c>
      <c r="Q54" s="289">
        <f t="shared" si="10"/>
        <v>684.21052631578948</v>
      </c>
    </row>
    <row r="55" spans="1:244" ht="23.25" customHeight="1" x14ac:dyDescent="0.2">
      <c r="A55" s="397" t="s">
        <v>6</v>
      </c>
      <c r="B55" s="216" t="s">
        <v>119</v>
      </c>
      <c r="C55" s="160">
        <v>14</v>
      </c>
      <c r="D55" s="143">
        <v>14</v>
      </c>
      <c r="E55" s="143">
        <v>2</v>
      </c>
      <c r="F55" s="143">
        <v>0</v>
      </c>
      <c r="G55" s="143">
        <v>2</v>
      </c>
      <c r="H55" s="143">
        <v>6</v>
      </c>
      <c r="I55" s="143">
        <v>6</v>
      </c>
      <c r="J55" s="143">
        <v>1</v>
      </c>
      <c r="K55" s="143">
        <v>0</v>
      </c>
      <c r="L55" s="143">
        <v>0.26600000000000001</v>
      </c>
      <c r="M55" s="145">
        <f t="shared" si="11"/>
        <v>428.57142857142856</v>
      </c>
      <c r="N55" s="145">
        <f t="shared" si="10"/>
        <v>428.57142857142856</v>
      </c>
      <c r="O55" s="145">
        <f t="shared" si="10"/>
        <v>500</v>
      </c>
      <c r="P55" s="145" t="e">
        <f t="shared" si="10"/>
        <v>#DIV/0!</v>
      </c>
      <c r="Q55" s="145">
        <f t="shared" si="10"/>
        <v>133</v>
      </c>
    </row>
    <row r="56" spans="1:244" ht="20.25" hidden="1" customHeight="1" x14ac:dyDescent="0.2">
      <c r="A56" s="397"/>
      <c r="B56" s="142" t="s">
        <v>122</v>
      </c>
      <c r="C56" s="96">
        <v>0</v>
      </c>
      <c r="D56" s="143"/>
      <c r="E56" s="143"/>
      <c r="F56" s="143"/>
      <c r="G56" s="279"/>
      <c r="H56" s="96">
        <v>0</v>
      </c>
      <c r="I56" s="144"/>
      <c r="J56" s="144"/>
      <c r="K56" s="144"/>
      <c r="L56" s="280"/>
      <c r="M56" s="145" t="e">
        <f t="shared" si="11"/>
        <v>#DIV/0!</v>
      </c>
      <c r="N56" s="145" t="e">
        <f t="shared" si="10"/>
        <v>#DIV/0!</v>
      </c>
      <c r="O56" s="145" t="e">
        <f t="shared" si="10"/>
        <v>#DIV/0!</v>
      </c>
      <c r="P56" s="145" t="e">
        <f t="shared" si="10"/>
        <v>#DIV/0!</v>
      </c>
      <c r="Q56" s="145" t="e">
        <f t="shared" si="10"/>
        <v>#DIV/0!</v>
      </c>
    </row>
    <row r="57" spans="1:244" ht="23.25" hidden="1" customHeight="1" x14ac:dyDescent="0.2">
      <c r="A57" s="397"/>
      <c r="B57" s="142" t="s">
        <v>123</v>
      </c>
      <c r="C57" s="96">
        <v>0</v>
      </c>
      <c r="D57" s="143"/>
      <c r="E57" s="143"/>
      <c r="F57" s="143"/>
      <c r="G57" s="279"/>
      <c r="H57" s="96">
        <v>0</v>
      </c>
      <c r="I57" s="144"/>
      <c r="J57" s="144"/>
      <c r="K57" s="144"/>
      <c r="L57" s="280"/>
      <c r="M57" s="145" t="e">
        <f t="shared" si="11"/>
        <v>#DIV/0!</v>
      </c>
      <c r="N57" s="145" t="e">
        <f t="shared" si="10"/>
        <v>#DIV/0!</v>
      </c>
      <c r="O57" s="145" t="e">
        <f t="shared" si="10"/>
        <v>#DIV/0!</v>
      </c>
      <c r="P57" s="145" t="e">
        <f t="shared" si="10"/>
        <v>#DIV/0!</v>
      </c>
      <c r="Q57" s="145" t="e">
        <f t="shared" si="10"/>
        <v>#DIV/0!</v>
      </c>
    </row>
    <row r="58" spans="1:244" s="61" customFormat="1" ht="23.25" customHeight="1" x14ac:dyDescent="0.2">
      <c r="A58" s="397"/>
      <c r="B58" s="217" t="s">
        <v>120</v>
      </c>
      <c r="C58" s="161">
        <v>20</v>
      </c>
      <c r="D58" s="143">
        <v>2</v>
      </c>
      <c r="E58" s="143">
        <v>0</v>
      </c>
      <c r="F58" s="143">
        <v>0</v>
      </c>
      <c r="G58" s="143">
        <v>0</v>
      </c>
      <c r="H58" s="143">
        <v>20</v>
      </c>
      <c r="I58" s="143">
        <v>1</v>
      </c>
      <c r="J58" s="143">
        <v>0</v>
      </c>
      <c r="K58" s="143">
        <v>0</v>
      </c>
      <c r="L58" s="143">
        <v>0</v>
      </c>
      <c r="M58" s="145">
        <f t="shared" si="11"/>
        <v>1000</v>
      </c>
      <c r="N58" s="145">
        <f t="shared" si="10"/>
        <v>500</v>
      </c>
      <c r="O58" s="145" t="e">
        <f t="shared" si="10"/>
        <v>#DIV/0!</v>
      </c>
      <c r="P58" s="145" t="e">
        <f t="shared" si="10"/>
        <v>#DIV/0!</v>
      </c>
      <c r="Q58" s="145" t="e">
        <f t="shared" si="10"/>
        <v>#DIV/0!</v>
      </c>
      <c r="R58" s="224"/>
      <c r="S58" s="224"/>
      <c r="T58" s="224"/>
      <c r="U58" s="224"/>
      <c r="V58" s="224"/>
      <c r="W58" s="224"/>
      <c r="X58" s="224"/>
      <c r="Y58" s="224"/>
      <c r="Z58" s="224"/>
      <c r="AA58" s="224"/>
      <c r="AB58" s="224"/>
      <c r="AC58" s="224"/>
      <c r="AD58" s="224"/>
      <c r="AE58" s="224"/>
      <c r="AF58" s="224"/>
      <c r="AG58" s="224"/>
      <c r="AH58" s="224"/>
      <c r="AI58" s="224"/>
      <c r="AJ58" s="224"/>
      <c r="AK58" s="224"/>
      <c r="AL58" s="224"/>
      <c r="AM58" s="224"/>
      <c r="AN58" s="224"/>
      <c r="AO58" s="224"/>
      <c r="AP58" s="224"/>
      <c r="AQ58" s="224"/>
      <c r="AR58" s="224"/>
      <c r="AS58" s="224"/>
      <c r="AT58" s="224"/>
      <c r="AU58" s="224"/>
      <c r="AV58" s="224"/>
      <c r="AW58" s="224"/>
      <c r="AX58" s="224"/>
      <c r="AY58" s="224"/>
      <c r="AZ58" s="224"/>
      <c r="BA58" s="224"/>
      <c r="BB58" s="224"/>
      <c r="BC58" s="224"/>
      <c r="BD58" s="224"/>
      <c r="BE58" s="224"/>
      <c r="BF58" s="224"/>
      <c r="BG58" s="224"/>
      <c r="BH58" s="224"/>
      <c r="BI58" s="224"/>
      <c r="BJ58" s="224"/>
      <c r="BK58" s="224"/>
      <c r="BL58" s="224"/>
      <c r="BM58" s="224"/>
      <c r="BN58" s="224"/>
      <c r="BO58" s="224"/>
      <c r="BP58" s="224"/>
      <c r="BQ58" s="224"/>
      <c r="BR58" s="224"/>
      <c r="BS58" s="224"/>
      <c r="BT58" s="224"/>
      <c r="BU58" s="224"/>
      <c r="BV58" s="224"/>
      <c r="BW58" s="224"/>
      <c r="BX58" s="224"/>
      <c r="BY58" s="224"/>
      <c r="BZ58" s="224"/>
      <c r="CA58" s="224"/>
      <c r="CB58" s="224"/>
      <c r="CC58" s="224"/>
      <c r="CD58" s="224"/>
      <c r="CE58" s="224"/>
      <c r="CF58" s="224"/>
      <c r="CG58" s="224"/>
      <c r="CH58" s="224"/>
      <c r="CI58" s="224"/>
      <c r="CJ58" s="224"/>
      <c r="CK58" s="224"/>
      <c r="CL58" s="224"/>
      <c r="CM58" s="224"/>
      <c r="CN58" s="224"/>
      <c r="CO58" s="224"/>
      <c r="CP58" s="224"/>
      <c r="CQ58" s="224"/>
      <c r="CR58" s="224"/>
      <c r="CS58" s="224"/>
      <c r="CT58" s="224"/>
      <c r="CU58" s="224"/>
      <c r="CV58" s="224"/>
      <c r="CW58" s="224"/>
      <c r="CX58" s="224"/>
      <c r="CY58" s="224"/>
      <c r="CZ58" s="224"/>
      <c r="DA58" s="224"/>
      <c r="DB58" s="224"/>
      <c r="DC58" s="224"/>
      <c r="DD58" s="224"/>
      <c r="DE58" s="224"/>
      <c r="DF58" s="224"/>
      <c r="DG58" s="224"/>
      <c r="DH58" s="224"/>
      <c r="DI58" s="224"/>
      <c r="DJ58" s="224"/>
      <c r="DK58" s="224"/>
      <c r="DL58" s="224"/>
      <c r="DM58" s="224"/>
      <c r="DN58" s="224"/>
      <c r="DO58" s="224"/>
      <c r="DP58" s="224"/>
      <c r="DQ58" s="224"/>
      <c r="DR58" s="224"/>
      <c r="DS58" s="224"/>
      <c r="DT58" s="224"/>
      <c r="DU58" s="224"/>
      <c r="DV58" s="224"/>
      <c r="DW58" s="224"/>
      <c r="DX58" s="224"/>
      <c r="DY58" s="224"/>
      <c r="DZ58" s="224"/>
      <c r="EA58" s="224"/>
      <c r="EB58" s="224"/>
      <c r="EC58" s="224"/>
      <c r="ED58" s="224"/>
      <c r="EE58" s="224"/>
      <c r="EF58" s="224"/>
      <c r="EG58" s="224"/>
      <c r="EH58" s="224"/>
      <c r="EI58" s="224"/>
      <c r="EJ58" s="224"/>
      <c r="EK58" s="224"/>
      <c r="EL58" s="224"/>
      <c r="EM58" s="224"/>
      <c r="EN58" s="224"/>
      <c r="EO58" s="224"/>
      <c r="EP58" s="224"/>
      <c r="EQ58" s="224"/>
      <c r="ER58" s="224"/>
      <c r="ES58" s="224"/>
      <c r="ET58" s="224"/>
      <c r="EU58" s="224"/>
      <c r="EV58" s="224"/>
      <c r="EW58" s="224"/>
      <c r="EX58" s="224"/>
      <c r="EY58" s="224"/>
      <c r="EZ58" s="224"/>
      <c r="FA58" s="224"/>
      <c r="FB58" s="224"/>
      <c r="FC58" s="224"/>
      <c r="FD58" s="224"/>
      <c r="FE58" s="224"/>
      <c r="FF58" s="224"/>
      <c r="FG58" s="224"/>
      <c r="FH58" s="224"/>
      <c r="FI58" s="224"/>
      <c r="FJ58" s="224"/>
      <c r="FK58" s="224"/>
      <c r="FL58" s="224"/>
      <c r="FM58" s="224"/>
      <c r="FN58" s="224"/>
      <c r="FO58" s="224"/>
      <c r="FP58" s="224"/>
      <c r="FQ58" s="224"/>
      <c r="FR58" s="224"/>
      <c r="FS58" s="224"/>
      <c r="FT58" s="224"/>
      <c r="FU58" s="224"/>
      <c r="FV58" s="224"/>
      <c r="FW58" s="224"/>
      <c r="FX58" s="224"/>
      <c r="FY58" s="224"/>
      <c r="FZ58" s="224"/>
      <c r="GA58" s="224"/>
      <c r="GB58" s="224"/>
      <c r="GC58" s="224"/>
      <c r="GD58" s="224"/>
      <c r="GE58" s="224"/>
      <c r="GF58" s="224"/>
      <c r="GG58" s="224"/>
      <c r="GH58" s="224"/>
      <c r="GI58" s="224"/>
      <c r="GJ58" s="224"/>
      <c r="GK58" s="224"/>
      <c r="GL58" s="224"/>
      <c r="GM58" s="224"/>
      <c r="GN58" s="224"/>
      <c r="GO58" s="224"/>
      <c r="GP58" s="224"/>
      <c r="GQ58" s="224"/>
      <c r="GR58" s="224"/>
      <c r="GS58" s="224"/>
      <c r="GT58" s="224"/>
      <c r="GU58" s="224"/>
      <c r="GV58" s="224"/>
      <c r="GW58" s="224"/>
      <c r="GX58" s="224"/>
      <c r="GY58" s="224"/>
      <c r="GZ58" s="224"/>
      <c r="HA58" s="224"/>
      <c r="HB58" s="224"/>
      <c r="HC58" s="224"/>
      <c r="HD58" s="224"/>
      <c r="HE58" s="224"/>
      <c r="HF58" s="224"/>
      <c r="HG58" s="224"/>
      <c r="HH58" s="224"/>
      <c r="HI58" s="224"/>
      <c r="HJ58" s="224"/>
      <c r="HK58" s="224"/>
      <c r="HL58" s="224"/>
      <c r="HM58" s="224"/>
      <c r="HN58" s="224"/>
      <c r="HO58" s="224"/>
      <c r="HP58" s="224"/>
      <c r="HQ58" s="224"/>
      <c r="HR58" s="224"/>
      <c r="HS58" s="224"/>
      <c r="HT58" s="224"/>
      <c r="HU58" s="224"/>
      <c r="HV58" s="224"/>
      <c r="HW58" s="224"/>
      <c r="HX58" s="224"/>
      <c r="HY58" s="224"/>
      <c r="HZ58" s="224"/>
      <c r="IA58" s="224"/>
      <c r="IB58" s="224"/>
      <c r="IC58" s="224"/>
      <c r="ID58" s="224"/>
      <c r="IE58" s="224"/>
      <c r="IF58" s="224"/>
      <c r="IG58" s="224"/>
      <c r="IH58" s="224"/>
      <c r="II58" s="224"/>
      <c r="IJ58" s="224"/>
    </row>
    <row r="59" spans="1:244" s="66" customFormat="1" ht="23.25" customHeight="1" x14ac:dyDescent="0.2">
      <c r="A59" s="397"/>
      <c r="B59" s="146" t="s">
        <v>10</v>
      </c>
      <c r="C59" s="147">
        <f>SUM(C55:C58)</f>
        <v>34</v>
      </c>
      <c r="D59" s="147">
        <f t="shared" ref="D59:L59" si="16">SUM(D55:D58)</f>
        <v>16</v>
      </c>
      <c r="E59" s="147">
        <f t="shared" si="16"/>
        <v>2</v>
      </c>
      <c r="F59" s="147">
        <f t="shared" si="16"/>
        <v>0</v>
      </c>
      <c r="G59" s="147">
        <f t="shared" si="16"/>
        <v>2</v>
      </c>
      <c r="H59" s="147">
        <f t="shared" si="16"/>
        <v>26</v>
      </c>
      <c r="I59" s="147">
        <f t="shared" si="16"/>
        <v>7</v>
      </c>
      <c r="J59" s="147">
        <f t="shared" si="16"/>
        <v>1</v>
      </c>
      <c r="K59" s="147">
        <f t="shared" si="16"/>
        <v>0</v>
      </c>
      <c r="L59" s="147">
        <f t="shared" si="16"/>
        <v>0.26600000000000001</v>
      </c>
      <c r="M59" s="289">
        <f t="shared" si="11"/>
        <v>764.7058823529411</v>
      </c>
      <c r="N59" s="289">
        <f t="shared" si="10"/>
        <v>437.5</v>
      </c>
      <c r="O59" s="289">
        <f t="shared" si="10"/>
        <v>500</v>
      </c>
      <c r="P59" s="289" t="e">
        <f t="shared" si="10"/>
        <v>#DIV/0!</v>
      </c>
      <c r="Q59" s="289">
        <f t="shared" si="10"/>
        <v>133</v>
      </c>
    </row>
    <row r="60" spans="1:244" ht="23.25" hidden="1" customHeight="1" x14ac:dyDescent="0.2">
      <c r="B60" s="216" t="s">
        <v>119</v>
      </c>
      <c r="C60" s="160">
        <v>0</v>
      </c>
      <c r="D60" s="143"/>
      <c r="E60" s="143"/>
      <c r="F60" s="143"/>
      <c r="G60" s="279"/>
      <c r="H60" s="160">
        <v>0</v>
      </c>
      <c r="I60" s="144"/>
      <c r="J60" s="144"/>
      <c r="K60" s="144"/>
      <c r="L60" s="280"/>
      <c r="M60" s="145" t="e">
        <f t="shared" si="11"/>
        <v>#DIV/0!</v>
      </c>
      <c r="N60" s="145" t="e">
        <f t="shared" si="10"/>
        <v>#DIV/0!</v>
      </c>
      <c r="O60" s="145" t="e">
        <f t="shared" si="10"/>
        <v>#DIV/0!</v>
      </c>
      <c r="P60" s="145" t="e">
        <f t="shared" si="10"/>
        <v>#DIV/0!</v>
      </c>
      <c r="Q60" s="145" t="e">
        <f t="shared" si="10"/>
        <v>#DIV/0!</v>
      </c>
    </row>
    <row r="61" spans="1:244" ht="23.25" hidden="1" customHeight="1" x14ac:dyDescent="0.2">
      <c r="A61" s="297"/>
      <c r="B61" s="142" t="s">
        <v>125</v>
      </c>
      <c r="C61" s="160">
        <v>0</v>
      </c>
      <c r="D61" s="143"/>
      <c r="E61" s="143"/>
      <c r="F61" s="143"/>
      <c r="G61" s="279"/>
      <c r="H61" s="160">
        <v>0</v>
      </c>
      <c r="I61" s="144"/>
      <c r="J61" s="144"/>
      <c r="K61" s="144"/>
      <c r="L61" s="280"/>
      <c r="M61" s="145" t="e">
        <f t="shared" si="11"/>
        <v>#DIV/0!</v>
      </c>
      <c r="N61" s="145" t="e">
        <f t="shared" si="11"/>
        <v>#DIV/0!</v>
      </c>
      <c r="O61" s="145" t="e">
        <f t="shared" si="11"/>
        <v>#DIV/0!</v>
      </c>
      <c r="P61" s="145" t="e">
        <f t="shared" si="11"/>
        <v>#DIV/0!</v>
      </c>
      <c r="Q61" s="145" t="e">
        <f t="shared" si="11"/>
        <v>#DIV/0!</v>
      </c>
    </row>
    <row r="62" spans="1:244" ht="23.25" hidden="1" customHeight="1" x14ac:dyDescent="0.2">
      <c r="A62" s="297"/>
      <c r="B62" s="142" t="s">
        <v>131</v>
      </c>
      <c r="C62" s="160">
        <v>0</v>
      </c>
      <c r="D62" s="143"/>
      <c r="E62" s="143"/>
      <c r="F62" s="143"/>
      <c r="G62" s="279"/>
      <c r="H62" s="160">
        <v>0</v>
      </c>
      <c r="I62" s="144"/>
      <c r="J62" s="144"/>
      <c r="K62" s="144"/>
      <c r="L62" s="280"/>
      <c r="M62" s="145" t="e">
        <f t="shared" si="11"/>
        <v>#DIV/0!</v>
      </c>
      <c r="N62" s="145" t="e">
        <f t="shared" si="11"/>
        <v>#DIV/0!</v>
      </c>
      <c r="O62" s="145" t="e">
        <f t="shared" si="11"/>
        <v>#DIV/0!</v>
      </c>
      <c r="P62" s="145" t="e">
        <f t="shared" si="11"/>
        <v>#DIV/0!</v>
      </c>
      <c r="Q62" s="145" t="e">
        <f t="shared" si="11"/>
        <v>#DIV/0!</v>
      </c>
    </row>
    <row r="63" spans="1:244" ht="23.25" customHeight="1" x14ac:dyDescent="0.2">
      <c r="A63" s="298" t="s">
        <v>7</v>
      </c>
      <c r="B63" s="142" t="s">
        <v>120</v>
      </c>
      <c r="C63" s="163">
        <v>87.1</v>
      </c>
      <c r="D63" s="143">
        <v>81</v>
      </c>
      <c r="E63" s="143">
        <v>87.3</v>
      </c>
      <c r="F63" s="143">
        <v>88.53</v>
      </c>
      <c r="G63" s="143">
        <v>123.27</v>
      </c>
      <c r="H63" s="143">
        <v>40</v>
      </c>
      <c r="I63" s="143">
        <v>54</v>
      </c>
      <c r="J63" s="143">
        <v>41.2</v>
      </c>
      <c r="K63" s="143">
        <v>38.65</v>
      </c>
      <c r="L63" s="143">
        <v>89.91</v>
      </c>
      <c r="M63" s="145">
        <f t="shared" si="11"/>
        <v>459.24225028702642</v>
      </c>
      <c r="N63" s="145">
        <f t="shared" si="11"/>
        <v>666.66666666666663</v>
      </c>
      <c r="O63" s="145">
        <f t="shared" si="11"/>
        <v>471.93585337915238</v>
      </c>
      <c r="P63" s="145">
        <f t="shared" si="11"/>
        <v>436.57517225799165</v>
      </c>
      <c r="Q63" s="145">
        <f t="shared" si="11"/>
        <v>729.37454368459476</v>
      </c>
    </row>
    <row r="64" spans="1:244" s="66" customFormat="1" ht="23.25" customHeight="1" x14ac:dyDescent="0.2">
      <c r="A64" s="299"/>
      <c r="B64" s="146" t="s">
        <v>10</v>
      </c>
      <c r="C64" s="147">
        <f>SUM(C60:C63)</f>
        <v>87.1</v>
      </c>
      <c r="D64" s="147">
        <f t="shared" ref="D64:L64" si="17">SUM(D60:D63)</f>
        <v>81</v>
      </c>
      <c r="E64" s="147">
        <f t="shared" si="17"/>
        <v>87.3</v>
      </c>
      <c r="F64" s="147">
        <f>SUM(F60:F63)</f>
        <v>88.53</v>
      </c>
      <c r="G64" s="147">
        <f t="shared" si="17"/>
        <v>123.27</v>
      </c>
      <c r="H64" s="147">
        <f t="shared" si="17"/>
        <v>40</v>
      </c>
      <c r="I64" s="147">
        <f t="shared" si="17"/>
        <v>54</v>
      </c>
      <c r="J64" s="147">
        <f t="shared" si="17"/>
        <v>41.2</v>
      </c>
      <c r="K64" s="147">
        <f t="shared" si="17"/>
        <v>38.65</v>
      </c>
      <c r="L64" s="147">
        <f t="shared" si="17"/>
        <v>89.91</v>
      </c>
      <c r="M64" s="289">
        <f t="shared" si="11"/>
        <v>459.24225028702642</v>
      </c>
      <c r="N64" s="289">
        <f t="shared" si="11"/>
        <v>666.66666666666663</v>
      </c>
      <c r="O64" s="289">
        <f t="shared" si="11"/>
        <v>471.93585337915238</v>
      </c>
      <c r="P64" s="289">
        <f t="shared" si="11"/>
        <v>436.57517225799165</v>
      </c>
      <c r="Q64" s="289">
        <f t="shared" si="11"/>
        <v>729.37454368459476</v>
      </c>
    </row>
    <row r="65" spans="1:17" ht="23.25" hidden="1" customHeight="1" x14ac:dyDescent="0.2">
      <c r="B65" s="142" t="s">
        <v>132</v>
      </c>
      <c r="C65" s="161">
        <v>0</v>
      </c>
      <c r="D65" s="143"/>
      <c r="E65" s="143"/>
      <c r="F65" s="143"/>
      <c r="G65" s="279"/>
      <c r="H65" s="161">
        <v>0</v>
      </c>
      <c r="I65" s="144"/>
      <c r="J65" s="144"/>
      <c r="K65" s="144"/>
      <c r="L65" s="280"/>
      <c r="M65" s="145" t="e">
        <f t="shared" si="11"/>
        <v>#DIV/0!</v>
      </c>
      <c r="N65" s="145" t="e">
        <f t="shared" si="11"/>
        <v>#DIV/0!</v>
      </c>
      <c r="O65" s="145" t="e">
        <f t="shared" si="11"/>
        <v>#DIV/0!</v>
      </c>
      <c r="P65" s="145" t="e">
        <f t="shared" si="11"/>
        <v>#DIV/0!</v>
      </c>
      <c r="Q65" s="145" t="e">
        <f t="shared" si="11"/>
        <v>#DIV/0!</v>
      </c>
    </row>
    <row r="66" spans="1:17" ht="23.25" hidden="1" customHeight="1" x14ac:dyDescent="0.2">
      <c r="A66" s="300"/>
      <c r="B66" s="142" t="s">
        <v>133</v>
      </c>
      <c r="C66" s="161">
        <v>0</v>
      </c>
      <c r="D66" s="143"/>
      <c r="E66" s="143"/>
      <c r="F66" s="143"/>
      <c r="G66" s="279"/>
      <c r="H66" s="161">
        <v>0</v>
      </c>
      <c r="I66" s="144"/>
      <c r="J66" s="144"/>
      <c r="K66" s="144"/>
      <c r="L66" s="280"/>
      <c r="M66" s="145" t="e">
        <f t="shared" si="11"/>
        <v>#DIV/0!</v>
      </c>
      <c r="N66" s="145" t="e">
        <f t="shared" si="11"/>
        <v>#DIV/0!</v>
      </c>
      <c r="O66" s="145" t="e">
        <f t="shared" si="11"/>
        <v>#DIV/0!</v>
      </c>
      <c r="P66" s="145" t="e">
        <f t="shared" si="11"/>
        <v>#DIV/0!</v>
      </c>
      <c r="Q66" s="145" t="e">
        <f t="shared" si="11"/>
        <v>#DIV/0!</v>
      </c>
    </row>
    <row r="67" spans="1:17" ht="23.25" customHeight="1" x14ac:dyDescent="0.2">
      <c r="A67" s="300" t="s">
        <v>29</v>
      </c>
      <c r="B67" s="142" t="s">
        <v>120</v>
      </c>
      <c r="C67" s="163">
        <v>2.5299999999999998</v>
      </c>
      <c r="D67" s="143">
        <v>2.4900000000000002</v>
      </c>
      <c r="E67" s="143">
        <v>0</v>
      </c>
      <c r="F67" s="143">
        <v>2.2869999999999999</v>
      </c>
      <c r="G67" s="143">
        <v>2.4219999999999997</v>
      </c>
      <c r="H67" s="143">
        <v>2.86</v>
      </c>
      <c r="I67" s="143">
        <v>2.79</v>
      </c>
      <c r="J67" s="143">
        <v>0</v>
      </c>
      <c r="K67" s="143">
        <v>2.04</v>
      </c>
      <c r="L67" s="143">
        <v>2.5499999999999998</v>
      </c>
      <c r="M67" s="145">
        <f t="shared" si="11"/>
        <v>1130.4347826086957</v>
      </c>
      <c r="N67" s="145">
        <f t="shared" si="11"/>
        <v>1120.4819277108434</v>
      </c>
      <c r="O67" s="145" t="e">
        <f t="shared" si="11"/>
        <v>#DIV/0!</v>
      </c>
      <c r="P67" s="145">
        <f t="shared" si="11"/>
        <v>891.99825098382166</v>
      </c>
      <c r="Q67" s="145">
        <f t="shared" si="11"/>
        <v>1052.8488852188275</v>
      </c>
    </row>
    <row r="68" spans="1:17" s="66" customFormat="1" ht="23.25" hidden="1" customHeight="1" x14ac:dyDescent="0.2">
      <c r="A68" s="300"/>
      <c r="B68" s="146" t="s">
        <v>10</v>
      </c>
      <c r="C68" s="147">
        <f>SUM(C65:C67)</f>
        <v>2.5299999999999998</v>
      </c>
      <c r="D68" s="147">
        <f t="shared" ref="D68:L68" si="18">SUM(D65:D67)</f>
        <v>2.4900000000000002</v>
      </c>
      <c r="E68" s="147">
        <f t="shared" si="18"/>
        <v>0</v>
      </c>
      <c r="F68" s="147">
        <f t="shared" si="18"/>
        <v>2.2869999999999999</v>
      </c>
      <c r="G68" s="147">
        <f t="shared" si="18"/>
        <v>2.4219999999999997</v>
      </c>
      <c r="H68" s="147">
        <f t="shared" si="18"/>
        <v>2.86</v>
      </c>
      <c r="I68" s="147">
        <f t="shared" si="18"/>
        <v>2.79</v>
      </c>
      <c r="J68" s="147">
        <f t="shared" si="18"/>
        <v>0</v>
      </c>
      <c r="K68" s="147">
        <f t="shared" si="18"/>
        <v>2.04</v>
      </c>
      <c r="L68" s="147">
        <f t="shared" si="18"/>
        <v>2.5499999999999998</v>
      </c>
      <c r="M68" s="145">
        <f t="shared" si="11"/>
        <v>1130.4347826086957</v>
      </c>
      <c r="N68" s="145">
        <f t="shared" si="11"/>
        <v>1120.4819277108434</v>
      </c>
      <c r="O68" s="145" t="e">
        <f t="shared" si="11"/>
        <v>#DIV/0!</v>
      </c>
      <c r="P68" s="145">
        <f t="shared" si="11"/>
        <v>891.99825098382166</v>
      </c>
      <c r="Q68" s="145">
        <f t="shared" si="11"/>
        <v>1052.8488852188275</v>
      </c>
    </row>
    <row r="69" spans="1:17" ht="23.25" hidden="1" customHeight="1" x14ac:dyDescent="0.2">
      <c r="A69" s="146" t="s">
        <v>134</v>
      </c>
      <c r="B69" s="146"/>
      <c r="C69" s="161">
        <v>0</v>
      </c>
      <c r="D69" s="148"/>
      <c r="E69" s="148"/>
      <c r="F69" s="148"/>
      <c r="G69" s="279"/>
      <c r="H69" s="161">
        <v>0</v>
      </c>
      <c r="I69" s="155"/>
      <c r="J69" s="155"/>
      <c r="K69" s="155"/>
      <c r="L69" s="280"/>
      <c r="M69" s="145" t="e">
        <f t="shared" si="11"/>
        <v>#DIV/0!</v>
      </c>
      <c r="N69" s="145" t="e">
        <f t="shared" si="11"/>
        <v>#DIV/0!</v>
      </c>
      <c r="O69" s="145" t="e">
        <f t="shared" si="11"/>
        <v>#DIV/0!</v>
      </c>
      <c r="P69" s="145" t="e">
        <f t="shared" si="11"/>
        <v>#DIV/0!</v>
      </c>
      <c r="Q69" s="145" t="e">
        <f t="shared" si="11"/>
        <v>#DIV/0!</v>
      </c>
    </row>
    <row r="70" spans="1:17" ht="23.25" customHeight="1" x14ac:dyDescent="0.2">
      <c r="A70" s="146" t="s">
        <v>135</v>
      </c>
      <c r="B70" s="146" t="s">
        <v>10</v>
      </c>
      <c r="C70" s="163">
        <f>1.096+0.236+0.548</f>
        <v>1.8800000000000001</v>
      </c>
      <c r="D70" s="143">
        <v>1.9024999999999999</v>
      </c>
      <c r="E70" s="143">
        <f>0.523+1.053+0.182+0.011</f>
        <v>1.7689999999999999</v>
      </c>
      <c r="F70" s="143">
        <v>1.7949999999999999</v>
      </c>
      <c r="G70" s="143">
        <f>0.52+1.06+0.23+0.011</f>
        <v>1.821</v>
      </c>
      <c r="H70" s="143">
        <f>1.233+0.508+0.636</f>
        <v>2.3770000000000002</v>
      </c>
      <c r="I70" s="143">
        <v>3.0321999999999996</v>
      </c>
      <c r="J70" s="143">
        <f>2.118+0.607+0.355+0.012</f>
        <v>3.0919999999999996</v>
      </c>
      <c r="K70" s="143">
        <v>2.4950000000000001</v>
      </c>
      <c r="L70" s="143">
        <f>0.605+1.43+0.506+0.015</f>
        <v>2.5560000000000005</v>
      </c>
      <c r="M70" s="145">
        <f t="shared" si="11"/>
        <v>1264.3617021276596</v>
      </c>
      <c r="N70" s="145">
        <f t="shared" si="11"/>
        <v>1593.7976346911958</v>
      </c>
      <c r="O70" s="145">
        <f t="shared" si="11"/>
        <v>1747.8801582815149</v>
      </c>
      <c r="P70" s="145">
        <f t="shared" si="11"/>
        <v>1389.9721448467967</v>
      </c>
      <c r="Q70" s="145">
        <f t="shared" si="11"/>
        <v>1403.6243822075785</v>
      </c>
    </row>
    <row r="71" spans="1:17" ht="23.25" customHeight="1" x14ac:dyDescent="0.2">
      <c r="A71" s="397" t="s">
        <v>95</v>
      </c>
      <c r="B71" s="142" t="s">
        <v>120</v>
      </c>
      <c r="C71" s="163">
        <f>4.9+0.53+2.35+5.87+0.5</f>
        <v>14.150000000000002</v>
      </c>
      <c r="D71" s="143">
        <f>4.92+0.54+2.33+6.02+0.52</f>
        <v>14.329999999999998</v>
      </c>
      <c r="E71" s="143">
        <v>11.67</v>
      </c>
      <c r="F71" s="143">
        <v>14.7</v>
      </c>
      <c r="G71" s="143">
        <f>4.97+0.57+2.29+6.4+0.54</f>
        <v>14.77</v>
      </c>
      <c r="H71" s="164">
        <v>15.223000000000001</v>
      </c>
      <c r="I71" s="144">
        <f>5.65+0.79+3.19+7.7+0.57</f>
        <v>17.900000000000002</v>
      </c>
      <c r="J71" s="144">
        <v>17.55</v>
      </c>
      <c r="K71" s="144">
        <v>18.379999999999995</v>
      </c>
      <c r="L71" s="144">
        <f>5.73+0.85+3.12+8.21+0.58</f>
        <v>18.489999999999998</v>
      </c>
      <c r="M71" s="145">
        <f t="shared" si="11"/>
        <v>1075.8303886925794</v>
      </c>
      <c r="N71" s="145">
        <f t="shared" si="11"/>
        <v>1249.1277041172368</v>
      </c>
      <c r="O71" s="145">
        <f t="shared" si="11"/>
        <v>1503.8560411311055</v>
      </c>
      <c r="P71" s="145">
        <f t="shared" si="11"/>
        <v>1250.3401360544215</v>
      </c>
      <c r="Q71" s="145">
        <f t="shared" si="11"/>
        <v>1251.8618821936357</v>
      </c>
    </row>
    <row r="72" spans="1:17" s="66" customFormat="1" ht="23.25" customHeight="1" x14ac:dyDescent="0.2">
      <c r="A72" s="397"/>
      <c r="B72" s="146" t="s">
        <v>10</v>
      </c>
      <c r="C72" s="156">
        <f>SUM(C71:C71)</f>
        <v>14.150000000000002</v>
      </c>
      <c r="D72" s="156">
        <f t="shared" ref="D72:L72" si="19">SUM(D71:D71)</f>
        <v>14.329999999999998</v>
      </c>
      <c r="E72" s="156">
        <f t="shared" si="19"/>
        <v>11.67</v>
      </c>
      <c r="F72" s="156">
        <f t="shared" si="19"/>
        <v>14.7</v>
      </c>
      <c r="G72" s="156">
        <f t="shared" si="19"/>
        <v>14.77</v>
      </c>
      <c r="H72" s="156">
        <f>H70+H71</f>
        <v>17.600000000000001</v>
      </c>
      <c r="I72" s="156">
        <f t="shared" si="19"/>
        <v>17.900000000000002</v>
      </c>
      <c r="J72" s="156">
        <f t="shared" si="19"/>
        <v>17.55</v>
      </c>
      <c r="K72" s="156">
        <f t="shared" si="19"/>
        <v>18.379999999999995</v>
      </c>
      <c r="L72" s="156">
        <f t="shared" si="19"/>
        <v>18.489999999999998</v>
      </c>
      <c r="M72" s="289">
        <f t="shared" si="11"/>
        <v>1243.8162544169611</v>
      </c>
      <c r="N72" s="289">
        <f t="shared" si="11"/>
        <v>1249.1277041172368</v>
      </c>
      <c r="O72" s="289">
        <f t="shared" si="11"/>
        <v>1503.8560411311055</v>
      </c>
      <c r="P72" s="289">
        <f t="shared" si="11"/>
        <v>1250.3401360544215</v>
      </c>
      <c r="Q72" s="289">
        <f t="shared" si="11"/>
        <v>1251.8618821936357</v>
      </c>
    </row>
    <row r="73" spans="1:17" ht="23.25" customHeight="1" x14ac:dyDescent="0.2">
      <c r="A73" s="397" t="s">
        <v>107</v>
      </c>
      <c r="B73" s="216" t="s">
        <v>119</v>
      </c>
      <c r="C73" s="160">
        <v>34.049999999999997</v>
      </c>
      <c r="D73" s="143">
        <v>25.84</v>
      </c>
      <c r="E73" s="143">
        <v>23.57</v>
      </c>
      <c r="F73" s="143">
        <v>22.72</v>
      </c>
      <c r="G73" s="143">
        <v>26.32</v>
      </c>
      <c r="H73" s="143">
        <v>14.83</v>
      </c>
      <c r="I73" s="143">
        <v>10.64</v>
      </c>
      <c r="J73" s="143">
        <v>8.68</v>
      </c>
      <c r="K73" s="143">
        <v>9</v>
      </c>
      <c r="L73" s="143">
        <v>10.49</v>
      </c>
      <c r="M73" s="143">
        <f t="shared" si="11"/>
        <v>435.53597650513956</v>
      </c>
      <c r="N73" s="145">
        <f t="shared" si="11"/>
        <v>411.76470588235298</v>
      </c>
      <c r="O73" s="145">
        <f t="shared" si="11"/>
        <v>368.26474331777683</v>
      </c>
      <c r="P73" s="145">
        <f t="shared" si="11"/>
        <v>396.12676056338029</v>
      </c>
      <c r="Q73" s="145">
        <f t="shared" si="11"/>
        <v>398.5562310030395</v>
      </c>
    </row>
    <row r="74" spans="1:17" ht="23.25" customHeight="1" x14ac:dyDescent="0.2">
      <c r="A74" s="397"/>
      <c r="B74" s="142" t="s">
        <v>136</v>
      </c>
      <c r="C74" s="160">
        <f>31.07+62.79</f>
        <v>93.86</v>
      </c>
      <c r="D74" s="143">
        <f>39.77+65.97</f>
        <v>105.74000000000001</v>
      </c>
      <c r="E74" s="143">
        <f>40.09+67.25</f>
        <v>107.34</v>
      </c>
      <c r="F74" s="143">
        <v>154.54999999999998</v>
      </c>
      <c r="G74" s="143">
        <f>45.61+79.83</f>
        <v>125.44</v>
      </c>
      <c r="H74" s="143">
        <f>22.74+27.13</f>
        <v>49.87</v>
      </c>
      <c r="I74" s="143">
        <f>29.31+28.96</f>
        <v>58.269999999999996</v>
      </c>
      <c r="J74" s="143">
        <f>29.87+29.93</f>
        <v>59.8</v>
      </c>
      <c r="K74" s="143">
        <v>91.669999999999987</v>
      </c>
      <c r="L74" s="143">
        <f>33.93+35.6</f>
        <v>69.53</v>
      </c>
      <c r="M74" s="145">
        <f t="shared" si="11"/>
        <v>531.32324738972932</v>
      </c>
      <c r="N74" s="145">
        <f t="shared" si="11"/>
        <v>551.06865897484397</v>
      </c>
      <c r="O74" s="145">
        <f t="shared" si="11"/>
        <v>557.10825414570525</v>
      </c>
      <c r="P74" s="145">
        <f t="shared" si="11"/>
        <v>593.141378194759</v>
      </c>
      <c r="Q74" s="145">
        <f t="shared" si="11"/>
        <v>554.28890306122446</v>
      </c>
    </row>
    <row r="75" spans="1:17" s="66" customFormat="1" ht="23.25" customHeight="1" x14ac:dyDescent="0.2">
      <c r="A75" s="397"/>
      <c r="B75" s="146" t="s">
        <v>49</v>
      </c>
      <c r="C75" s="148">
        <f>SUM(C73:C74)</f>
        <v>127.91</v>
      </c>
      <c r="D75" s="148">
        <f t="shared" ref="D75:L75" si="20">SUM(D73:D74)</f>
        <v>131.58000000000001</v>
      </c>
      <c r="E75" s="148">
        <f t="shared" si="20"/>
        <v>130.91</v>
      </c>
      <c r="F75" s="148">
        <f t="shared" si="20"/>
        <v>177.26999999999998</v>
      </c>
      <c r="G75" s="148">
        <f t="shared" si="20"/>
        <v>151.76</v>
      </c>
      <c r="H75" s="148">
        <f t="shared" si="20"/>
        <v>64.7</v>
      </c>
      <c r="I75" s="148">
        <f t="shared" si="20"/>
        <v>68.91</v>
      </c>
      <c r="J75" s="148">
        <f t="shared" si="20"/>
        <v>68.47999999999999</v>
      </c>
      <c r="K75" s="148">
        <f t="shared" si="20"/>
        <v>100.66999999999999</v>
      </c>
      <c r="L75" s="148">
        <f t="shared" si="20"/>
        <v>80.02</v>
      </c>
      <c r="M75" s="289">
        <f t="shared" si="11"/>
        <v>505.82440778672509</v>
      </c>
      <c r="N75" s="289">
        <f t="shared" si="11"/>
        <v>523.71181030551747</v>
      </c>
      <c r="O75" s="289">
        <f t="shared" si="11"/>
        <v>523.10747842028866</v>
      </c>
      <c r="P75" s="289">
        <f t="shared" si="11"/>
        <v>567.89078806340615</v>
      </c>
      <c r="Q75" s="289">
        <f t="shared" si="11"/>
        <v>527.27991565629941</v>
      </c>
    </row>
    <row r="76" spans="1:17" ht="23.25" hidden="1" customHeight="1" x14ac:dyDescent="0.2">
      <c r="A76" s="400" t="s">
        <v>21</v>
      </c>
      <c r="B76" s="151" t="s">
        <v>137</v>
      </c>
      <c r="C76" s="165">
        <v>0</v>
      </c>
      <c r="D76" s="165">
        <v>0</v>
      </c>
      <c r="E76" s="166"/>
      <c r="F76" s="166"/>
      <c r="G76" s="166"/>
      <c r="H76" s="165">
        <v>0</v>
      </c>
      <c r="I76" s="165">
        <v>0</v>
      </c>
      <c r="J76" s="167"/>
      <c r="K76" s="167"/>
      <c r="L76" s="167"/>
      <c r="M76" s="152" t="e">
        <f t="shared" ref="M76:Q77" si="21">H76/C76*1000</f>
        <v>#DIV/0!</v>
      </c>
      <c r="N76" s="152" t="e">
        <f t="shared" si="21"/>
        <v>#DIV/0!</v>
      </c>
      <c r="O76" s="152" t="e">
        <f t="shared" si="21"/>
        <v>#DIV/0!</v>
      </c>
      <c r="P76" s="152" t="e">
        <f t="shared" si="21"/>
        <v>#DIV/0!</v>
      </c>
      <c r="Q76" s="152" t="e">
        <f t="shared" si="21"/>
        <v>#DIV/0!</v>
      </c>
    </row>
    <row r="77" spans="1:17" s="66" customFormat="1" ht="23.25" hidden="1" customHeight="1" x14ac:dyDescent="0.2">
      <c r="A77" s="401"/>
      <c r="B77" s="142" t="s">
        <v>10</v>
      </c>
      <c r="C77" s="161">
        <f t="shared" ref="C77:J77" si="22">SUM(C76:C76)</f>
        <v>0</v>
      </c>
      <c r="D77" s="161">
        <f t="shared" si="22"/>
        <v>0</v>
      </c>
      <c r="E77" s="161">
        <f t="shared" si="22"/>
        <v>0</v>
      </c>
      <c r="F77" s="161"/>
      <c r="G77" s="161"/>
      <c r="H77" s="162">
        <f t="shared" si="22"/>
        <v>0</v>
      </c>
      <c r="I77" s="161">
        <f t="shared" si="22"/>
        <v>0</v>
      </c>
      <c r="J77" s="161">
        <f t="shared" si="22"/>
        <v>0</v>
      </c>
      <c r="K77" s="161"/>
      <c r="L77" s="161"/>
      <c r="M77" s="145" t="e">
        <f t="shared" si="21"/>
        <v>#DIV/0!</v>
      </c>
      <c r="N77" s="145" t="e">
        <f t="shared" si="21"/>
        <v>#DIV/0!</v>
      </c>
      <c r="O77" s="152" t="e">
        <f t="shared" si="21"/>
        <v>#DIV/0!</v>
      </c>
      <c r="P77" s="152" t="e">
        <f t="shared" si="21"/>
        <v>#DIV/0!</v>
      </c>
      <c r="Q77" s="152" t="e">
        <f t="shared" si="21"/>
        <v>#DIV/0!</v>
      </c>
    </row>
    <row r="78" spans="1:17" ht="21" customHeight="1" x14ac:dyDescent="0.2">
      <c r="A78" s="154" t="s">
        <v>129</v>
      </c>
      <c r="B78" s="138"/>
      <c r="C78" s="149"/>
      <c r="D78" s="149"/>
      <c r="E78" s="149"/>
      <c r="F78" s="149"/>
      <c r="G78" s="149"/>
      <c r="H78" s="150"/>
      <c r="I78" s="150"/>
      <c r="J78" s="150"/>
      <c r="K78" s="150"/>
      <c r="L78" s="150"/>
      <c r="M78" s="153"/>
      <c r="N78" s="153"/>
      <c r="O78" s="153"/>
      <c r="P78" s="153"/>
      <c r="Q78" s="153"/>
    </row>
    <row r="79" spans="1:17" ht="21" customHeight="1" x14ac:dyDescent="0.2">
      <c r="A79" s="154"/>
      <c r="B79" s="138"/>
      <c r="C79" s="149"/>
      <c r="D79" s="149"/>
      <c r="E79" s="149"/>
      <c r="F79" s="149"/>
      <c r="G79" s="149"/>
      <c r="H79" s="150"/>
      <c r="I79" s="150"/>
      <c r="J79" s="150"/>
      <c r="K79" s="150"/>
      <c r="L79" s="150"/>
      <c r="M79" s="153"/>
      <c r="N79" s="153"/>
      <c r="O79" s="153"/>
      <c r="P79" s="153"/>
      <c r="Q79" s="153"/>
    </row>
    <row r="80" spans="1:17" ht="21" customHeight="1" x14ac:dyDescent="0.2">
      <c r="A80" s="154"/>
      <c r="B80" s="138"/>
      <c r="C80" s="149"/>
      <c r="D80" s="149"/>
      <c r="E80" s="149"/>
      <c r="F80" s="149"/>
      <c r="G80" s="149"/>
      <c r="H80" s="150"/>
      <c r="I80" s="150"/>
      <c r="J80" s="150"/>
      <c r="K80" s="150"/>
      <c r="L80" s="150"/>
      <c r="M80" s="153"/>
      <c r="N80" s="153"/>
      <c r="O80" s="153"/>
      <c r="P80" s="153"/>
      <c r="Q80" s="153"/>
    </row>
    <row r="81" spans="1:17" ht="21" customHeight="1" x14ac:dyDescent="0.2">
      <c r="A81" s="402" t="s">
        <v>1</v>
      </c>
      <c r="B81" s="408" t="s">
        <v>0</v>
      </c>
      <c r="C81" s="342" t="s">
        <v>174</v>
      </c>
      <c r="D81" s="342"/>
      <c r="E81" s="342"/>
      <c r="F81" s="342"/>
      <c r="G81" s="342"/>
      <c r="H81" s="342" t="s">
        <v>68</v>
      </c>
      <c r="I81" s="342"/>
      <c r="J81" s="342"/>
      <c r="K81" s="342"/>
      <c r="L81" s="342"/>
      <c r="M81" s="342" t="s">
        <v>89</v>
      </c>
      <c r="N81" s="342"/>
      <c r="O81" s="342"/>
      <c r="P81" s="342"/>
      <c r="Q81" s="342"/>
    </row>
    <row r="82" spans="1:17" ht="21" customHeight="1" x14ac:dyDescent="0.2">
      <c r="A82" s="402"/>
      <c r="B82" s="408"/>
      <c r="C82" s="290" t="s">
        <v>112</v>
      </c>
      <c r="D82" s="290" t="s">
        <v>164</v>
      </c>
      <c r="E82" s="290" t="s">
        <v>199</v>
      </c>
      <c r="F82" s="290" t="s">
        <v>200</v>
      </c>
      <c r="G82" s="273" t="s">
        <v>202</v>
      </c>
      <c r="H82" s="290" t="s">
        <v>112</v>
      </c>
      <c r="I82" s="290" t="s">
        <v>164</v>
      </c>
      <c r="J82" s="290" t="s">
        <v>199</v>
      </c>
      <c r="K82" s="290" t="s">
        <v>200</v>
      </c>
      <c r="L82" s="273" t="s">
        <v>202</v>
      </c>
      <c r="M82" s="290" t="s">
        <v>112</v>
      </c>
      <c r="N82" s="290" t="s">
        <v>164</v>
      </c>
      <c r="O82" s="290" t="s">
        <v>199</v>
      </c>
      <c r="P82" s="290" t="s">
        <v>200</v>
      </c>
      <c r="Q82" s="273" t="s">
        <v>202</v>
      </c>
    </row>
    <row r="83" spans="1:17" s="63" customFormat="1" ht="18" x14ac:dyDescent="0.2">
      <c r="A83" s="216">
        <v>1</v>
      </c>
      <c r="B83" s="176">
        <v>2</v>
      </c>
      <c r="C83" s="176">
        <v>3</v>
      </c>
      <c r="D83" s="176">
        <v>4</v>
      </c>
      <c r="E83" s="176">
        <v>5</v>
      </c>
      <c r="F83" s="176">
        <v>6</v>
      </c>
      <c r="G83" s="176">
        <v>7</v>
      </c>
      <c r="H83" s="176">
        <v>8</v>
      </c>
      <c r="I83" s="176">
        <v>9</v>
      </c>
      <c r="J83" s="176">
        <v>10</v>
      </c>
      <c r="K83" s="176">
        <v>11</v>
      </c>
      <c r="L83" s="176">
        <v>12</v>
      </c>
      <c r="M83" s="176">
        <v>13</v>
      </c>
      <c r="N83" s="176">
        <v>14</v>
      </c>
      <c r="O83" s="176">
        <v>15</v>
      </c>
      <c r="P83" s="176">
        <v>16</v>
      </c>
      <c r="Q83" s="176">
        <v>17</v>
      </c>
    </row>
    <row r="84" spans="1:17" ht="23.25" customHeight="1" x14ac:dyDescent="0.2">
      <c r="A84" s="397" t="s">
        <v>22</v>
      </c>
      <c r="B84" s="142" t="s">
        <v>125</v>
      </c>
      <c r="C84" s="160">
        <v>1387.69</v>
      </c>
      <c r="D84" s="143">
        <v>1043.4839999999999</v>
      </c>
      <c r="E84" s="143">
        <v>978.17600000000004</v>
      </c>
      <c r="F84" s="143">
        <v>953.77499999999998</v>
      </c>
      <c r="G84" s="143">
        <v>972.99400000000003</v>
      </c>
      <c r="H84" s="143">
        <v>434.74</v>
      </c>
      <c r="I84" s="143">
        <v>323.33800000000002</v>
      </c>
      <c r="J84" s="143">
        <v>222.584</v>
      </c>
      <c r="K84" s="143">
        <v>313.83</v>
      </c>
      <c r="L84" s="143">
        <v>324.26499999999999</v>
      </c>
      <c r="M84" s="145">
        <f>H84/C84*1000</f>
        <v>313.28322608075285</v>
      </c>
      <c r="N84" s="145">
        <f t="shared" ref="N84:Q99" si="23">I84/D84*1000</f>
        <v>309.86387908199839</v>
      </c>
      <c r="O84" s="145">
        <f t="shared" si="23"/>
        <v>227.55005234231876</v>
      </c>
      <c r="P84" s="145">
        <f t="shared" si="23"/>
        <v>329.03986789337108</v>
      </c>
      <c r="Q84" s="145">
        <f t="shared" si="23"/>
        <v>333.26515888073305</v>
      </c>
    </row>
    <row r="85" spans="1:17" ht="23.25" customHeight="1" x14ac:dyDescent="0.2">
      <c r="A85" s="397"/>
      <c r="B85" s="216" t="s">
        <v>139</v>
      </c>
      <c r="C85" s="160">
        <v>97.75</v>
      </c>
      <c r="D85" s="143">
        <v>94.971999999999994</v>
      </c>
      <c r="E85" s="143">
        <v>70.765000000000001</v>
      </c>
      <c r="F85" s="143">
        <v>50.06</v>
      </c>
      <c r="G85" s="143">
        <v>52.453000000000003</v>
      </c>
      <c r="H85" s="143">
        <v>68.335999999999999</v>
      </c>
      <c r="I85" s="143">
        <v>39.158999999999999</v>
      </c>
      <c r="J85" s="143">
        <v>38.96</v>
      </c>
      <c r="K85" s="143">
        <v>32.697000000000003</v>
      </c>
      <c r="L85" s="143">
        <v>34.435000000000002</v>
      </c>
      <c r="M85" s="145">
        <f t="shared" ref="M85:Q116" si="24">H85/C85*1000</f>
        <v>699.08951406649612</v>
      </c>
      <c r="N85" s="145">
        <f t="shared" si="23"/>
        <v>412.32152634460681</v>
      </c>
      <c r="O85" s="145">
        <f t="shared" si="23"/>
        <v>550.55465272380411</v>
      </c>
      <c r="P85" s="145">
        <f t="shared" si="23"/>
        <v>653.15621254494602</v>
      </c>
      <c r="Q85" s="145">
        <f t="shared" si="23"/>
        <v>656.49247898118313</v>
      </c>
    </row>
    <row r="86" spans="1:17" ht="23.25" customHeight="1" x14ac:dyDescent="0.2">
      <c r="A86" s="397"/>
      <c r="B86" s="216" t="s">
        <v>120</v>
      </c>
      <c r="C86" s="143">
        <v>9.1620000000000008</v>
      </c>
      <c r="D86" s="143">
        <v>0</v>
      </c>
      <c r="E86" s="143">
        <v>0</v>
      </c>
      <c r="F86" s="143">
        <v>0.99</v>
      </c>
      <c r="G86" s="143">
        <f>0.951</f>
        <v>0.95099999999999996</v>
      </c>
      <c r="H86" s="143">
        <v>3.5430000000000206</v>
      </c>
      <c r="I86" s="143">
        <v>0</v>
      </c>
      <c r="J86" s="143">
        <v>0</v>
      </c>
      <c r="K86" s="143">
        <v>0.59</v>
      </c>
      <c r="L86" s="143">
        <v>0.66200000000000003</v>
      </c>
      <c r="M86" s="145">
        <f t="shared" si="24"/>
        <v>386.70595939751365</v>
      </c>
      <c r="N86" s="145" t="e">
        <f t="shared" si="23"/>
        <v>#DIV/0!</v>
      </c>
      <c r="O86" s="145" t="e">
        <f t="shared" si="23"/>
        <v>#DIV/0!</v>
      </c>
      <c r="P86" s="145">
        <f t="shared" si="23"/>
        <v>595.95959595959596</v>
      </c>
      <c r="Q86" s="145">
        <f t="shared" si="23"/>
        <v>696.10935856992648</v>
      </c>
    </row>
    <row r="87" spans="1:17" s="66" customFormat="1" ht="23.25" customHeight="1" x14ac:dyDescent="0.2">
      <c r="A87" s="397"/>
      <c r="B87" s="146" t="s">
        <v>10</v>
      </c>
      <c r="C87" s="148">
        <f>SUM(C84:C86)</f>
        <v>1494.6020000000001</v>
      </c>
      <c r="D87" s="148">
        <f t="shared" ref="D87:L87" si="25">SUM(D84:D86)</f>
        <v>1138.4559999999999</v>
      </c>
      <c r="E87" s="148">
        <f t="shared" si="25"/>
        <v>1048.941</v>
      </c>
      <c r="F87" s="148">
        <f t="shared" si="25"/>
        <v>1004.825</v>
      </c>
      <c r="G87" s="148">
        <f>SUM(G84:G86)</f>
        <v>1026.3980000000001</v>
      </c>
      <c r="H87" s="148">
        <f>H84+H85+H86</f>
        <v>506.61900000000003</v>
      </c>
      <c r="I87" s="148">
        <f t="shared" si="25"/>
        <v>362.49700000000001</v>
      </c>
      <c r="J87" s="148">
        <f t="shared" si="25"/>
        <v>261.54399999999998</v>
      </c>
      <c r="K87" s="148">
        <f t="shared" si="25"/>
        <v>347.11699999999996</v>
      </c>
      <c r="L87" s="148">
        <f t="shared" si="25"/>
        <v>359.36199999999997</v>
      </c>
      <c r="M87" s="289">
        <f t="shared" si="24"/>
        <v>338.9658250156229</v>
      </c>
      <c r="N87" s="289">
        <f t="shared" si="23"/>
        <v>318.41107605388351</v>
      </c>
      <c r="O87" s="289">
        <f t="shared" si="23"/>
        <v>249.34100202013266</v>
      </c>
      <c r="P87" s="289">
        <f t="shared" si="23"/>
        <v>345.45020277162683</v>
      </c>
      <c r="Q87" s="289">
        <f t="shared" si="23"/>
        <v>350.11954427035118</v>
      </c>
    </row>
    <row r="88" spans="1:17" ht="23.25" customHeight="1" x14ac:dyDescent="0.2">
      <c r="A88" s="397" t="s">
        <v>43</v>
      </c>
      <c r="B88" s="142" t="s">
        <v>140</v>
      </c>
      <c r="C88" s="163">
        <v>2.7679999999999998</v>
      </c>
      <c r="D88" s="143">
        <v>2.657</v>
      </c>
      <c r="E88" s="143">
        <v>2.2829999999999999</v>
      </c>
      <c r="F88" s="143">
        <v>2.4500000000000002</v>
      </c>
      <c r="G88" s="143">
        <v>2.2839999999999998</v>
      </c>
      <c r="H88" s="143">
        <v>2.73</v>
      </c>
      <c r="I88" s="143">
        <v>2.605</v>
      </c>
      <c r="J88" s="143">
        <v>2.2610000000000001</v>
      </c>
      <c r="K88" s="143">
        <v>2.427</v>
      </c>
      <c r="L88" s="143">
        <v>2.2690000000000001</v>
      </c>
      <c r="M88" s="145">
        <f t="shared" si="24"/>
        <v>986.27167630057806</v>
      </c>
      <c r="N88" s="145">
        <f t="shared" si="23"/>
        <v>980.42905532555517</v>
      </c>
      <c r="O88" s="145">
        <f t="shared" si="23"/>
        <v>990.36355672360946</v>
      </c>
      <c r="P88" s="145">
        <f t="shared" si="23"/>
        <v>990.61224489795916</v>
      </c>
      <c r="Q88" s="145">
        <f t="shared" si="23"/>
        <v>993.43257443082325</v>
      </c>
    </row>
    <row r="89" spans="1:17" s="66" customFormat="1" ht="23.25" customHeight="1" x14ac:dyDescent="0.2">
      <c r="A89" s="397"/>
      <c r="B89" s="146" t="s">
        <v>10</v>
      </c>
      <c r="C89" s="148">
        <f>C88</f>
        <v>2.7679999999999998</v>
      </c>
      <c r="D89" s="148">
        <f t="shared" ref="D89:L89" si="26">D88</f>
        <v>2.657</v>
      </c>
      <c r="E89" s="148">
        <f t="shared" si="26"/>
        <v>2.2829999999999999</v>
      </c>
      <c r="F89" s="148">
        <f t="shared" si="26"/>
        <v>2.4500000000000002</v>
      </c>
      <c r="G89" s="148">
        <f t="shared" si="26"/>
        <v>2.2839999999999998</v>
      </c>
      <c r="H89" s="148">
        <f t="shared" si="26"/>
        <v>2.73</v>
      </c>
      <c r="I89" s="148">
        <f t="shared" si="26"/>
        <v>2.605</v>
      </c>
      <c r="J89" s="148">
        <f t="shared" si="26"/>
        <v>2.2610000000000001</v>
      </c>
      <c r="K89" s="148">
        <f t="shared" si="26"/>
        <v>2.427</v>
      </c>
      <c r="L89" s="148">
        <f t="shared" si="26"/>
        <v>2.2690000000000001</v>
      </c>
      <c r="M89" s="289">
        <f t="shared" si="24"/>
        <v>986.27167630057806</v>
      </c>
      <c r="N89" s="289">
        <f t="shared" si="23"/>
        <v>980.42905532555517</v>
      </c>
      <c r="O89" s="289">
        <f t="shared" si="23"/>
        <v>990.36355672360946</v>
      </c>
      <c r="P89" s="289">
        <f t="shared" si="23"/>
        <v>990.61224489795916</v>
      </c>
      <c r="Q89" s="289">
        <f t="shared" si="23"/>
        <v>993.43257443082325</v>
      </c>
    </row>
    <row r="90" spans="1:17" ht="23.25" customHeight="1" x14ac:dyDescent="0.2">
      <c r="A90" s="397" t="s">
        <v>11</v>
      </c>
      <c r="B90" s="216" t="s">
        <v>119</v>
      </c>
      <c r="C90" s="160">
        <v>3.75</v>
      </c>
      <c r="D90" s="143">
        <v>8.7100000000000009</v>
      </c>
      <c r="E90" s="143">
        <v>4.04</v>
      </c>
      <c r="F90" s="143">
        <v>2.44</v>
      </c>
      <c r="G90" s="143">
        <v>3.84</v>
      </c>
      <c r="H90" s="143">
        <v>1.17</v>
      </c>
      <c r="I90" s="143">
        <v>6.27</v>
      </c>
      <c r="J90" s="143">
        <v>2.88</v>
      </c>
      <c r="K90" s="143">
        <v>1.7</v>
      </c>
      <c r="L90" s="143">
        <v>2.62</v>
      </c>
      <c r="M90" s="145">
        <f t="shared" si="24"/>
        <v>312</v>
      </c>
      <c r="N90" s="145">
        <f t="shared" si="23"/>
        <v>719.86222732491376</v>
      </c>
      <c r="O90" s="145">
        <f t="shared" si="23"/>
        <v>712.87128712871288</v>
      </c>
      <c r="P90" s="145">
        <f t="shared" si="23"/>
        <v>696.72131147540983</v>
      </c>
      <c r="Q90" s="145">
        <f t="shared" si="23"/>
        <v>682.29166666666674</v>
      </c>
    </row>
    <row r="91" spans="1:17" ht="23.25" customHeight="1" x14ac:dyDescent="0.2">
      <c r="A91" s="397"/>
      <c r="B91" s="142" t="s">
        <v>120</v>
      </c>
      <c r="C91" s="160">
        <v>63.72</v>
      </c>
      <c r="D91" s="143">
        <f>76.67</f>
        <v>76.67</v>
      </c>
      <c r="E91" s="143">
        <v>73.84</v>
      </c>
      <c r="F91" s="143">
        <v>80.31</v>
      </c>
      <c r="G91" s="143">
        <v>77.23</v>
      </c>
      <c r="H91" s="143">
        <v>31.67</v>
      </c>
      <c r="I91" s="143">
        <v>53.75</v>
      </c>
      <c r="J91" s="143">
        <v>58.67</v>
      </c>
      <c r="K91" s="143">
        <v>65.2</v>
      </c>
      <c r="L91" s="143">
        <v>57</v>
      </c>
      <c r="M91" s="145">
        <f t="shared" si="24"/>
        <v>497.01820464532329</v>
      </c>
      <c r="N91" s="145">
        <f t="shared" si="23"/>
        <v>701.05647580539971</v>
      </c>
      <c r="O91" s="145">
        <f t="shared" si="23"/>
        <v>794.55579631635965</v>
      </c>
      <c r="P91" s="145">
        <f t="shared" si="23"/>
        <v>811.85406549620222</v>
      </c>
      <c r="Q91" s="145">
        <f t="shared" si="23"/>
        <v>738.05515991195125</v>
      </c>
    </row>
    <row r="92" spans="1:17" s="66" customFormat="1" ht="23.25" customHeight="1" x14ac:dyDescent="0.2">
      <c r="A92" s="397"/>
      <c r="B92" s="146" t="s">
        <v>10</v>
      </c>
      <c r="C92" s="147">
        <f>SUM(C90:C91)</f>
        <v>67.47</v>
      </c>
      <c r="D92" s="147">
        <f t="shared" ref="D92:L92" si="27">SUM(D90:D91)</f>
        <v>85.38</v>
      </c>
      <c r="E92" s="147">
        <f t="shared" si="27"/>
        <v>77.88000000000001</v>
      </c>
      <c r="F92" s="147">
        <f t="shared" si="27"/>
        <v>82.75</v>
      </c>
      <c r="G92" s="147">
        <f t="shared" si="27"/>
        <v>81.070000000000007</v>
      </c>
      <c r="H92" s="147">
        <f t="shared" si="27"/>
        <v>32.840000000000003</v>
      </c>
      <c r="I92" s="147">
        <f t="shared" si="27"/>
        <v>60.019999999999996</v>
      </c>
      <c r="J92" s="147">
        <f t="shared" si="27"/>
        <v>61.550000000000004</v>
      </c>
      <c r="K92" s="147">
        <f t="shared" si="27"/>
        <v>66.900000000000006</v>
      </c>
      <c r="L92" s="147">
        <f t="shared" si="27"/>
        <v>59.62</v>
      </c>
      <c r="M92" s="289">
        <f>H92/C92*1000</f>
        <v>486.73484511634808</v>
      </c>
      <c r="N92" s="289">
        <f t="shared" si="23"/>
        <v>702.97493558210351</v>
      </c>
      <c r="O92" s="289">
        <f t="shared" si="23"/>
        <v>790.31843862352332</v>
      </c>
      <c r="P92" s="289">
        <f t="shared" si="23"/>
        <v>808.45921450151059</v>
      </c>
      <c r="Q92" s="289">
        <f t="shared" si="23"/>
        <v>735.41383989145174</v>
      </c>
    </row>
    <row r="93" spans="1:17" ht="23.25" customHeight="1" x14ac:dyDescent="0.2">
      <c r="A93" s="397" t="s">
        <v>109</v>
      </c>
      <c r="B93" s="216" t="s">
        <v>119</v>
      </c>
      <c r="C93" s="161">
        <v>0</v>
      </c>
      <c r="D93" s="143">
        <v>0</v>
      </c>
      <c r="E93" s="143">
        <v>0</v>
      </c>
      <c r="F93" s="143">
        <v>0</v>
      </c>
      <c r="G93" s="143">
        <v>1</v>
      </c>
      <c r="H93" s="143">
        <v>0</v>
      </c>
      <c r="I93" s="143">
        <v>0</v>
      </c>
      <c r="J93" s="143">
        <v>0</v>
      </c>
      <c r="K93" s="143">
        <v>0</v>
      </c>
      <c r="L93" s="143">
        <v>2</v>
      </c>
      <c r="M93" s="145" t="e">
        <f t="shared" si="24"/>
        <v>#DIV/0!</v>
      </c>
      <c r="N93" s="145" t="e">
        <f t="shared" si="23"/>
        <v>#DIV/0!</v>
      </c>
      <c r="O93" s="145" t="e">
        <f t="shared" si="23"/>
        <v>#DIV/0!</v>
      </c>
      <c r="P93" s="145" t="e">
        <f t="shared" si="23"/>
        <v>#DIV/0!</v>
      </c>
      <c r="Q93" s="145">
        <f t="shared" si="23"/>
        <v>2000</v>
      </c>
    </row>
    <row r="94" spans="1:17" ht="23.25" customHeight="1" x14ac:dyDescent="0.2">
      <c r="A94" s="397"/>
      <c r="B94" s="142" t="s">
        <v>120</v>
      </c>
      <c r="C94" s="143">
        <v>1</v>
      </c>
      <c r="D94" s="143">
        <v>2</v>
      </c>
      <c r="E94" s="143">
        <v>1</v>
      </c>
      <c r="F94" s="143">
        <v>1</v>
      </c>
      <c r="G94" s="143">
        <v>2</v>
      </c>
      <c r="H94" s="143">
        <v>1</v>
      </c>
      <c r="I94" s="143">
        <v>2</v>
      </c>
      <c r="J94" s="143">
        <v>1</v>
      </c>
      <c r="K94" s="143">
        <v>1</v>
      </c>
      <c r="L94" s="143">
        <v>2</v>
      </c>
      <c r="M94" s="145">
        <f t="shared" si="24"/>
        <v>1000</v>
      </c>
      <c r="N94" s="145">
        <f t="shared" si="23"/>
        <v>1000</v>
      </c>
      <c r="O94" s="145">
        <f t="shared" si="23"/>
        <v>1000</v>
      </c>
      <c r="P94" s="145">
        <f t="shared" si="23"/>
        <v>1000</v>
      </c>
      <c r="Q94" s="145">
        <f t="shared" si="23"/>
        <v>1000</v>
      </c>
    </row>
    <row r="95" spans="1:17" s="66" customFormat="1" ht="23.25" customHeight="1" x14ac:dyDescent="0.2">
      <c r="A95" s="397"/>
      <c r="B95" s="146" t="s">
        <v>10</v>
      </c>
      <c r="C95" s="147">
        <f>SUM(C93:C94)</f>
        <v>1</v>
      </c>
      <c r="D95" s="147">
        <f t="shared" ref="D95:L95" si="28">SUM(D93:D94)</f>
        <v>2</v>
      </c>
      <c r="E95" s="147">
        <f t="shared" si="28"/>
        <v>1</v>
      </c>
      <c r="F95" s="147">
        <f t="shared" si="28"/>
        <v>1</v>
      </c>
      <c r="G95" s="147">
        <f t="shared" si="28"/>
        <v>3</v>
      </c>
      <c r="H95" s="147">
        <f t="shared" si="28"/>
        <v>1</v>
      </c>
      <c r="I95" s="147">
        <f t="shared" si="28"/>
        <v>2</v>
      </c>
      <c r="J95" s="147">
        <f t="shared" si="28"/>
        <v>1</v>
      </c>
      <c r="K95" s="147">
        <f t="shared" si="28"/>
        <v>1</v>
      </c>
      <c r="L95" s="147">
        <f t="shared" si="28"/>
        <v>4</v>
      </c>
      <c r="M95" s="289">
        <f t="shared" si="24"/>
        <v>1000</v>
      </c>
      <c r="N95" s="289">
        <f t="shared" si="23"/>
        <v>1000</v>
      </c>
      <c r="O95" s="289">
        <f t="shared" si="23"/>
        <v>1000</v>
      </c>
      <c r="P95" s="289">
        <f t="shared" si="23"/>
        <v>1000</v>
      </c>
      <c r="Q95" s="289">
        <f t="shared" si="23"/>
        <v>1333.3333333333333</v>
      </c>
    </row>
    <row r="96" spans="1:17" ht="23.25" customHeight="1" x14ac:dyDescent="0.2">
      <c r="A96" s="397" t="s">
        <v>59</v>
      </c>
      <c r="B96" s="142" t="s">
        <v>120</v>
      </c>
      <c r="C96" s="143">
        <f>3.886+0.023</f>
        <v>3.9090000000000003</v>
      </c>
      <c r="D96" s="143">
        <f>0.052+0.036+3.756+0.663</f>
        <v>4.5069999999999997</v>
      </c>
      <c r="E96" s="143">
        <v>4.2679999999999998</v>
      </c>
      <c r="F96" s="143">
        <v>4.1579999999999995</v>
      </c>
      <c r="G96" s="143">
        <v>3.4290000000000003</v>
      </c>
      <c r="H96" s="144">
        <f>2.476+0.022</f>
        <v>2.4979999999999998</v>
      </c>
      <c r="I96" s="144">
        <f>0.05+2.71+0.034+0.478</f>
        <v>3.2719999999999994</v>
      </c>
      <c r="J96" s="144">
        <v>3.335</v>
      </c>
      <c r="K96" s="144">
        <v>3.3029999999999999</v>
      </c>
      <c r="L96" s="144">
        <v>2.7869999999999999</v>
      </c>
      <c r="M96" s="145">
        <f t="shared" si="24"/>
        <v>639.03811716551536</v>
      </c>
      <c r="N96" s="145">
        <f t="shared" si="23"/>
        <v>725.98180607943186</v>
      </c>
      <c r="O96" s="145">
        <f t="shared" si="23"/>
        <v>781.39643861293348</v>
      </c>
      <c r="P96" s="145">
        <f t="shared" si="23"/>
        <v>794.3722943722945</v>
      </c>
      <c r="Q96" s="145">
        <f t="shared" si="23"/>
        <v>812.77340332458436</v>
      </c>
    </row>
    <row r="97" spans="1:17" s="66" customFormat="1" ht="23.25" customHeight="1" x14ac:dyDescent="0.2">
      <c r="A97" s="397"/>
      <c r="B97" s="146" t="s">
        <v>10</v>
      </c>
      <c r="C97" s="148">
        <f>SUM(C96:C96)</f>
        <v>3.9090000000000003</v>
      </c>
      <c r="D97" s="148">
        <f t="shared" ref="D97:L97" si="29">SUM(D96:D96)</f>
        <v>4.5069999999999997</v>
      </c>
      <c r="E97" s="148">
        <f t="shared" si="29"/>
        <v>4.2679999999999998</v>
      </c>
      <c r="F97" s="148">
        <f t="shared" si="29"/>
        <v>4.1579999999999995</v>
      </c>
      <c r="G97" s="148">
        <f t="shared" si="29"/>
        <v>3.4290000000000003</v>
      </c>
      <c r="H97" s="148">
        <f t="shared" si="29"/>
        <v>2.4979999999999998</v>
      </c>
      <c r="I97" s="148">
        <f t="shared" si="29"/>
        <v>3.2719999999999994</v>
      </c>
      <c r="J97" s="148">
        <f t="shared" si="29"/>
        <v>3.335</v>
      </c>
      <c r="K97" s="148">
        <f t="shared" si="29"/>
        <v>3.3029999999999999</v>
      </c>
      <c r="L97" s="148">
        <f t="shared" si="29"/>
        <v>2.7869999999999999</v>
      </c>
      <c r="M97" s="289">
        <f t="shared" si="24"/>
        <v>639.03811716551536</v>
      </c>
      <c r="N97" s="289">
        <f t="shared" si="23"/>
        <v>725.98180607943186</v>
      </c>
      <c r="O97" s="289">
        <f t="shared" si="23"/>
        <v>781.39643861293348</v>
      </c>
      <c r="P97" s="289">
        <f t="shared" si="23"/>
        <v>794.3722943722945</v>
      </c>
      <c r="Q97" s="289">
        <f t="shared" si="23"/>
        <v>812.77340332458436</v>
      </c>
    </row>
    <row r="98" spans="1:17" ht="23.25" hidden="1" customHeight="1" x14ac:dyDescent="0.2">
      <c r="A98" s="398" t="s">
        <v>12</v>
      </c>
      <c r="B98" s="142" t="s">
        <v>137</v>
      </c>
      <c r="C98" s="160">
        <v>0</v>
      </c>
      <c r="D98" s="143"/>
      <c r="E98" s="143"/>
      <c r="F98" s="143"/>
      <c r="G98" s="279"/>
      <c r="H98" s="160">
        <v>0</v>
      </c>
      <c r="I98" s="144"/>
      <c r="J98" s="144"/>
      <c r="K98" s="144"/>
      <c r="L98" s="280"/>
      <c r="M98" s="145" t="e">
        <f t="shared" si="24"/>
        <v>#DIV/0!</v>
      </c>
      <c r="N98" s="145" t="e">
        <f t="shared" si="23"/>
        <v>#DIV/0!</v>
      </c>
      <c r="O98" s="145" t="e">
        <f t="shared" si="23"/>
        <v>#DIV/0!</v>
      </c>
      <c r="P98" s="145" t="e">
        <f t="shared" si="23"/>
        <v>#DIV/0!</v>
      </c>
      <c r="Q98" s="145" t="e">
        <f t="shared" si="23"/>
        <v>#DIV/0!</v>
      </c>
    </row>
    <row r="99" spans="1:17" s="66" customFormat="1" ht="23.25" hidden="1" customHeight="1" x14ac:dyDescent="0.2">
      <c r="A99" s="399"/>
      <c r="B99" s="142" t="s">
        <v>10</v>
      </c>
      <c r="C99" s="143">
        <f>SUM(C98:C98)</f>
        <v>0</v>
      </c>
      <c r="D99" s="143">
        <f t="shared" ref="D99" si="30">SUM(D98:D98)</f>
        <v>0</v>
      </c>
      <c r="E99" s="143"/>
      <c r="F99" s="143"/>
      <c r="G99" s="65"/>
      <c r="H99" s="143">
        <f>SUM(H98:H98)</f>
        <v>0</v>
      </c>
      <c r="I99" s="143">
        <f t="shared" ref="I99" si="31">SUM(I98:I98)</f>
        <v>0</v>
      </c>
      <c r="J99" s="143"/>
      <c r="K99" s="143"/>
      <c r="L99" s="65"/>
      <c r="M99" s="145" t="e">
        <f t="shared" si="24"/>
        <v>#DIV/0!</v>
      </c>
      <c r="N99" s="145" t="e">
        <f t="shared" si="23"/>
        <v>#DIV/0!</v>
      </c>
      <c r="O99" s="145" t="e">
        <f t="shared" si="23"/>
        <v>#DIV/0!</v>
      </c>
      <c r="P99" s="145" t="e">
        <f t="shared" si="23"/>
        <v>#DIV/0!</v>
      </c>
      <c r="Q99" s="145" t="e">
        <f t="shared" si="23"/>
        <v>#DIV/0!</v>
      </c>
    </row>
    <row r="100" spans="1:17" ht="23.25" customHeight="1" x14ac:dyDescent="0.2">
      <c r="A100" s="397" t="s">
        <v>90</v>
      </c>
      <c r="B100" s="142" t="s">
        <v>119</v>
      </c>
      <c r="C100" s="160">
        <v>13</v>
      </c>
      <c r="D100" s="143">
        <v>14</v>
      </c>
      <c r="E100" s="143">
        <v>13</v>
      </c>
      <c r="F100" s="143">
        <v>11</v>
      </c>
      <c r="G100" s="143">
        <v>13</v>
      </c>
      <c r="H100" s="162">
        <v>11</v>
      </c>
      <c r="I100" s="144">
        <v>12</v>
      </c>
      <c r="J100" s="144">
        <v>12</v>
      </c>
      <c r="K100" s="144">
        <v>11</v>
      </c>
      <c r="L100" s="144">
        <v>13</v>
      </c>
      <c r="M100" s="145">
        <f t="shared" si="24"/>
        <v>846.15384615384619</v>
      </c>
      <c r="N100" s="145">
        <f t="shared" si="24"/>
        <v>857.14285714285711</v>
      </c>
      <c r="O100" s="145">
        <f t="shared" si="24"/>
        <v>923.07692307692309</v>
      </c>
      <c r="P100" s="145">
        <f t="shared" si="24"/>
        <v>1000</v>
      </c>
      <c r="Q100" s="145">
        <f t="shared" si="24"/>
        <v>1000</v>
      </c>
    </row>
    <row r="101" spans="1:17" ht="23.25" customHeight="1" x14ac:dyDescent="0.2">
      <c r="A101" s="397"/>
      <c r="B101" s="142" t="s">
        <v>141</v>
      </c>
      <c r="C101" s="160">
        <v>6</v>
      </c>
      <c r="D101" s="143">
        <v>6</v>
      </c>
      <c r="E101" s="143">
        <v>5</v>
      </c>
      <c r="F101" s="143">
        <v>6</v>
      </c>
      <c r="G101" s="143">
        <v>6</v>
      </c>
      <c r="H101" s="162">
        <v>6</v>
      </c>
      <c r="I101" s="144">
        <v>6</v>
      </c>
      <c r="J101" s="144">
        <v>6</v>
      </c>
      <c r="K101" s="144">
        <v>6</v>
      </c>
      <c r="L101" s="144">
        <v>7</v>
      </c>
      <c r="M101" s="145">
        <f t="shared" si="24"/>
        <v>1000</v>
      </c>
      <c r="N101" s="145">
        <f t="shared" si="24"/>
        <v>1000</v>
      </c>
      <c r="O101" s="145">
        <f t="shared" si="24"/>
        <v>1200</v>
      </c>
      <c r="P101" s="145">
        <f t="shared" si="24"/>
        <v>1000</v>
      </c>
      <c r="Q101" s="145">
        <f t="shared" si="24"/>
        <v>1166.6666666666667</v>
      </c>
    </row>
    <row r="102" spans="1:17" ht="23.25" customHeight="1" x14ac:dyDescent="0.2">
      <c r="A102" s="397"/>
      <c r="B102" s="142" t="s">
        <v>142</v>
      </c>
      <c r="C102" s="160">
        <v>6</v>
      </c>
      <c r="D102" s="143">
        <v>7</v>
      </c>
      <c r="E102" s="143">
        <v>8</v>
      </c>
      <c r="F102" s="143">
        <v>7</v>
      </c>
      <c r="G102" s="143">
        <v>8</v>
      </c>
      <c r="H102" s="162">
        <v>5</v>
      </c>
      <c r="I102" s="144">
        <v>8</v>
      </c>
      <c r="J102" s="144">
        <v>8</v>
      </c>
      <c r="K102" s="144">
        <v>7</v>
      </c>
      <c r="L102" s="144">
        <v>8</v>
      </c>
      <c r="M102" s="145">
        <f t="shared" si="24"/>
        <v>833.33333333333337</v>
      </c>
      <c r="N102" s="145">
        <f t="shared" si="24"/>
        <v>1142.8571428571429</v>
      </c>
      <c r="O102" s="145">
        <f t="shared" si="24"/>
        <v>1000</v>
      </c>
      <c r="P102" s="145">
        <f t="shared" si="24"/>
        <v>1000</v>
      </c>
      <c r="Q102" s="145">
        <f t="shared" si="24"/>
        <v>1000</v>
      </c>
    </row>
    <row r="103" spans="1:17" ht="23.25" customHeight="1" x14ac:dyDescent="0.2">
      <c r="A103" s="397"/>
      <c r="B103" s="142" t="s">
        <v>120</v>
      </c>
      <c r="C103" s="160">
        <v>1</v>
      </c>
      <c r="D103" s="143">
        <v>1</v>
      </c>
      <c r="E103" s="143">
        <v>2</v>
      </c>
      <c r="F103" s="143">
        <v>1</v>
      </c>
      <c r="G103" s="143">
        <v>1</v>
      </c>
      <c r="H103" s="162">
        <v>1</v>
      </c>
      <c r="I103" s="144">
        <v>1</v>
      </c>
      <c r="J103" s="144">
        <v>1</v>
      </c>
      <c r="K103" s="144">
        <v>1</v>
      </c>
      <c r="L103" s="144">
        <v>1</v>
      </c>
      <c r="M103" s="145">
        <f t="shared" si="24"/>
        <v>1000</v>
      </c>
      <c r="N103" s="145">
        <f t="shared" si="24"/>
        <v>1000</v>
      </c>
      <c r="O103" s="145">
        <f t="shared" si="24"/>
        <v>500</v>
      </c>
      <c r="P103" s="145">
        <f t="shared" si="24"/>
        <v>1000</v>
      </c>
      <c r="Q103" s="145">
        <f t="shared" si="24"/>
        <v>1000</v>
      </c>
    </row>
    <row r="104" spans="1:17" s="66" customFormat="1" ht="23.25" customHeight="1" x14ac:dyDescent="0.2">
      <c r="A104" s="397"/>
      <c r="B104" s="146" t="s">
        <v>10</v>
      </c>
      <c r="C104" s="156">
        <f>SUM(C100:C103)</f>
        <v>26</v>
      </c>
      <c r="D104" s="156">
        <f t="shared" ref="D104:L104" si="32">SUM(D100:D103)</f>
        <v>28</v>
      </c>
      <c r="E104" s="156">
        <f t="shared" si="32"/>
        <v>28</v>
      </c>
      <c r="F104" s="156">
        <f t="shared" si="32"/>
        <v>25</v>
      </c>
      <c r="G104" s="156">
        <f t="shared" si="32"/>
        <v>28</v>
      </c>
      <c r="H104" s="156">
        <f t="shared" si="32"/>
        <v>23</v>
      </c>
      <c r="I104" s="156">
        <f t="shared" si="32"/>
        <v>27</v>
      </c>
      <c r="J104" s="156">
        <f t="shared" si="32"/>
        <v>27</v>
      </c>
      <c r="K104" s="156">
        <f t="shared" si="32"/>
        <v>25</v>
      </c>
      <c r="L104" s="156">
        <f t="shared" si="32"/>
        <v>29</v>
      </c>
      <c r="M104" s="289">
        <f t="shared" si="24"/>
        <v>884.61538461538453</v>
      </c>
      <c r="N104" s="289">
        <f t="shared" si="24"/>
        <v>964.28571428571433</v>
      </c>
      <c r="O104" s="289">
        <f t="shared" si="24"/>
        <v>964.28571428571433</v>
      </c>
      <c r="P104" s="289">
        <f t="shared" si="24"/>
        <v>1000</v>
      </c>
      <c r="Q104" s="289">
        <f t="shared" si="24"/>
        <v>1035.7142857142858</v>
      </c>
    </row>
    <row r="105" spans="1:17" ht="23.25" customHeight="1" x14ac:dyDescent="0.2">
      <c r="A105" s="397" t="s">
        <v>96</v>
      </c>
      <c r="B105" s="142" t="s">
        <v>120</v>
      </c>
      <c r="C105" s="163">
        <v>1.0820000000000001</v>
      </c>
      <c r="D105" s="143">
        <v>1</v>
      </c>
      <c r="E105" s="143">
        <v>1.84</v>
      </c>
      <c r="F105" s="143">
        <v>1.5229999999999999</v>
      </c>
      <c r="G105" s="143">
        <v>1.4810000000000001</v>
      </c>
      <c r="H105" s="143">
        <v>0.71</v>
      </c>
      <c r="I105" s="143">
        <v>0.7</v>
      </c>
      <c r="J105" s="143">
        <v>1.23</v>
      </c>
      <c r="K105" s="143">
        <v>1.02</v>
      </c>
      <c r="L105" s="143">
        <v>0.98599999999999999</v>
      </c>
      <c r="M105" s="145">
        <f t="shared" si="24"/>
        <v>656.19223659889087</v>
      </c>
      <c r="N105" s="145">
        <f t="shared" si="24"/>
        <v>700</v>
      </c>
      <c r="O105" s="145">
        <f t="shared" si="24"/>
        <v>668.47826086956513</v>
      </c>
      <c r="P105" s="145">
        <f t="shared" si="24"/>
        <v>669.73079448456997</v>
      </c>
      <c r="Q105" s="145">
        <f t="shared" si="24"/>
        <v>665.7663740715733</v>
      </c>
    </row>
    <row r="106" spans="1:17" s="66" customFormat="1" ht="23.25" customHeight="1" x14ac:dyDescent="0.2">
      <c r="A106" s="397"/>
      <c r="B106" s="142" t="s">
        <v>10</v>
      </c>
      <c r="C106" s="143">
        <f>SUM(C105:C105)</f>
        <v>1.0820000000000001</v>
      </c>
      <c r="D106" s="143">
        <f t="shared" ref="D106:L106" si="33">SUM(D105:D105)</f>
        <v>1</v>
      </c>
      <c r="E106" s="143">
        <f t="shared" si="33"/>
        <v>1.84</v>
      </c>
      <c r="F106" s="143">
        <f t="shared" si="33"/>
        <v>1.5229999999999999</v>
      </c>
      <c r="G106" s="143">
        <f t="shared" si="33"/>
        <v>1.4810000000000001</v>
      </c>
      <c r="H106" s="143">
        <f t="shared" si="33"/>
        <v>0.71</v>
      </c>
      <c r="I106" s="143">
        <f t="shared" si="33"/>
        <v>0.7</v>
      </c>
      <c r="J106" s="143">
        <f t="shared" si="33"/>
        <v>1.23</v>
      </c>
      <c r="K106" s="143">
        <f t="shared" si="33"/>
        <v>1.02</v>
      </c>
      <c r="L106" s="143">
        <f t="shared" si="33"/>
        <v>0.98599999999999999</v>
      </c>
      <c r="M106" s="145">
        <f t="shared" si="24"/>
        <v>656.19223659889087</v>
      </c>
      <c r="N106" s="145">
        <f t="shared" si="24"/>
        <v>700</v>
      </c>
      <c r="O106" s="145">
        <f t="shared" si="24"/>
        <v>668.47826086956513</v>
      </c>
      <c r="P106" s="145">
        <f t="shared" si="24"/>
        <v>669.73079448456997</v>
      </c>
      <c r="Q106" s="145">
        <f t="shared" si="24"/>
        <v>665.7663740715733</v>
      </c>
    </row>
    <row r="107" spans="1:17" s="66" customFormat="1" ht="23.25" customHeight="1" x14ac:dyDescent="0.2">
      <c r="A107" s="146" t="s">
        <v>143</v>
      </c>
      <c r="B107" s="142" t="s">
        <v>144</v>
      </c>
      <c r="C107" s="143">
        <v>6.0000000000000001E-3</v>
      </c>
      <c r="D107" s="143">
        <v>6.0000000000000001E-3</v>
      </c>
      <c r="E107" s="143">
        <v>0</v>
      </c>
      <c r="F107" s="143">
        <v>6.0000000000000001E-3</v>
      </c>
      <c r="G107" s="143">
        <v>0</v>
      </c>
      <c r="H107" s="143">
        <v>7.1999999999999998E-3</v>
      </c>
      <c r="I107" s="143">
        <v>7.1999999999999998E-3</v>
      </c>
      <c r="J107" s="143">
        <v>0</v>
      </c>
      <c r="K107" s="143">
        <v>7.1999999999999998E-3</v>
      </c>
      <c r="L107" s="143">
        <v>0</v>
      </c>
      <c r="M107" s="145">
        <f t="shared" si="24"/>
        <v>1200</v>
      </c>
      <c r="N107" s="145">
        <f t="shared" si="24"/>
        <v>1200</v>
      </c>
      <c r="O107" s="145" t="e">
        <f t="shared" si="24"/>
        <v>#DIV/0!</v>
      </c>
      <c r="P107" s="145">
        <f t="shared" si="24"/>
        <v>1200</v>
      </c>
      <c r="Q107" s="145" t="e">
        <f t="shared" si="24"/>
        <v>#DIV/0!</v>
      </c>
    </row>
    <row r="108" spans="1:17" ht="23.25" customHeight="1" x14ac:dyDescent="0.2">
      <c r="A108" s="146" t="s">
        <v>203</v>
      </c>
      <c r="B108" s="142" t="s">
        <v>144</v>
      </c>
      <c r="C108" s="143">
        <v>0</v>
      </c>
      <c r="D108" s="143">
        <v>0</v>
      </c>
      <c r="E108" s="143">
        <v>0</v>
      </c>
      <c r="F108" s="143">
        <v>0</v>
      </c>
      <c r="G108" s="143">
        <v>1.22</v>
      </c>
      <c r="H108" s="143">
        <v>0</v>
      </c>
      <c r="I108" s="143">
        <v>0</v>
      </c>
      <c r="J108" s="143">
        <v>0</v>
      </c>
      <c r="K108" s="143">
        <v>0</v>
      </c>
      <c r="L108" s="143">
        <v>1.095</v>
      </c>
      <c r="M108" s="145" t="e">
        <f t="shared" si="24"/>
        <v>#DIV/0!</v>
      </c>
      <c r="N108" s="145" t="e">
        <f t="shared" si="24"/>
        <v>#DIV/0!</v>
      </c>
      <c r="O108" s="145" t="e">
        <f t="shared" si="24"/>
        <v>#DIV/0!</v>
      </c>
      <c r="P108" s="145" t="e">
        <f t="shared" si="24"/>
        <v>#DIV/0!</v>
      </c>
      <c r="Q108" s="145">
        <f t="shared" si="24"/>
        <v>897.54098360655746</v>
      </c>
    </row>
    <row r="109" spans="1:17" ht="23.25" hidden="1" customHeight="1" x14ac:dyDescent="0.2">
      <c r="A109" s="146" t="s">
        <v>23</v>
      </c>
      <c r="B109" s="142"/>
      <c r="C109" s="161">
        <v>0</v>
      </c>
      <c r="D109" s="148"/>
      <c r="E109" s="148"/>
      <c r="F109" s="148"/>
      <c r="G109" s="279"/>
      <c r="H109" s="161">
        <v>0</v>
      </c>
      <c r="I109" s="155"/>
      <c r="J109" s="155"/>
      <c r="K109" s="155"/>
      <c r="L109" s="280"/>
      <c r="M109" s="145" t="e">
        <f t="shared" si="24"/>
        <v>#DIV/0!</v>
      </c>
      <c r="N109" s="145" t="e">
        <f t="shared" si="24"/>
        <v>#DIV/0!</v>
      </c>
      <c r="O109" s="145" t="e">
        <f t="shared" si="24"/>
        <v>#DIV/0!</v>
      </c>
      <c r="P109" s="145" t="e">
        <f t="shared" si="24"/>
        <v>#DIV/0!</v>
      </c>
      <c r="Q109" s="145" t="e">
        <f t="shared" si="24"/>
        <v>#DIV/0!</v>
      </c>
    </row>
    <row r="110" spans="1:17" ht="23.25" customHeight="1" x14ac:dyDescent="0.2">
      <c r="A110" s="397" t="s">
        <v>113</v>
      </c>
      <c r="B110" s="142" t="s">
        <v>120</v>
      </c>
      <c r="C110" s="163">
        <f>0.002+0.044</f>
        <v>4.5999999999999999E-2</v>
      </c>
      <c r="D110" s="143">
        <f>0.005+0.069</f>
        <v>7.400000000000001E-2</v>
      </c>
      <c r="E110" s="143">
        <v>6.4000000000000001E-2</v>
      </c>
      <c r="F110" s="143">
        <v>5.7999999999999996E-2</v>
      </c>
      <c r="G110" s="143">
        <v>0</v>
      </c>
      <c r="H110" s="143">
        <f>0.003+0.042</f>
        <v>4.5000000000000005E-2</v>
      </c>
      <c r="I110" s="144">
        <f>0.014+0.207</f>
        <v>0.221</v>
      </c>
      <c r="J110" s="144">
        <v>6.3E-2</v>
      </c>
      <c r="K110" s="144">
        <v>4.5999999999999999E-2</v>
      </c>
      <c r="L110" s="144">
        <v>0</v>
      </c>
      <c r="M110" s="145">
        <f t="shared" si="24"/>
        <v>978.26086956521749</v>
      </c>
      <c r="N110" s="145">
        <f t="shared" si="24"/>
        <v>2986.4864864864858</v>
      </c>
      <c r="O110" s="145">
        <f t="shared" si="24"/>
        <v>984.375</v>
      </c>
      <c r="P110" s="145">
        <f t="shared" si="24"/>
        <v>793.10344827586209</v>
      </c>
      <c r="Q110" s="145" t="e">
        <f t="shared" si="24"/>
        <v>#DIV/0!</v>
      </c>
    </row>
    <row r="111" spans="1:17" ht="23.25" customHeight="1" x14ac:dyDescent="0.2">
      <c r="A111" s="397"/>
      <c r="B111" s="142" t="s">
        <v>10</v>
      </c>
      <c r="C111" s="160">
        <f>SUM(C110:C110)</f>
        <v>4.5999999999999999E-2</v>
      </c>
      <c r="D111" s="160">
        <f t="shared" ref="D111:E111" si="34">SUM(D110:D110)</f>
        <v>7.400000000000001E-2</v>
      </c>
      <c r="E111" s="160">
        <f t="shared" si="34"/>
        <v>6.4000000000000001E-2</v>
      </c>
      <c r="F111" s="160">
        <v>5.7999999999999996E-2</v>
      </c>
      <c r="G111" s="143">
        <v>0</v>
      </c>
      <c r="H111" s="143">
        <f>SUM(H110:H110)</f>
        <v>4.5000000000000005E-2</v>
      </c>
      <c r="I111" s="160">
        <f t="shared" ref="I111:J111" si="35">SUM(I110:I110)</f>
        <v>0.221</v>
      </c>
      <c r="J111" s="160">
        <f t="shared" si="35"/>
        <v>6.3E-2</v>
      </c>
      <c r="K111" s="160">
        <v>4.5999999999999999E-2</v>
      </c>
      <c r="L111" s="144">
        <v>0</v>
      </c>
      <c r="M111" s="145">
        <f t="shared" si="24"/>
        <v>978.26086956521749</v>
      </c>
      <c r="N111" s="145">
        <f t="shared" si="24"/>
        <v>2986.4864864864858</v>
      </c>
      <c r="O111" s="145">
        <f t="shared" si="24"/>
        <v>984.375</v>
      </c>
      <c r="P111" s="145">
        <f t="shared" si="24"/>
        <v>793.10344827586209</v>
      </c>
      <c r="Q111" s="145" t="e">
        <f t="shared" si="24"/>
        <v>#DIV/0!</v>
      </c>
    </row>
    <row r="112" spans="1:17" ht="23.25" customHeight="1" x14ac:dyDescent="0.2">
      <c r="A112" s="397" t="s">
        <v>46</v>
      </c>
      <c r="B112" s="146" t="s">
        <v>119</v>
      </c>
      <c r="C112" s="147">
        <f>C7+C12+C16+C27+C30+C35+C45+C48+C55+C60+C73+C90+C100+C93</f>
        <v>178.44800000000001</v>
      </c>
      <c r="D112" s="147">
        <f t="shared" ref="D112:H112" si="36">D7+D12+D16+D27+D30+D35+D45+D48+D55+D60+D73+D90+D100+D93</f>
        <v>191.12600000000003</v>
      </c>
      <c r="E112" s="147">
        <f t="shared" si="36"/>
        <v>205.04999999999998</v>
      </c>
      <c r="F112" s="147">
        <f t="shared" si="36"/>
        <v>274.65500000000003</v>
      </c>
      <c r="G112" s="147">
        <f t="shared" si="36"/>
        <v>150.16900000000001</v>
      </c>
      <c r="H112" s="147">
        <f t="shared" si="36"/>
        <v>87.818360309641108</v>
      </c>
      <c r="I112" s="147">
        <f t="shared" ref="I112:L112" si="37">I7+I12+I16+I27+I30+I35+I45+I48+I55+I60+I73+I90+I100+I93</f>
        <v>108.607</v>
      </c>
      <c r="J112" s="147">
        <f t="shared" si="37"/>
        <v>86.829499999999996</v>
      </c>
      <c r="K112" s="147">
        <f t="shared" si="37"/>
        <v>167.79521899999997</v>
      </c>
      <c r="L112" s="147">
        <f t="shared" si="37"/>
        <v>91.992999999999995</v>
      </c>
      <c r="M112" s="289">
        <f t="shared" si="24"/>
        <v>492.12297313301974</v>
      </c>
      <c r="N112" s="289">
        <f t="shared" si="24"/>
        <v>568.24817136339368</v>
      </c>
      <c r="O112" s="289">
        <f t="shared" si="24"/>
        <v>423.45525481589857</v>
      </c>
      <c r="P112" s="289">
        <f t="shared" si="24"/>
        <v>610.93087327738419</v>
      </c>
      <c r="Q112" s="289">
        <f t="shared" si="24"/>
        <v>612.5964746385738</v>
      </c>
    </row>
    <row r="113" spans="1:17" ht="23.25" customHeight="1" x14ac:dyDescent="0.2">
      <c r="A113" s="397"/>
      <c r="B113" s="146" t="s">
        <v>125</v>
      </c>
      <c r="C113" s="147">
        <f>C23+C26+C31+C34+C61+D76+C84+C98+C19</f>
        <v>1421.5340000000001</v>
      </c>
      <c r="D113" s="147">
        <f t="shared" ref="D113:G113" si="38">D23+D26+D31+D34+D61+E76+D84+D98+D19</f>
        <v>1072.97</v>
      </c>
      <c r="E113" s="147">
        <f t="shared" si="38"/>
        <v>992.18600000000004</v>
      </c>
      <c r="F113" s="147">
        <f t="shared" si="38"/>
        <v>967.51200000000006</v>
      </c>
      <c r="G113" s="147">
        <f t="shared" si="38"/>
        <v>993.08399999999995</v>
      </c>
      <c r="H113" s="147">
        <f>H23+H26+H31+H34+H61+H76+H84+H98+H19</f>
        <v>450.79803237156932</v>
      </c>
      <c r="I113" s="147">
        <f t="shared" ref="I113:K113" si="39">I23+I26+I31+I34+I61+J76+I84+I98+I19</f>
        <v>342.79300000000001</v>
      </c>
      <c r="J113" s="147">
        <f t="shared" si="39"/>
        <v>224.61600000000001</v>
      </c>
      <c r="K113" s="147">
        <f t="shared" si="39"/>
        <v>320.77970800000003</v>
      </c>
      <c r="L113" s="147">
        <f>L23+L26+L31+L34+L61+L76+L84+L98+L19</f>
        <v>343.19099999999997</v>
      </c>
      <c r="M113" s="289">
        <f t="shared" si="24"/>
        <v>317.12082325964013</v>
      </c>
      <c r="N113" s="289">
        <f t="shared" si="24"/>
        <v>319.48050737672065</v>
      </c>
      <c r="O113" s="289">
        <f t="shared" si="24"/>
        <v>226.38497217255636</v>
      </c>
      <c r="P113" s="289">
        <f t="shared" si="24"/>
        <v>331.55114148455004</v>
      </c>
      <c r="Q113" s="289">
        <f t="shared" si="24"/>
        <v>345.58103846200322</v>
      </c>
    </row>
    <row r="114" spans="1:17" ht="23.25" hidden="1" customHeight="1" x14ac:dyDescent="0.2">
      <c r="A114" s="397"/>
      <c r="B114" s="146" t="s">
        <v>130</v>
      </c>
      <c r="C114" s="147">
        <f>C52+C65+C66</f>
        <v>0</v>
      </c>
      <c r="D114" s="147">
        <f t="shared" ref="D114:H114" si="40">D52+D65+D66</f>
        <v>0</v>
      </c>
      <c r="E114" s="147">
        <f t="shared" si="40"/>
        <v>0</v>
      </c>
      <c r="F114" s="147">
        <f t="shared" si="40"/>
        <v>0</v>
      </c>
      <c r="G114" s="147">
        <f t="shared" si="40"/>
        <v>0</v>
      </c>
      <c r="H114" s="147">
        <f t="shared" si="40"/>
        <v>0</v>
      </c>
      <c r="I114" s="147">
        <f t="shared" ref="I114:L114" si="41">I52+I65+I66</f>
        <v>0</v>
      </c>
      <c r="J114" s="147">
        <f t="shared" si="41"/>
        <v>0</v>
      </c>
      <c r="K114" s="147">
        <f t="shared" si="41"/>
        <v>0</v>
      </c>
      <c r="L114" s="147">
        <f t="shared" si="41"/>
        <v>0</v>
      </c>
      <c r="M114" s="289" t="e">
        <f t="shared" si="24"/>
        <v>#DIV/0!</v>
      </c>
      <c r="N114" s="289" t="e">
        <f t="shared" si="24"/>
        <v>#DIV/0!</v>
      </c>
      <c r="O114" s="289" t="e">
        <f t="shared" si="24"/>
        <v>#DIV/0!</v>
      </c>
      <c r="P114" s="289" t="e">
        <f t="shared" si="24"/>
        <v>#DIV/0!</v>
      </c>
      <c r="Q114" s="289" t="e">
        <f t="shared" si="24"/>
        <v>#DIV/0!</v>
      </c>
    </row>
    <row r="115" spans="1:17" s="66" customFormat="1" ht="23.25" customHeight="1" x14ac:dyDescent="0.2">
      <c r="A115" s="397"/>
      <c r="B115" s="146" t="s">
        <v>120</v>
      </c>
      <c r="C115" s="147">
        <f>C8+C13+C14+C17+C18+C22+C24+C28+C32+C36+C37+C38+C46+C49+C50+C53+C56+C57+C62+C63+C67+C69+C70+C74+C85+C86+C88+C91+C96+C101+C102+C103+C105+C94+C110+C10+C71+C109+C58+C107+C108+C20</f>
        <v>577.58499999999992</v>
      </c>
      <c r="D115" s="147">
        <f t="shared" ref="D115:G115" si="42">D8+D13+D14+D17+D18+D22+D24+D28+D32+D36+D37+D38+D46+D49+D50+D53+D56+D57+D62+D63+D67+D69+D70+D74+D85+D86+D88+D91+D96+D101+D102+D103+D105+D94+D110+D10+D71+D109+D58+D107+D108+D20</f>
        <v>621.32949999999983</v>
      </c>
      <c r="E115" s="147">
        <f t="shared" si="42"/>
        <v>524.96249999999998</v>
      </c>
      <c r="F115" s="147">
        <f t="shared" si="42"/>
        <v>537.75300000000004</v>
      </c>
      <c r="G115" s="147">
        <f t="shared" si="42"/>
        <v>527.29300000000001</v>
      </c>
      <c r="H115" s="147">
        <v>353.06513931878976</v>
      </c>
      <c r="I115" s="147">
        <f t="shared" ref="I115:L115" si="43">I8+I13+I14+I17+I18+I22+I24+I28+I32+I36+I37+I38+I46+I49+I50+I53+I56+I57+I62+I63+I67+I69+I70+I74+I85+I86+I88+I91+I96+I101+I102+I103+I105+I94+I110+I10+I71+I109+I58+I107+I108+I20</f>
        <v>380.07339999999999</v>
      </c>
      <c r="J115" s="147">
        <f t="shared" si="43"/>
        <v>317.7</v>
      </c>
      <c r="K115" s="147">
        <f t="shared" si="43"/>
        <v>384.70989099999991</v>
      </c>
      <c r="L115" s="147">
        <f t="shared" si="43"/>
        <v>364.15620000000001</v>
      </c>
      <c r="M115" s="289">
        <f t="shared" si="24"/>
        <v>611.27823492436573</v>
      </c>
      <c r="N115" s="289">
        <f t="shared" si="24"/>
        <v>611.70988984105873</v>
      </c>
      <c r="O115" s="289">
        <f t="shared" si="24"/>
        <v>605.18608472033725</v>
      </c>
      <c r="P115" s="289">
        <f t="shared" si="24"/>
        <v>715.40259375586913</v>
      </c>
      <c r="Q115" s="289">
        <f t="shared" si="24"/>
        <v>690.61451602809063</v>
      </c>
    </row>
    <row r="116" spans="1:17" ht="18" x14ac:dyDescent="0.2">
      <c r="A116" s="397"/>
      <c r="B116" s="146" t="s">
        <v>10</v>
      </c>
      <c r="C116" s="148">
        <f t="shared" ref="C116:L116" si="44">SUM(C112:C115)</f>
        <v>2177.567</v>
      </c>
      <c r="D116" s="148">
        <f t="shared" si="44"/>
        <v>1885.4254999999998</v>
      </c>
      <c r="E116" s="148">
        <f t="shared" si="44"/>
        <v>1722.1985</v>
      </c>
      <c r="F116" s="148">
        <f t="shared" si="44"/>
        <v>1779.92</v>
      </c>
      <c r="G116" s="148">
        <f>SUM(G112:G115)</f>
        <v>1670.5459999999998</v>
      </c>
      <c r="H116" s="148">
        <f>SUM(H112:H115)</f>
        <v>891.68153200000017</v>
      </c>
      <c r="I116" s="148">
        <f t="shared" si="44"/>
        <v>831.47339999999997</v>
      </c>
      <c r="J116" s="148">
        <f t="shared" si="44"/>
        <v>629.14550000000008</v>
      </c>
      <c r="K116" s="148">
        <f t="shared" si="44"/>
        <v>873.28481799999986</v>
      </c>
      <c r="L116" s="148">
        <f t="shared" si="44"/>
        <v>799.34019999999998</v>
      </c>
      <c r="M116" s="289">
        <f t="shared" si="24"/>
        <v>409.48523374940936</v>
      </c>
      <c r="N116" s="289">
        <f t="shared" si="24"/>
        <v>441.00040017492074</v>
      </c>
      <c r="O116" s="289">
        <f t="shared" si="24"/>
        <v>365.31532224653552</v>
      </c>
      <c r="P116" s="289">
        <f t="shared" si="24"/>
        <v>490.63149916850188</v>
      </c>
      <c r="Q116" s="289">
        <f t="shared" si="24"/>
        <v>478.490385778063</v>
      </c>
    </row>
    <row r="117" spans="1:17" ht="18" x14ac:dyDescent="0.2">
      <c r="A117" s="177" t="s">
        <v>138</v>
      </c>
      <c r="E117" s="58"/>
      <c r="F117" s="58"/>
      <c r="G117" s="58"/>
      <c r="H117" s="68"/>
      <c r="I117" s="68"/>
      <c r="J117" s="68"/>
      <c r="K117" s="68"/>
      <c r="L117" s="68"/>
      <c r="M117" s="69"/>
      <c r="N117" s="69"/>
      <c r="O117" s="69"/>
      <c r="P117" s="69"/>
      <c r="Q117" s="69"/>
    </row>
  </sheetData>
  <mergeCells count="41">
    <mergeCell ref="B81:B82"/>
    <mergeCell ref="C81:G81"/>
    <mergeCell ref="H81:L81"/>
    <mergeCell ref="M81:Q81"/>
    <mergeCell ref="A2:Q2"/>
    <mergeCell ref="C43:G43"/>
    <mergeCell ref="H43:L43"/>
    <mergeCell ref="M43:Q43"/>
    <mergeCell ref="B43:B44"/>
    <mergeCell ref="A7:A9"/>
    <mergeCell ref="A10:A11"/>
    <mergeCell ref="A16:A21"/>
    <mergeCell ref="A4:A5"/>
    <mergeCell ref="B4:B5"/>
    <mergeCell ref="C4:G4"/>
    <mergeCell ref="M4:Q4"/>
    <mergeCell ref="H4:L4"/>
    <mergeCell ref="A45:A47"/>
    <mergeCell ref="A48:A51"/>
    <mergeCell ref="A52:A54"/>
    <mergeCell ref="A55:A59"/>
    <mergeCell ref="A12:A15"/>
    <mergeCell ref="A43:A44"/>
    <mergeCell ref="A23:A25"/>
    <mergeCell ref="A26:A29"/>
    <mergeCell ref="A30:A33"/>
    <mergeCell ref="A34:A39"/>
    <mergeCell ref="A105:A106"/>
    <mergeCell ref="A98:A99"/>
    <mergeCell ref="A110:A111"/>
    <mergeCell ref="A112:A116"/>
    <mergeCell ref="A71:A72"/>
    <mergeCell ref="A73:A75"/>
    <mergeCell ref="A84:A87"/>
    <mergeCell ref="A88:A89"/>
    <mergeCell ref="A76:A77"/>
    <mergeCell ref="A90:A92"/>
    <mergeCell ref="A81:A82"/>
    <mergeCell ref="A93:A95"/>
    <mergeCell ref="A96:A97"/>
    <mergeCell ref="A100:A104"/>
  </mergeCells>
  <printOptions horizontalCentered="1" verticalCentered="1"/>
  <pageMargins left="0.31496062992126" right="0.31496062992126" top="0.511811023622047" bottom="0.511811023622047" header="0.511811023622047" footer="0.511811023622047"/>
  <pageSetup paperSize="9" scale="57" orientation="landscape" r:id="rId1"/>
  <headerFooter alignWithMargins="0"/>
  <rowBreaks count="2" manualBreakCount="2">
    <brk id="40" max="16383" man="1"/>
    <brk id="78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abSelected="1" view="pageBreakPreview" zoomScale="60" zoomScaleNormal="75" workbookViewId="0">
      <pane xSplit="2" ySplit="5" topLeftCell="C6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30" style="58" customWidth="1"/>
    <col min="2" max="2" width="25.85546875" style="58" customWidth="1"/>
    <col min="3" max="7" width="13.7109375" style="70" customWidth="1"/>
    <col min="8" max="12" width="13.7109375" style="67" customWidth="1"/>
    <col min="13" max="17" width="13.7109375" style="58" customWidth="1"/>
    <col min="18" max="16384" width="9.140625" style="58"/>
  </cols>
  <sheetData>
    <row r="1" spans="1:17" ht="21.75" customHeight="1" x14ac:dyDescent="0.2">
      <c r="A1" s="407" t="s">
        <v>198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17" ht="22.5" customHeight="1" x14ac:dyDescent="0.2">
      <c r="A2" s="138"/>
      <c r="B2" s="138"/>
      <c r="C2" s="158"/>
      <c r="D2" s="158"/>
      <c r="E2" s="158"/>
      <c r="F2" s="158"/>
      <c r="G2" s="158"/>
      <c r="H2" s="159"/>
      <c r="I2" s="159"/>
      <c r="J2" s="159"/>
      <c r="K2" s="159"/>
      <c r="L2" s="159"/>
      <c r="M2" s="141"/>
      <c r="N2" s="141"/>
      <c r="O2" s="141"/>
      <c r="P2" s="141"/>
      <c r="Q2" s="141"/>
    </row>
    <row r="3" spans="1:17" ht="18" x14ac:dyDescent="0.2">
      <c r="A3" s="402" t="s">
        <v>1</v>
      </c>
      <c r="B3" s="293" t="s">
        <v>0</v>
      </c>
      <c r="C3" s="342" t="s">
        <v>174</v>
      </c>
      <c r="D3" s="342"/>
      <c r="E3" s="342"/>
      <c r="F3" s="342"/>
      <c r="G3" s="342"/>
      <c r="H3" s="342" t="s">
        <v>68</v>
      </c>
      <c r="I3" s="342"/>
      <c r="J3" s="342"/>
      <c r="K3" s="342"/>
      <c r="L3" s="342"/>
      <c r="M3" s="342" t="s">
        <v>89</v>
      </c>
      <c r="N3" s="342"/>
      <c r="O3" s="342"/>
      <c r="P3" s="342"/>
      <c r="Q3" s="342"/>
    </row>
    <row r="4" spans="1:17" ht="33.75" customHeight="1" x14ac:dyDescent="0.2">
      <c r="A4" s="402"/>
      <c r="B4" s="293"/>
      <c r="C4" s="290" t="s">
        <v>112</v>
      </c>
      <c r="D4" s="290" t="s">
        <v>164</v>
      </c>
      <c r="E4" s="290" t="s">
        <v>199</v>
      </c>
      <c r="F4" s="290" t="s">
        <v>200</v>
      </c>
      <c r="G4" s="273" t="s">
        <v>202</v>
      </c>
      <c r="H4" s="290" t="s">
        <v>112</v>
      </c>
      <c r="I4" s="290" t="s">
        <v>164</v>
      </c>
      <c r="J4" s="290" t="s">
        <v>199</v>
      </c>
      <c r="K4" s="290" t="s">
        <v>200</v>
      </c>
      <c r="L4" s="273" t="s">
        <v>202</v>
      </c>
      <c r="M4" s="339" t="s">
        <v>112</v>
      </c>
      <c r="N4" s="339" t="s">
        <v>164</v>
      </c>
      <c r="O4" s="339" t="s">
        <v>199</v>
      </c>
      <c r="P4" s="339" t="s">
        <v>200</v>
      </c>
      <c r="Q4" s="339" t="s">
        <v>202</v>
      </c>
    </row>
    <row r="5" spans="1:17" s="63" customFormat="1" ht="18" x14ac:dyDescent="0.2">
      <c r="A5" s="216">
        <v>1</v>
      </c>
      <c r="B5" s="176">
        <v>2</v>
      </c>
      <c r="C5" s="176">
        <v>3</v>
      </c>
      <c r="D5" s="176">
        <v>4</v>
      </c>
      <c r="E5" s="176">
        <v>5</v>
      </c>
      <c r="F5" s="176">
        <v>6</v>
      </c>
      <c r="G5" s="176">
        <v>7</v>
      </c>
      <c r="H5" s="176">
        <v>8</v>
      </c>
      <c r="I5" s="176">
        <v>9</v>
      </c>
      <c r="J5" s="176">
        <v>10</v>
      </c>
      <c r="K5" s="176">
        <v>11</v>
      </c>
      <c r="L5" s="176">
        <v>12</v>
      </c>
      <c r="M5" s="176">
        <v>13</v>
      </c>
      <c r="N5" s="176">
        <v>14</v>
      </c>
      <c r="O5" s="176">
        <v>15</v>
      </c>
      <c r="P5" s="176">
        <v>16</v>
      </c>
      <c r="Q5" s="176">
        <v>17</v>
      </c>
    </row>
    <row r="6" spans="1:17" ht="27.75" customHeight="1" x14ac:dyDescent="0.2">
      <c r="A6" s="397" t="s">
        <v>2</v>
      </c>
      <c r="B6" s="216" t="s">
        <v>119</v>
      </c>
      <c r="C6" s="160">
        <v>11</v>
      </c>
      <c r="D6" s="143">
        <v>22</v>
      </c>
      <c r="E6" s="143">
        <v>62</v>
      </c>
      <c r="F6" s="143">
        <v>30</v>
      </c>
      <c r="G6" s="143">
        <v>23</v>
      </c>
      <c r="H6" s="161">
        <v>6</v>
      </c>
      <c r="I6" s="143">
        <v>15</v>
      </c>
      <c r="J6" s="143">
        <v>28</v>
      </c>
      <c r="K6" s="143">
        <v>17</v>
      </c>
      <c r="L6" s="143">
        <v>13</v>
      </c>
      <c r="M6" s="145">
        <f t="shared" ref="M6:Q38" si="0">H6/C6*1000</f>
        <v>545.45454545454538</v>
      </c>
      <c r="N6" s="145">
        <f t="shared" si="0"/>
        <v>681.81818181818176</v>
      </c>
      <c r="O6" s="145">
        <f t="shared" si="0"/>
        <v>451.61290322580646</v>
      </c>
      <c r="P6" s="145">
        <f t="shared" si="0"/>
        <v>566.66666666666663</v>
      </c>
      <c r="Q6" s="145">
        <f t="shared" si="0"/>
        <v>565.21739130434776</v>
      </c>
    </row>
    <row r="7" spans="1:17" ht="27.75" customHeight="1" x14ac:dyDescent="0.2">
      <c r="A7" s="397"/>
      <c r="B7" s="142" t="s">
        <v>120</v>
      </c>
      <c r="C7" s="160">
        <v>12</v>
      </c>
      <c r="D7" s="143">
        <f>10+11</f>
        <v>21</v>
      </c>
      <c r="E7" s="143">
        <f>13+11</f>
        <v>24</v>
      </c>
      <c r="F7" s="143">
        <v>18</v>
      </c>
      <c r="G7" s="143">
        <v>15</v>
      </c>
      <c r="H7" s="161">
        <v>11</v>
      </c>
      <c r="I7" s="143">
        <f>7+12</f>
        <v>19</v>
      </c>
      <c r="J7" s="143">
        <f>7+8</f>
        <v>15</v>
      </c>
      <c r="K7" s="143">
        <v>14</v>
      </c>
      <c r="L7" s="143">
        <v>15</v>
      </c>
      <c r="M7" s="145">
        <f t="shared" si="0"/>
        <v>916.66666666666663</v>
      </c>
      <c r="N7" s="145">
        <f t="shared" si="0"/>
        <v>904.76190476190482</v>
      </c>
      <c r="O7" s="145">
        <f t="shared" si="0"/>
        <v>625</v>
      </c>
      <c r="P7" s="145">
        <f t="shared" si="0"/>
        <v>777.77777777777783</v>
      </c>
      <c r="Q7" s="145">
        <f t="shared" si="0"/>
        <v>1000</v>
      </c>
    </row>
    <row r="8" spans="1:17" s="66" customFormat="1" ht="27.75" customHeight="1" x14ac:dyDescent="0.2">
      <c r="A8" s="397"/>
      <c r="B8" s="146" t="s">
        <v>10</v>
      </c>
      <c r="C8" s="147">
        <f t="shared" ref="C8:L8" si="1">SUM(C6:C7)</f>
        <v>23</v>
      </c>
      <c r="D8" s="147">
        <f t="shared" si="1"/>
        <v>43</v>
      </c>
      <c r="E8" s="147">
        <f t="shared" si="1"/>
        <v>86</v>
      </c>
      <c r="F8" s="147">
        <f t="shared" si="1"/>
        <v>48</v>
      </c>
      <c r="G8" s="147">
        <f t="shared" si="1"/>
        <v>38</v>
      </c>
      <c r="H8" s="147">
        <f t="shared" si="1"/>
        <v>17</v>
      </c>
      <c r="I8" s="147">
        <f t="shared" si="1"/>
        <v>34</v>
      </c>
      <c r="J8" s="147">
        <f t="shared" si="1"/>
        <v>43</v>
      </c>
      <c r="K8" s="147">
        <f t="shared" si="1"/>
        <v>31</v>
      </c>
      <c r="L8" s="147">
        <f t="shared" si="1"/>
        <v>28</v>
      </c>
      <c r="M8" s="289">
        <f t="shared" si="0"/>
        <v>739.13043478260863</v>
      </c>
      <c r="N8" s="289">
        <f t="shared" si="0"/>
        <v>790.69767441860461</v>
      </c>
      <c r="O8" s="289">
        <f t="shared" si="0"/>
        <v>500</v>
      </c>
      <c r="P8" s="289">
        <f t="shared" si="0"/>
        <v>645.83333333333337</v>
      </c>
      <c r="Q8" s="289">
        <f t="shared" si="0"/>
        <v>736.8421052631578</v>
      </c>
    </row>
    <row r="9" spans="1:17" ht="27.75" customHeight="1" x14ac:dyDescent="0.2">
      <c r="A9" s="397" t="s">
        <v>94</v>
      </c>
      <c r="B9" s="142" t="s">
        <v>120</v>
      </c>
      <c r="C9" s="169">
        <v>4.9009999999999998</v>
      </c>
      <c r="D9" s="143">
        <f>3.67+1.268</f>
        <v>4.9379999999999997</v>
      </c>
      <c r="E9" s="169">
        <v>4.96</v>
      </c>
      <c r="F9" s="169">
        <v>4.9770000000000003</v>
      </c>
      <c r="G9" s="169">
        <f>3.706+1.275</f>
        <v>4.9809999999999999</v>
      </c>
      <c r="H9" s="169">
        <f>5.189+0.765</f>
        <v>5.9539999999999997</v>
      </c>
      <c r="I9" s="169">
        <f>5.239+0.815</f>
        <v>6.0540000000000003</v>
      </c>
      <c r="J9" s="169">
        <v>6.59</v>
      </c>
      <c r="K9" s="169">
        <v>6.2560000000000002</v>
      </c>
      <c r="L9" s="169">
        <f>5.472+0.844</f>
        <v>6.3160000000000007</v>
      </c>
      <c r="M9" s="145">
        <f t="shared" si="0"/>
        <v>1214.8541114058355</v>
      </c>
      <c r="N9" s="145">
        <f t="shared" si="0"/>
        <v>1226.0024301336573</v>
      </c>
      <c r="O9" s="145">
        <f t="shared" si="0"/>
        <v>1328.6290322580644</v>
      </c>
      <c r="P9" s="145">
        <f t="shared" si="0"/>
        <v>1256.9821177416113</v>
      </c>
      <c r="Q9" s="145">
        <f t="shared" si="0"/>
        <v>1268.0184701867097</v>
      </c>
    </row>
    <row r="10" spans="1:17" s="66" customFormat="1" ht="27.75" customHeight="1" x14ac:dyDescent="0.2">
      <c r="A10" s="397"/>
      <c r="B10" s="146" t="s">
        <v>10</v>
      </c>
      <c r="C10" s="147">
        <f t="shared" ref="C10:L10" si="2">SUM(C9:C9)</f>
        <v>4.9009999999999998</v>
      </c>
      <c r="D10" s="147">
        <f t="shared" si="2"/>
        <v>4.9379999999999997</v>
      </c>
      <c r="E10" s="147">
        <f t="shared" si="2"/>
        <v>4.96</v>
      </c>
      <c r="F10" s="147">
        <f t="shared" si="2"/>
        <v>4.9770000000000003</v>
      </c>
      <c r="G10" s="147">
        <f t="shared" si="2"/>
        <v>4.9809999999999999</v>
      </c>
      <c r="H10" s="147">
        <f t="shared" si="2"/>
        <v>5.9539999999999997</v>
      </c>
      <c r="I10" s="147">
        <f t="shared" si="2"/>
        <v>6.0540000000000003</v>
      </c>
      <c r="J10" s="147">
        <f t="shared" si="2"/>
        <v>6.59</v>
      </c>
      <c r="K10" s="147">
        <f t="shared" si="2"/>
        <v>6.2560000000000002</v>
      </c>
      <c r="L10" s="147">
        <f t="shared" si="2"/>
        <v>6.3160000000000007</v>
      </c>
      <c r="M10" s="289">
        <f t="shared" si="0"/>
        <v>1214.8541114058355</v>
      </c>
      <c r="N10" s="289">
        <f t="shared" si="0"/>
        <v>1226.0024301336573</v>
      </c>
      <c r="O10" s="289">
        <f t="shared" si="0"/>
        <v>1328.6290322580644</v>
      </c>
      <c r="P10" s="289">
        <f t="shared" si="0"/>
        <v>1256.9821177416113</v>
      </c>
      <c r="Q10" s="289">
        <f t="shared" si="0"/>
        <v>1268.0184701867097</v>
      </c>
    </row>
    <row r="11" spans="1:17" ht="27.75" customHeight="1" x14ac:dyDescent="0.2">
      <c r="A11" s="397" t="s">
        <v>98</v>
      </c>
      <c r="B11" s="142" t="s">
        <v>145</v>
      </c>
      <c r="C11" s="160">
        <v>28.68</v>
      </c>
      <c r="D11" s="143">
        <v>30.968</v>
      </c>
      <c r="E11" s="143">
        <v>29.86</v>
      </c>
      <c r="F11" s="143">
        <v>27.890999999999998</v>
      </c>
      <c r="G11" s="143">
        <v>27.984000000000002</v>
      </c>
      <c r="H11" s="143">
        <v>26.007999999999999</v>
      </c>
      <c r="I11" s="143">
        <v>28.869</v>
      </c>
      <c r="J11" s="143">
        <v>27.965</v>
      </c>
      <c r="K11" s="143">
        <v>26.081</v>
      </c>
      <c r="L11" s="143">
        <v>25.771999999999998</v>
      </c>
      <c r="M11" s="145">
        <f t="shared" si="0"/>
        <v>906.83403068340306</v>
      </c>
      <c r="N11" s="145">
        <f t="shared" si="0"/>
        <v>932.22035649702912</v>
      </c>
      <c r="O11" s="145">
        <f t="shared" si="0"/>
        <v>936.53717347622239</v>
      </c>
      <c r="P11" s="145">
        <f t="shared" si="0"/>
        <v>935.10451400093223</v>
      </c>
      <c r="Q11" s="145">
        <f t="shared" si="0"/>
        <v>920.95483133218966</v>
      </c>
    </row>
    <row r="12" spans="1:17" ht="27.75" customHeight="1" x14ac:dyDescent="0.2">
      <c r="A12" s="397"/>
      <c r="B12" s="142" t="s">
        <v>97</v>
      </c>
      <c r="C12" s="160">
        <v>17.62</v>
      </c>
      <c r="D12" s="143">
        <f>14.801</f>
        <v>14.801</v>
      </c>
      <c r="E12" s="143">
        <f>14.865</f>
        <v>14.865</v>
      </c>
      <c r="F12" s="143">
        <v>15.006</v>
      </c>
      <c r="G12" s="143">
        <v>15.831</v>
      </c>
      <c r="H12" s="143">
        <v>13.057</v>
      </c>
      <c r="I12" s="143">
        <v>11.766</v>
      </c>
      <c r="J12" s="143">
        <v>12.263999999999999</v>
      </c>
      <c r="K12" s="143">
        <v>12.467000000000001</v>
      </c>
      <c r="L12" s="143">
        <v>14.09</v>
      </c>
      <c r="M12" s="145">
        <f t="shared" si="0"/>
        <v>741.03291713961403</v>
      </c>
      <c r="N12" s="145">
        <f t="shared" si="0"/>
        <v>794.94628741301267</v>
      </c>
      <c r="O12" s="145">
        <f t="shared" si="0"/>
        <v>825.02522704339049</v>
      </c>
      <c r="P12" s="145">
        <f t="shared" si="0"/>
        <v>830.80101292816209</v>
      </c>
      <c r="Q12" s="145">
        <f t="shared" si="0"/>
        <v>890.02589855347105</v>
      </c>
    </row>
    <row r="13" spans="1:17" s="66" customFormat="1" ht="27.75" customHeight="1" x14ac:dyDescent="0.2">
      <c r="A13" s="397"/>
      <c r="B13" s="146" t="s">
        <v>10</v>
      </c>
      <c r="C13" s="147">
        <f t="shared" ref="C13:L13" si="3">SUM(C11:C12)</f>
        <v>46.3</v>
      </c>
      <c r="D13" s="147">
        <f t="shared" si="3"/>
        <v>45.768999999999998</v>
      </c>
      <c r="E13" s="147">
        <f t="shared" si="3"/>
        <v>44.725000000000001</v>
      </c>
      <c r="F13" s="147">
        <f t="shared" si="3"/>
        <v>42.896999999999998</v>
      </c>
      <c r="G13" s="147">
        <f t="shared" si="3"/>
        <v>43.814999999999998</v>
      </c>
      <c r="H13" s="147">
        <f t="shared" si="3"/>
        <v>39.064999999999998</v>
      </c>
      <c r="I13" s="147">
        <f t="shared" si="3"/>
        <v>40.634999999999998</v>
      </c>
      <c r="J13" s="147">
        <f t="shared" si="3"/>
        <v>40.228999999999999</v>
      </c>
      <c r="K13" s="147">
        <f t="shared" si="3"/>
        <v>38.548000000000002</v>
      </c>
      <c r="L13" s="147">
        <f t="shared" si="3"/>
        <v>39.861999999999995</v>
      </c>
      <c r="M13" s="289">
        <f t="shared" si="0"/>
        <v>843.73650107991364</v>
      </c>
      <c r="N13" s="289">
        <f t="shared" si="0"/>
        <v>887.82800585549171</v>
      </c>
      <c r="O13" s="289">
        <f t="shared" si="0"/>
        <v>899.4745667970933</v>
      </c>
      <c r="P13" s="289">
        <f t="shared" si="0"/>
        <v>898.61761894771212</v>
      </c>
      <c r="Q13" s="289">
        <f t="shared" si="0"/>
        <v>909.77975579139559</v>
      </c>
    </row>
    <row r="14" spans="1:17" ht="27.75" customHeight="1" x14ac:dyDescent="0.2">
      <c r="A14" s="397" t="s">
        <v>48</v>
      </c>
      <c r="B14" s="142" t="s">
        <v>145</v>
      </c>
      <c r="C14" s="160">
        <v>16.401</v>
      </c>
      <c r="D14" s="143">
        <v>16.437000000000001</v>
      </c>
      <c r="E14" s="143">
        <v>16.545000000000002</v>
      </c>
      <c r="F14" s="143">
        <v>17.378</v>
      </c>
      <c r="G14" s="143">
        <v>18.64</v>
      </c>
      <c r="H14" s="143">
        <v>16.736000000000001</v>
      </c>
      <c r="I14" s="143">
        <v>16.943999999999999</v>
      </c>
      <c r="J14" s="143">
        <v>17.146999999999998</v>
      </c>
      <c r="K14" s="143">
        <v>18.059000000000001</v>
      </c>
      <c r="L14" s="143">
        <v>19.428999999999998</v>
      </c>
      <c r="M14" s="145">
        <f t="shared" si="0"/>
        <v>1020.4255838058656</v>
      </c>
      <c r="N14" s="145">
        <f t="shared" si="0"/>
        <v>1030.845044716189</v>
      </c>
      <c r="O14" s="145">
        <f t="shared" si="0"/>
        <v>1036.3856149894227</v>
      </c>
      <c r="P14" s="145">
        <f t="shared" si="0"/>
        <v>1039.187478420992</v>
      </c>
      <c r="Q14" s="145">
        <f t="shared" si="0"/>
        <v>1042.3283261802574</v>
      </c>
    </row>
    <row r="15" spans="1:17" ht="27.75" customHeight="1" x14ac:dyDescent="0.2">
      <c r="A15" s="397"/>
      <c r="B15" s="142" t="s">
        <v>146</v>
      </c>
      <c r="C15" s="160">
        <v>52.101999999999997</v>
      </c>
      <c r="D15" s="143">
        <v>47.591000000000001</v>
      </c>
      <c r="E15" s="143">
        <v>50.451999999999998</v>
      </c>
      <c r="F15" s="143">
        <v>43.783999999999999</v>
      </c>
      <c r="G15" s="143">
        <v>39.524000000000001</v>
      </c>
      <c r="H15" s="143">
        <v>55.176000000000002</v>
      </c>
      <c r="I15" s="143">
        <v>50.314</v>
      </c>
      <c r="J15" s="143">
        <v>51.378999999999998</v>
      </c>
      <c r="K15" s="143">
        <v>33.286999999999999</v>
      </c>
      <c r="L15" s="143">
        <v>42.8</v>
      </c>
      <c r="M15" s="145">
        <f t="shared" si="0"/>
        <v>1058.9996545238187</v>
      </c>
      <c r="N15" s="145">
        <f t="shared" si="0"/>
        <v>1057.2167006366751</v>
      </c>
      <c r="O15" s="145">
        <f t="shared" si="0"/>
        <v>1018.3738999445018</v>
      </c>
      <c r="P15" s="145">
        <f t="shared" si="0"/>
        <v>760.25488763018461</v>
      </c>
      <c r="Q15" s="145">
        <f t="shared" si="0"/>
        <v>1082.8863475356745</v>
      </c>
    </row>
    <row r="16" spans="1:17" ht="27.75" customHeight="1" x14ac:dyDescent="0.2">
      <c r="A16" s="397"/>
      <c r="B16" s="142" t="s">
        <v>97</v>
      </c>
      <c r="C16" s="160">
        <v>2.3410000000000002</v>
      </c>
      <c r="D16" s="143">
        <f>1.419</f>
        <v>1.419</v>
      </c>
      <c r="E16" s="143">
        <v>1.1180000000000001</v>
      </c>
      <c r="F16" s="143">
        <v>1.091</v>
      </c>
      <c r="G16" s="143">
        <v>0.95699999999999996</v>
      </c>
      <c r="H16" s="143">
        <v>2.3519999999999999</v>
      </c>
      <c r="I16" s="143">
        <v>1.4259999999999999</v>
      </c>
      <c r="J16" s="143">
        <v>1.123</v>
      </c>
      <c r="K16" s="143">
        <v>1.0960000000000001</v>
      </c>
      <c r="L16" s="143">
        <v>0.96099999999999997</v>
      </c>
      <c r="M16" s="145">
        <f t="shared" si="0"/>
        <v>1004.6988466467319</v>
      </c>
      <c r="N16" s="145">
        <f t="shared" si="0"/>
        <v>1004.9330514446792</v>
      </c>
      <c r="O16" s="145">
        <f t="shared" si="0"/>
        <v>1004.4722719141323</v>
      </c>
      <c r="P16" s="145">
        <f t="shared" si="0"/>
        <v>1004.5829514207149</v>
      </c>
      <c r="Q16" s="145">
        <f t="shared" si="0"/>
        <v>1004.1797283176594</v>
      </c>
    </row>
    <row r="17" spans="1:17" s="66" customFormat="1" ht="27.75" customHeight="1" x14ac:dyDescent="0.2">
      <c r="A17" s="397"/>
      <c r="B17" s="146" t="s">
        <v>10</v>
      </c>
      <c r="C17" s="147">
        <f t="shared" ref="C17:L17" si="4">SUM(C14:C16)</f>
        <v>70.843999999999994</v>
      </c>
      <c r="D17" s="147">
        <f t="shared" si="4"/>
        <v>65.447000000000003</v>
      </c>
      <c r="E17" s="147">
        <f t="shared" si="4"/>
        <v>68.114999999999995</v>
      </c>
      <c r="F17" s="147">
        <f t="shared" si="4"/>
        <v>62.253</v>
      </c>
      <c r="G17" s="147">
        <f t="shared" si="4"/>
        <v>59.121000000000002</v>
      </c>
      <c r="H17" s="147">
        <f t="shared" si="4"/>
        <v>74.26400000000001</v>
      </c>
      <c r="I17" s="147">
        <f t="shared" si="4"/>
        <v>68.683999999999997</v>
      </c>
      <c r="J17" s="147">
        <f t="shared" si="4"/>
        <v>69.649000000000001</v>
      </c>
      <c r="K17" s="147">
        <f t="shared" si="4"/>
        <v>52.442000000000007</v>
      </c>
      <c r="L17" s="147">
        <f t="shared" si="4"/>
        <v>63.19</v>
      </c>
      <c r="M17" s="289">
        <f t="shared" si="0"/>
        <v>1048.2750832815766</v>
      </c>
      <c r="N17" s="289">
        <f t="shared" si="0"/>
        <v>1049.4598682903722</v>
      </c>
      <c r="O17" s="289">
        <f t="shared" si="0"/>
        <v>1022.520736988916</v>
      </c>
      <c r="P17" s="289">
        <f t="shared" si="0"/>
        <v>842.40116942155407</v>
      </c>
      <c r="Q17" s="289">
        <f t="shared" si="0"/>
        <v>1068.8249522166404</v>
      </c>
    </row>
    <row r="18" spans="1:17" ht="27.75" customHeight="1" x14ac:dyDescent="0.2">
      <c r="A18" s="397" t="s">
        <v>47</v>
      </c>
      <c r="B18" s="142" t="s">
        <v>145</v>
      </c>
      <c r="C18" s="160">
        <v>18.5</v>
      </c>
      <c r="D18" s="143">
        <v>14.22</v>
      </c>
      <c r="E18" s="143">
        <v>11.54</v>
      </c>
      <c r="F18" s="143">
        <v>12.29</v>
      </c>
      <c r="G18" s="143">
        <v>10.67</v>
      </c>
      <c r="H18" s="161">
        <v>7.4</v>
      </c>
      <c r="I18" s="143">
        <v>5.38</v>
      </c>
      <c r="J18" s="143">
        <v>4.43</v>
      </c>
      <c r="K18" s="143">
        <v>4.76</v>
      </c>
      <c r="L18" s="143">
        <v>4.63</v>
      </c>
      <c r="M18" s="145">
        <f t="shared" si="0"/>
        <v>400</v>
      </c>
      <c r="N18" s="145">
        <f t="shared" si="0"/>
        <v>378.34036568213781</v>
      </c>
      <c r="O18" s="145">
        <f t="shared" si="0"/>
        <v>383.88214904679376</v>
      </c>
      <c r="P18" s="145">
        <f t="shared" si="0"/>
        <v>387.30675345809601</v>
      </c>
      <c r="Q18" s="145">
        <f t="shared" si="0"/>
        <v>433.92689784442359</v>
      </c>
    </row>
    <row r="19" spans="1:17" ht="27.75" customHeight="1" x14ac:dyDescent="0.2">
      <c r="A19" s="397"/>
      <c r="B19" s="216" t="s">
        <v>119</v>
      </c>
      <c r="C19" s="160">
        <v>4.2</v>
      </c>
      <c r="D19" s="143">
        <v>3.58</v>
      </c>
      <c r="E19" s="143">
        <v>2.57</v>
      </c>
      <c r="F19" s="143">
        <v>1.37</v>
      </c>
      <c r="G19" s="143">
        <v>0.15</v>
      </c>
      <c r="H19" s="161">
        <v>1.2</v>
      </c>
      <c r="I19" s="143">
        <v>1.04</v>
      </c>
      <c r="J19" s="143">
        <v>0.76</v>
      </c>
      <c r="K19" s="143">
        <v>0.44</v>
      </c>
      <c r="L19" s="143">
        <v>0.06</v>
      </c>
      <c r="M19" s="145">
        <f t="shared" si="0"/>
        <v>285.71428571428572</v>
      </c>
      <c r="N19" s="145">
        <f t="shared" si="0"/>
        <v>290.50279329608941</v>
      </c>
      <c r="O19" s="145">
        <f t="shared" si="0"/>
        <v>295.71984435797668</v>
      </c>
      <c r="P19" s="145">
        <f t="shared" si="0"/>
        <v>321.16788321167883</v>
      </c>
      <c r="Q19" s="145">
        <f t="shared" si="0"/>
        <v>400</v>
      </c>
    </row>
    <row r="20" spans="1:17" ht="27.75" customHeight="1" x14ac:dyDescent="0.2">
      <c r="A20" s="397"/>
      <c r="B20" s="142" t="s">
        <v>147</v>
      </c>
      <c r="C20" s="160">
        <v>308.89999999999998</v>
      </c>
      <c r="D20" s="143">
        <v>222.72</v>
      </c>
      <c r="E20" s="143">
        <v>183.16</v>
      </c>
      <c r="F20" s="143">
        <v>172.81</v>
      </c>
      <c r="G20" s="143">
        <v>152.32</v>
      </c>
      <c r="H20" s="161">
        <v>288.8</v>
      </c>
      <c r="I20" s="143">
        <v>128.51</v>
      </c>
      <c r="J20" s="143">
        <v>113.56</v>
      </c>
      <c r="K20" s="143">
        <v>67.22</v>
      </c>
      <c r="L20" s="143">
        <v>95.96</v>
      </c>
      <c r="M20" s="145">
        <f t="shared" si="0"/>
        <v>934.93039818711566</v>
      </c>
      <c r="N20" s="145">
        <f t="shared" si="0"/>
        <v>577.00251436781605</v>
      </c>
      <c r="O20" s="145">
        <f t="shared" si="0"/>
        <v>620.00436776588776</v>
      </c>
      <c r="P20" s="145">
        <f t="shared" si="0"/>
        <v>388.9821190903304</v>
      </c>
      <c r="Q20" s="145">
        <f t="shared" si="0"/>
        <v>629.98949579831935</v>
      </c>
    </row>
    <row r="21" spans="1:17" ht="27.75" hidden="1" customHeight="1" x14ac:dyDescent="0.2">
      <c r="A21" s="397"/>
      <c r="B21" s="142" t="s">
        <v>122</v>
      </c>
      <c r="C21" s="161">
        <v>0</v>
      </c>
      <c r="D21" s="143">
        <v>0</v>
      </c>
      <c r="E21" s="143">
        <v>0</v>
      </c>
      <c r="F21" s="143">
        <v>0</v>
      </c>
      <c r="G21" s="143">
        <v>0</v>
      </c>
      <c r="H21" s="161">
        <v>0</v>
      </c>
      <c r="I21" s="143">
        <v>0</v>
      </c>
      <c r="J21" s="143">
        <v>0</v>
      </c>
      <c r="K21" s="143">
        <v>0</v>
      </c>
      <c r="L21" s="143">
        <v>0</v>
      </c>
      <c r="M21" s="145" t="e">
        <f t="shared" si="0"/>
        <v>#DIV/0!</v>
      </c>
      <c r="N21" s="145" t="e">
        <f t="shared" si="0"/>
        <v>#DIV/0!</v>
      </c>
      <c r="O21" s="145" t="e">
        <f t="shared" si="0"/>
        <v>#DIV/0!</v>
      </c>
      <c r="P21" s="145" t="e">
        <f t="shared" si="0"/>
        <v>#DIV/0!</v>
      </c>
      <c r="Q21" s="145" t="e">
        <f t="shared" si="0"/>
        <v>#DIV/0!</v>
      </c>
    </row>
    <row r="22" spans="1:17" ht="27.75" customHeight="1" x14ac:dyDescent="0.2">
      <c r="A22" s="397"/>
      <c r="B22" s="142" t="s">
        <v>123</v>
      </c>
      <c r="C22" s="161">
        <v>0</v>
      </c>
      <c r="D22" s="143">
        <v>0.74</v>
      </c>
      <c r="E22" s="143">
        <f>1</f>
        <v>1</v>
      </c>
      <c r="F22" s="143">
        <v>0.63</v>
      </c>
      <c r="G22" s="143">
        <v>0.6</v>
      </c>
      <c r="H22" s="161">
        <v>0</v>
      </c>
      <c r="I22" s="143">
        <v>0.28999999999999998</v>
      </c>
      <c r="J22" s="143">
        <v>0.33</v>
      </c>
      <c r="K22" s="143">
        <v>0.24</v>
      </c>
      <c r="L22" s="143">
        <v>0.21</v>
      </c>
      <c r="M22" s="145" t="e">
        <f t="shared" si="0"/>
        <v>#DIV/0!</v>
      </c>
      <c r="N22" s="145">
        <f t="shared" si="0"/>
        <v>391.89189189189187</v>
      </c>
      <c r="O22" s="145">
        <f t="shared" si="0"/>
        <v>330</v>
      </c>
      <c r="P22" s="145">
        <f t="shared" si="0"/>
        <v>380.95238095238091</v>
      </c>
      <c r="Q22" s="145">
        <f t="shared" si="0"/>
        <v>350</v>
      </c>
    </row>
    <row r="23" spans="1:17" ht="27.75" customHeight="1" x14ac:dyDescent="0.2">
      <c r="A23" s="397"/>
      <c r="B23" s="142" t="s">
        <v>201</v>
      </c>
      <c r="C23" s="161">
        <v>0</v>
      </c>
      <c r="D23" s="143">
        <v>0</v>
      </c>
      <c r="E23" s="143">
        <v>0</v>
      </c>
      <c r="F23" s="143">
        <v>0.12</v>
      </c>
      <c r="G23" s="143">
        <v>0.11</v>
      </c>
      <c r="H23" s="161">
        <v>0</v>
      </c>
      <c r="I23" s="143">
        <v>0</v>
      </c>
      <c r="J23" s="143">
        <v>0</v>
      </c>
      <c r="K23" s="143">
        <v>0.04</v>
      </c>
      <c r="L23" s="143">
        <v>0.04</v>
      </c>
      <c r="M23" s="145" t="e">
        <f t="shared" si="0"/>
        <v>#DIV/0!</v>
      </c>
      <c r="N23" s="145" t="e">
        <f t="shared" si="0"/>
        <v>#DIV/0!</v>
      </c>
      <c r="O23" s="145" t="e">
        <f t="shared" si="0"/>
        <v>#DIV/0!</v>
      </c>
      <c r="P23" s="145">
        <f t="shared" si="0"/>
        <v>333.33333333333337</v>
      </c>
      <c r="Q23" s="145">
        <f t="shared" si="0"/>
        <v>363.63636363636363</v>
      </c>
    </row>
    <row r="24" spans="1:17" s="66" customFormat="1" ht="27.75" customHeight="1" x14ac:dyDescent="0.2">
      <c r="A24" s="397"/>
      <c r="B24" s="146" t="s">
        <v>10</v>
      </c>
      <c r="C24" s="147">
        <f t="shared" ref="C24:L24" si="5">SUM(C18:C23)</f>
        <v>331.59999999999997</v>
      </c>
      <c r="D24" s="147">
        <f t="shared" si="5"/>
        <v>241.26000000000002</v>
      </c>
      <c r="E24" s="147">
        <f t="shared" si="5"/>
        <v>198.26999999999998</v>
      </c>
      <c r="F24" s="147">
        <f t="shared" si="5"/>
        <v>187.22</v>
      </c>
      <c r="G24" s="147">
        <f t="shared" si="5"/>
        <v>163.85</v>
      </c>
      <c r="H24" s="147">
        <f t="shared" si="5"/>
        <v>297.40000000000003</v>
      </c>
      <c r="I24" s="147">
        <f t="shared" si="5"/>
        <v>135.21999999999997</v>
      </c>
      <c r="J24" s="147">
        <f t="shared" si="5"/>
        <v>119.08</v>
      </c>
      <c r="K24" s="147">
        <f t="shared" si="5"/>
        <v>72.7</v>
      </c>
      <c r="L24" s="147">
        <f t="shared" si="5"/>
        <v>100.89999999999999</v>
      </c>
      <c r="M24" s="145">
        <f t="shared" si="0"/>
        <v>896.86369119421011</v>
      </c>
      <c r="N24" s="145">
        <f t="shared" si="0"/>
        <v>560.4741772361765</v>
      </c>
      <c r="O24" s="145">
        <f t="shared" si="0"/>
        <v>600.59514803046352</v>
      </c>
      <c r="P24" s="145">
        <f t="shared" si="0"/>
        <v>388.31321440017092</v>
      </c>
      <c r="Q24" s="145">
        <f t="shared" si="0"/>
        <v>615.80714067744896</v>
      </c>
    </row>
    <row r="25" spans="1:17" ht="27.75" customHeight="1" x14ac:dyDescent="0.2">
      <c r="A25" s="146" t="s">
        <v>124</v>
      </c>
      <c r="B25" s="146" t="s">
        <v>10</v>
      </c>
      <c r="C25" s="168">
        <v>5.7450000000000001</v>
      </c>
      <c r="D25" s="148">
        <v>5.3449999999999998</v>
      </c>
      <c r="E25" s="148">
        <v>6.0330000000000004</v>
      </c>
      <c r="F25" s="148">
        <v>4.3970000000000002</v>
      </c>
      <c r="G25" s="148">
        <v>3.84</v>
      </c>
      <c r="H25" s="148">
        <v>5.7939999999999996</v>
      </c>
      <c r="I25" s="148">
        <v>4.6349999999999998</v>
      </c>
      <c r="J25" s="148">
        <v>6.18</v>
      </c>
      <c r="K25" s="148">
        <v>3.855</v>
      </c>
      <c r="L25" s="148">
        <v>3.7480000000000002</v>
      </c>
      <c r="M25" s="301">
        <f t="shared" si="0"/>
        <v>1008.5291557876412</v>
      </c>
      <c r="N25" s="301">
        <f t="shared" si="0"/>
        <v>867.16557530402247</v>
      </c>
      <c r="O25" s="301">
        <f t="shared" si="0"/>
        <v>1024.3659870711087</v>
      </c>
      <c r="P25" s="301">
        <f t="shared" si="0"/>
        <v>876.73413691153053</v>
      </c>
      <c r="Q25" s="301">
        <f t="shared" si="0"/>
        <v>976.04166666666686</v>
      </c>
    </row>
    <row r="26" spans="1:17" ht="27.75" customHeight="1" x14ac:dyDescent="0.2">
      <c r="A26" s="397" t="s">
        <v>4</v>
      </c>
      <c r="B26" s="142" t="s">
        <v>120</v>
      </c>
      <c r="C26" s="169">
        <v>18</v>
      </c>
      <c r="D26" s="143">
        <v>23</v>
      </c>
      <c r="E26" s="143">
        <v>20.34</v>
      </c>
      <c r="F26" s="143">
        <v>35.630000000000003</v>
      </c>
      <c r="G26" s="143">
        <v>50.89</v>
      </c>
      <c r="H26" s="143">
        <v>14</v>
      </c>
      <c r="I26" s="143">
        <v>17</v>
      </c>
      <c r="J26" s="143">
        <v>12.76</v>
      </c>
      <c r="K26" s="143">
        <v>26.67</v>
      </c>
      <c r="L26" s="143">
        <v>36.590000000000003</v>
      </c>
      <c r="M26" s="145">
        <f t="shared" si="0"/>
        <v>777.77777777777783</v>
      </c>
      <c r="N26" s="145">
        <f t="shared" si="0"/>
        <v>739.13043478260863</v>
      </c>
      <c r="O26" s="145">
        <f t="shared" si="0"/>
        <v>627.33529990167153</v>
      </c>
      <c r="P26" s="145">
        <f t="shared" si="0"/>
        <v>748.52652259332024</v>
      </c>
      <c r="Q26" s="145">
        <f t="shared" si="0"/>
        <v>719.00176852033803</v>
      </c>
    </row>
    <row r="27" spans="1:17" s="66" customFormat="1" ht="27.75" customHeight="1" x14ac:dyDescent="0.2">
      <c r="A27" s="397"/>
      <c r="B27" s="146" t="s">
        <v>10</v>
      </c>
      <c r="C27" s="156">
        <f t="shared" ref="C27:L27" si="6">SUM(C26:C26)</f>
        <v>18</v>
      </c>
      <c r="D27" s="156">
        <f t="shared" si="6"/>
        <v>23</v>
      </c>
      <c r="E27" s="156">
        <f t="shared" si="6"/>
        <v>20.34</v>
      </c>
      <c r="F27" s="156">
        <f t="shared" si="6"/>
        <v>35.630000000000003</v>
      </c>
      <c r="G27" s="156">
        <f t="shared" si="6"/>
        <v>50.89</v>
      </c>
      <c r="H27" s="156">
        <f t="shared" si="6"/>
        <v>14</v>
      </c>
      <c r="I27" s="156">
        <f t="shared" si="6"/>
        <v>17</v>
      </c>
      <c r="J27" s="156">
        <f t="shared" si="6"/>
        <v>12.76</v>
      </c>
      <c r="K27" s="156">
        <f t="shared" si="6"/>
        <v>26.67</v>
      </c>
      <c r="L27" s="156">
        <f t="shared" si="6"/>
        <v>36.590000000000003</v>
      </c>
      <c r="M27" s="289">
        <f t="shared" si="0"/>
        <v>777.77777777777783</v>
      </c>
      <c r="N27" s="289">
        <f t="shared" si="0"/>
        <v>739.13043478260863</v>
      </c>
      <c r="O27" s="289">
        <f t="shared" si="0"/>
        <v>627.33529990167153</v>
      </c>
      <c r="P27" s="289">
        <f t="shared" si="0"/>
        <v>748.52652259332024</v>
      </c>
      <c r="Q27" s="289">
        <f t="shared" si="0"/>
        <v>719.00176852033803</v>
      </c>
    </row>
    <row r="28" spans="1:17" ht="27.75" customHeight="1" x14ac:dyDescent="0.2">
      <c r="A28" s="397" t="s">
        <v>18</v>
      </c>
      <c r="B28" s="216" t="s">
        <v>149</v>
      </c>
      <c r="C28" s="161">
        <v>0</v>
      </c>
      <c r="D28" s="143">
        <v>2.5</v>
      </c>
      <c r="E28" s="143">
        <v>3.3</v>
      </c>
      <c r="F28" s="143">
        <v>2.4</v>
      </c>
      <c r="G28" s="143">
        <v>2.72</v>
      </c>
      <c r="H28" s="161">
        <v>0</v>
      </c>
      <c r="I28" s="143">
        <v>2.5</v>
      </c>
      <c r="J28" s="143">
        <v>3.6</v>
      </c>
      <c r="K28" s="143">
        <v>2.4</v>
      </c>
      <c r="L28" s="143">
        <v>3.13</v>
      </c>
      <c r="M28" s="145" t="e">
        <f t="shared" si="0"/>
        <v>#DIV/0!</v>
      </c>
      <c r="N28" s="145">
        <f t="shared" si="0"/>
        <v>1000</v>
      </c>
      <c r="O28" s="145">
        <f t="shared" si="0"/>
        <v>1090.909090909091</v>
      </c>
      <c r="P28" s="145">
        <f t="shared" si="0"/>
        <v>1000</v>
      </c>
      <c r="Q28" s="145">
        <f t="shared" si="0"/>
        <v>1150.7352941176471</v>
      </c>
    </row>
    <row r="29" spans="1:17" s="66" customFormat="1" ht="27.75" customHeight="1" x14ac:dyDescent="0.2">
      <c r="A29" s="397"/>
      <c r="B29" s="292" t="s">
        <v>10</v>
      </c>
      <c r="C29" s="147">
        <f t="shared" ref="C29:L29" si="7">SUM(C28:C28)</f>
        <v>0</v>
      </c>
      <c r="D29" s="147">
        <f t="shared" si="7"/>
        <v>2.5</v>
      </c>
      <c r="E29" s="147">
        <f t="shared" si="7"/>
        <v>3.3</v>
      </c>
      <c r="F29" s="147">
        <f t="shared" si="7"/>
        <v>2.4</v>
      </c>
      <c r="G29" s="147">
        <f t="shared" si="7"/>
        <v>2.72</v>
      </c>
      <c r="H29" s="147">
        <f t="shared" si="7"/>
        <v>0</v>
      </c>
      <c r="I29" s="147">
        <f t="shared" si="7"/>
        <v>2.5</v>
      </c>
      <c r="J29" s="147">
        <f t="shared" si="7"/>
        <v>3.6</v>
      </c>
      <c r="K29" s="147">
        <f t="shared" si="7"/>
        <v>2.4</v>
      </c>
      <c r="L29" s="147">
        <f t="shared" si="7"/>
        <v>3.13</v>
      </c>
      <c r="M29" s="145" t="e">
        <f t="shared" si="0"/>
        <v>#DIV/0!</v>
      </c>
      <c r="N29" s="145">
        <f t="shared" si="0"/>
        <v>1000</v>
      </c>
      <c r="O29" s="145">
        <f t="shared" si="0"/>
        <v>1090.909090909091</v>
      </c>
      <c r="P29" s="145">
        <f t="shared" si="0"/>
        <v>1000</v>
      </c>
      <c r="Q29" s="145">
        <f t="shared" si="0"/>
        <v>1150.7352941176471</v>
      </c>
    </row>
    <row r="30" spans="1:17" ht="27.75" customHeight="1" x14ac:dyDescent="0.2">
      <c r="A30" s="397" t="s">
        <v>99</v>
      </c>
      <c r="B30" s="142" t="s">
        <v>145</v>
      </c>
      <c r="C30" s="160">
        <v>13.281000000000001</v>
      </c>
      <c r="D30" s="143">
        <v>2.3530000000000002</v>
      </c>
      <c r="E30" s="143">
        <v>2.5499999999999998</v>
      </c>
      <c r="F30" s="143">
        <v>11.645</v>
      </c>
      <c r="G30" s="143">
        <v>14.669</v>
      </c>
      <c r="H30" s="143">
        <v>49.631</v>
      </c>
      <c r="I30" s="143">
        <v>4.8529999999999998</v>
      </c>
      <c r="J30" s="143">
        <v>5.2530000000000001</v>
      </c>
      <c r="K30" s="143">
        <v>41.483000000000004</v>
      </c>
      <c r="L30" s="143">
        <v>38.015999999999998</v>
      </c>
      <c r="M30" s="145">
        <f t="shared" si="0"/>
        <v>3736.9926963331077</v>
      </c>
      <c r="N30" s="145">
        <f t="shared" si="0"/>
        <v>2062.4734381640455</v>
      </c>
      <c r="O30" s="145">
        <f t="shared" si="0"/>
        <v>2060</v>
      </c>
      <c r="P30" s="145">
        <f t="shared" si="0"/>
        <v>3562.301416917132</v>
      </c>
      <c r="Q30" s="145">
        <f t="shared" si="0"/>
        <v>2591.5877019565069</v>
      </c>
    </row>
    <row r="31" spans="1:17" ht="27.75" customHeight="1" x14ac:dyDescent="0.2">
      <c r="A31" s="397"/>
      <c r="B31" s="142" t="s">
        <v>97</v>
      </c>
      <c r="C31" s="160">
        <v>0</v>
      </c>
      <c r="D31" s="143">
        <v>10.077999999999999</v>
      </c>
      <c r="E31" s="143">
        <v>9.0779999999999994</v>
      </c>
      <c r="F31" s="143">
        <v>0</v>
      </c>
      <c r="G31" s="143">
        <v>0</v>
      </c>
      <c r="H31" s="143">
        <v>0</v>
      </c>
      <c r="I31" s="143">
        <v>40.095999999999997</v>
      </c>
      <c r="J31" s="143">
        <v>36.130000000000003</v>
      </c>
      <c r="K31" s="143">
        <v>0</v>
      </c>
      <c r="L31" s="143">
        <v>0</v>
      </c>
      <c r="M31" s="145" t="e">
        <f t="shared" si="0"/>
        <v>#DIV/0!</v>
      </c>
      <c r="N31" s="145">
        <f t="shared" si="0"/>
        <v>3978.5671760269893</v>
      </c>
      <c r="O31" s="145">
        <f t="shared" si="0"/>
        <v>3979.951531174268</v>
      </c>
      <c r="P31" s="145" t="e">
        <f t="shared" si="0"/>
        <v>#DIV/0!</v>
      </c>
      <c r="Q31" s="145" t="e">
        <f t="shared" si="0"/>
        <v>#DIV/0!</v>
      </c>
    </row>
    <row r="32" spans="1:17" s="66" customFormat="1" ht="27.75" customHeight="1" x14ac:dyDescent="0.2">
      <c r="A32" s="397"/>
      <c r="B32" s="146" t="s">
        <v>10</v>
      </c>
      <c r="C32" s="147">
        <f>C30+C31</f>
        <v>13.281000000000001</v>
      </c>
      <c r="D32" s="147">
        <f t="shared" ref="D32:F32" si="8">D30+D31</f>
        <v>12.430999999999999</v>
      </c>
      <c r="E32" s="147">
        <f t="shared" si="8"/>
        <v>11.628</v>
      </c>
      <c r="F32" s="147">
        <f t="shared" si="8"/>
        <v>11.645</v>
      </c>
      <c r="G32" s="147">
        <f>G30+G31</f>
        <v>14.669</v>
      </c>
      <c r="H32" s="147">
        <f t="shared" ref="H32:K32" si="9">H30+H31</f>
        <v>49.631</v>
      </c>
      <c r="I32" s="147">
        <f t="shared" si="9"/>
        <v>44.948999999999998</v>
      </c>
      <c r="J32" s="147">
        <f t="shared" si="9"/>
        <v>41.383000000000003</v>
      </c>
      <c r="K32" s="147">
        <f t="shared" si="9"/>
        <v>41.483000000000004</v>
      </c>
      <c r="L32" s="147">
        <f>L30+L31</f>
        <v>38.015999999999998</v>
      </c>
      <c r="M32" s="289">
        <f t="shared" si="0"/>
        <v>3736.9926963331077</v>
      </c>
      <c r="N32" s="289">
        <f t="shared" si="0"/>
        <v>3615.8796556994612</v>
      </c>
      <c r="O32" s="289">
        <f t="shared" si="0"/>
        <v>3558.9095287237706</v>
      </c>
      <c r="P32" s="289">
        <f t="shared" si="0"/>
        <v>3562.301416917132</v>
      </c>
      <c r="Q32" s="289">
        <f t="shared" si="0"/>
        <v>2591.5877019565069</v>
      </c>
    </row>
    <row r="33" spans="1:17" ht="27.75" customHeight="1" x14ac:dyDescent="0.2">
      <c r="A33" s="397" t="s">
        <v>100</v>
      </c>
      <c r="B33" s="142" t="s">
        <v>145</v>
      </c>
      <c r="C33" s="160">
        <v>1.579</v>
      </c>
      <c r="D33" s="143">
        <v>1.6830000000000001</v>
      </c>
      <c r="E33" s="143">
        <v>1.712</v>
      </c>
      <c r="F33" s="143">
        <v>0.71599999999999997</v>
      </c>
      <c r="G33" s="143">
        <v>0.77400000000000002</v>
      </c>
      <c r="H33" s="143">
        <v>1.1850000000000001</v>
      </c>
      <c r="I33" s="143">
        <v>1.29</v>
      </c>
      <c r="J33" s="143">
        <v>1.3473999999999999</v>
      </c>
      <c r="K33" s="143">
        <v>0.57999999999999996</v>
      </c>
      <c r="L33" s="143">
        <v>0.63</v>
      </c>
      <c r="M33" s="145">
        <f t="shared" si="0"/>
        <v>750.47498416719452</v>
      </c>
      <c r="N33" s="145">
        <f t="shared" si="0"/>
        <v>766.48841354723709</v>
      </c>
      <c r="O33" s="145">
        <f t="shared" si="0"/>
        <v>787.03271028037375</v>
      </c>
      <c r="P33" s="145">
        <f>K33/F33*1000</f>
        <v>810.0558659217877</v>
      </c>
      <c r="Q33" s="145">
        <f>L33/G33*1000</f>
        <v>813.95348837209303</v>
      </c>
    </row>
    <row r="34" spans="1:17" ht="27.75" customHeight="1" x14ac:dyDescent="0.2">
      <c r="A34" s="397"/>
      <c r="B34" s="142" t="s">
        <v>97</v>
      </c>
      <c r="C34" s="169">
        <v>0.65699999999999981</v>
      </c>
      <c r="D34" s="143">
        <f>0.045+0.015+0.004+0.064+0.02+0.134</f>
        <v>0.28200000000000003</v>
      </c>
      <c r="E34" s="143">
        <v>0.50600000000000001</v>
      </c>
      <c r="F34" s="143">
        <v>0.39500000000000002</v>
      </c>
      <c r="G34" s="143">
        <v>0.22500000000000001</v>
      </c>
      <c r="H34" s="143">
        <v>0.36099999999999999</v>
      </c>
      <c r="I34" s="143">
        <f>0.02+0.01+0.002+0.04+0.02+0.07</f>
        <v>0.16200000000000003</v>
      </c>
      <c r="J34" s="143">
        <v>0.35339999999999994</v>
      </c>
      <c r="K34" s="143">
        <v>0.23799999999999999</v>
      </c>
      <c r="L34" s="143">
        <v>0.11</v>
      </c>
      <c r="M34" s="145">
        <f t="shared" si="0"/>
        <v>549.46727549467289</v>
      </c>
      <c r="N34" s="145">
        <f t="shared" si="0"/>
        <v>574.468085106383</v>
      </c>
      <c r="O34" s="145">
        <f t="shared" si="0"/>
        <v>698.41897233201564</v>
      </c>
      <c r="P34" s="145">
        <f>K34/F34*1000</f>
        <v>602.5316455696202</v>
      </c>
      <c r="Q34" s="145">
        <f>L34/G34*1000</f>
        <v>488.88888888888886</v>
      </c>
    </row>
    <row r="35" spans="1:17" s="66" customFormat="1" ht="27.75" customHeight="1" x14ac:dyDescent="0.2">
      <c r="A35" s="397"/>
      <c r="B35" s="146" t="s">
        <v>10</v>
      </c>
      <c r="C35" s="148">
        <f>C33+C34</f>
        <v>2.2359999999999998</v>
      </c>
      <c r="D35" s="148">
        <f t="shared" ref="D35:I35" si="10">SUM(D33:D34)</f>
        <v>1.9650000000000001</v>
      </c>
      <c r="E35" s="148">
        <f>E33+E34</f>
        <v>2.218</v>
      </c>
      <c r="F35" s="148">
        <f>F33+F34</f>
        <v>1.111</v>
      </c>
      <c r="G35" s="148">
        <f>SUM(G33:G34)</f>
        <v>0.999</v>
      </c>
      <c r="H35" s="148">
        <f t="shared" si="10"/>
        <v>1.546</v>
      </c>
      <c r="I35" s="148">
        <f t="shared" si="10"/>
        <v>1.452</v>
      </c>
      <c r="J35" s="148">
        <f>J33+J34</f>
        <v>1.7007999999999999</v>
      </c>
      <c r="K35" s="148">
        <f>K33+K34</f>
        <v>0.81799999999999995</v>
      </c>
      <c r="L35" s="148">
        <f>SUM(L33:L34)</f>
        <v>0.74</v>
      </c>
      <c r="M35" s="289">
        <f t="shared" si="0"/>
        <v>691.41323792486594</v>
      </c>
      <c r="N35" s="289">
        <f t="shared" si="0"/>
        <v>738.93129770992357</v>
      </c>
      <c r="O35" s="289">
        <f t="shared" si="0"/>
        <v>766.81695220919744</v>
      </c>
      <c r="P35" s="289">
        <f>K35/F35*1000</f>
        <v>736.27362736273631</v>
      </c>
      <c r="Q35" s="289">
        <f t="shared" si="0"/>
        <v>740.74074074074065</v>
      </c>
    </row>
    <row r="36" spans="1:17" ht="27.75" customHeight="1" x14ac:dyDescent="0.2">
      <c r="A36" s="397" t="s">
        <v>83</v>
      </c>
      <c r="B36" s="142" t="s">
        <v>204</v>
      </c>
      <c r="C36" s="161">
        <v>52.96</v>
      </c>
      <c r="D36" s="143">
        <v>59.15</v>
      </c>
      <c r="E36" s="143">
        <v>49.613999999999997</v>
      </c>
      <c r="F36" s="143">
        <v>59.137999999999998</v>
      </c>
      <c r="G36" s="143">
        <v>60.073</v>
      </c>
      <c r="H36" s="143">
        <v>64.459999999999994</v>
      </c>
      <c r="I36" s="143">
        <v>71.052000000000007</v>
      </c>
      <c r="J36" s="143">
        <v>62.186999999999998</v>
      </c>
      <c r="K36" s="143">
        <v>74.697000000000003</v>
      </c>
      <c r="L36" s="143">
        <v>70.188000000000002</v>
      </c>
      <c r="M36" s="145">
        <f t="shared" si="0"/>
        <v>1217.1450151057402</v>
      </c>
      <c r="N36" s="145">
        <f t="shared" si="0"/>
        <v>1201.2172442941676</v>
      </c>
      <c r="O36" s="145">
        <f t="shared" si="0"/>
        <v>1253.4163744104487</v>
      </c>
      <c r="P36" s="145">
        <f t="shared" si="0"/>
        <v>1263.0964861848558</v>
      </c>
      <c r="Q36" s="145">
        <f t="shared" si="0"/>
        <v>1168.3784728580229</v>
      </c>
    </row>
    <row r="37" spans="1:17" ht="27.75" customHeight="1" x14ac:dyDescent="0.2">
      <c r="A37" s="397"/>
      <c r="B37" s="142" t="s">
        <v>120</v>
      </c>
      <c r="C37" s="161">
        <v>15.199000000000019</v>
      </c>
      <c r="D37" s="143">
        <v>20.640999999999998</v>
      </c>
      <c r="E37" s="143">
        <v>14.497</v>
      </c>
      <c r="F37" s="143">
        <v>20.712</v>
      </c>
      <c r="G37" s="143">
        <v>19.914999999999999</v>
      </c>
      <c r="H37" s="143">
        <v>10.551</v>
      </c>
      <c r="I37" s="143">
        <v>14.385999999999999</v>
      </c>
      <c r="J37" s="143">
        <v>10.154999999999999</v>
      </c>
      <c r="K37" s="143">
        <v>14.629</v>
      </c>
      <c r="L37" s="143">
        <v>14.423999999999999</v>
      </c>
      <c r="M37" s="145">
        <f t="shared" si="0"/>
        <v>694.19040726363494</v>
      </c>
      <c r="N37" s="145">
        <f t="shared" si="0"/>
        <v>696.96235647497701</v>
      </c>
      <c r="O37" s="145">
        <f t="shared" si="0"/>
        <v>700.48975650134503</v>
      </c>
      <c r="P37" s="145">
        <f t="shared" si="0"/>
        <v>706.30552336809581</v>
      </c>
      <c r="Q37" s="145">
        <f t="shared" si="0"/>
        <v>724.2781822746673</v>
      </c>
    </row>
    <row r="38" spans="1:17" s="66" customFormat="1" ht="27.75" customHeight="1" x14ac:dyDescent="0.2">
      <c r="A38" s="397"/>
      <c r="B38" s="146" t="s">
        <v>10</v>
      </c>
      <c r="C38" s="147">
        <f>C36+C37</f>
        <v>68.15900000000002</v>
      </c>
      <c r="D38" s="147">
        <f t="shared" ref="D38:L38" si="11">SUM(D36:D37)</f>
        <v>79.790999999999997</v>
      </c>
      <c r="E38" s="147">
        <f t="shared" si="11"/>
        <v>64.11099999999999</v>
      </c>
      <c r="F38" s="147">
        <f t="shared" si="11"/>
        <v>79.849999999999994</v>
      </c>
      <c r="G38" s="147">
        <f t="shared" si="11"/>
        <v>79.988</v>
      </c>
      <c r="H38" s="147">
        <f t="shared" si="11"/>
        <v>75.010999999999996</v>
      </c>
      <c r="I38" s="147">
        <f t="shared" si="11"/>
        <v>85.438000000000002</v>
      </c>
      <c r="J38" s="147">
        <f t="shared" si="11"/>
        <v>72.341999999999999</v>
      </c>
      <c r="K38" s="147">
        <f t="shared" si="11"/>
        <v>89.326000000000008</v>
      </c>
      <c r="L38" s="147">
        <f t="shared" si="11"/>
        <v>84.611999999999995</v>
      </c>
      <c r="M38" s="289">
        <f t="shared" si="0"/>
        <v>1100.5296439208319</v>
      </c>
      <c r="N38" s="289">
        <f t="shared" si="0"/>
        <v>1070.7723928763896</v>
      </c>
      <c r="O38" s="289">
        <f t="shared" si="0"/>
        <v>1128.3867043097132</v>
      </c>
      <c r="P38" s="289">
        <f t="shared" si="0"/>
        <v>1118.6725109580464</v>
      </c>
      <c r="Q38" s="289">
        <f t="shared" si="0"/>
        <v>1057.8086713006951</v>
      </c>
    </row>
    <row r="39" spans="1:17" ht="27.75" customHeight="1" x14ac:dyDescent="0.2">
      <c r="A39" s="397" t="s">
        <v>5</v>
      </c>
      <c r="B39" s="216" t="s">
        <v>119</v>
      </c>
      <c r="C39" s="160">
        <v>88</v>
      </c>
      <c r="D39" s="143">
        <v>126</v>
      </c>
      <c r="E39" s="143">
        <v>115.1</v>
      </c>
      <c r="F39" s="143">
        <v>72</v>
      </c>
      <c r="G39" s="143">
        <f>99+1</f>
        <v>100</v>
      </c>
      <c r="H39" s="161">
        <v>5</v>
      </c>
      <c r="I39" s="143">
        <v>79</v>
      </c>
      <c r="J39" s="143">
        <v>13.3</v>
      </c>
      <c r="K39" s="143">
        <v>50</v>
      </c>
      <c r="L39" s="143">
        <f>65+0.3</f>
        <v>65.3</v>
      </c>
      <c r="M39" s="145">
        <f t="shared" ref="M39:Q55" si="12">H39/C39*1000</f>
        <v>56.818181818181813</v>
      </c>
      <c r="N39" s="145">
        <f t="shared" si="12"/>
        <v>626.98412698412699</v>
      </c>
      <c r="O39" s="145">
        <f t="shared" si="12"/>
        <v>115.55169417897481</v>
      </c>
      <c r="P39" s="145">
        <f t="shared" si="12"/>
        <v>694.44444444444446</v>
      </c>
      <c r="Q39" s="145">
        <f>'[1]OKP U'!L48/'[1]OKP U'!G48*1000</f>
        <v>659.57446808510633</v>
      </c>
    </row>
    <row r="40" spans="1:17" ht="27.75" customHeight="1" x14ac:dyDescent="0.2">
      <c r="A40" s="397"/>
      <c r="B40" s="142" t="s">
        <v>120</v>
      </c>
      <c r="C40" s="160">
        <f>1+4+1+5+2</f>
        <v>13</v>
      </c>
      <c r="D40" s="143">
        <f>9+8+1+4</f>
        <v>22</v>
      </c>
      <c r="E40" s="143">
        <v>16</v>
      </c>
      <c r="F40" s="143">
        <v>26</v>
      </c>
      <c r="G40" s="143">
        <f>13+20+5+7</f>
        <v>45</v>
      </c>
      <c r="H40" s="161">
        <f>0.04+0.1+0.5+0.9</f>
        <v>1.54</v>
      </c>
      <c r="I40" s="143">
        <f>7+3+0.4+1</f>
        <v>11.4</v>
      </c>
      <c r="J40" s="143">
        <v>2</v>
      </c>
      <c r="K40" s="143">
        <v>18.600000000000001</v>
      </c>
      <c r="L40" s="143">
        <f>10+14+1+2</f>
        <v>27</v>
      </c>
      <c r="M40" s="145">
        <f t="shared" si="12"/>
        <v>118.46153846153847</v>
      </c>
      <c r="N40" s="145">
        <f t="shared" si="12"/>
        <v>518.18181818181824</v>
      </c>
      <c r="O40" s="145">
        <f t="shared" si="12"/>
        <v>125</v>
      </c>
      <c r="P40" s="145">
        <f t="shared" si="12"/>
        <v>715.38461538461536</v>
      </c>
      <c r="Q40" s="145">
        <f t="shared" si="12"/>
        <v>600</v>
      </c>
    </row>
    <row r="41" spans="1:17" s="66" customFormat="1" ht="27.75" customHeight="1" x14ac:dyDescent="0.2">
      <c r="A41" s="397"/>
      <c r="B41" s="146" t="s">
        <v>10</v>
      </c>
      <c r="C41" s="148">
        <f t="shared" ref="C41:L41" si="13">SUM(C39:C40)</f>
        <v>101</v>
      </c>
      <c r="D41" s="148">
        <f t="shared" si="13"/>
        <v>148</v>
      </c>
      <c r="E41" s="148">
        <f t="shared" si="13"/>
        <v>131.1</v>
      </c>
      <c r="F41" s="148">
        <f t="shared" si="13"/>
        <v>98</v>
      </c>
      <c r="G41" s="148">
        <f t="shared" si="13"/>
        <v>145</v>
      </c>
      <c r="H41" s="148">
        <f t="shared" si="13"/>
        <v>6.54</v>
      </c>
      <c r="I41" s="148">
        <f t="shared" si="13"/>
        <v>90.4</v>
      </c>
      <c r="J41" s="148">
        <f t="shared" si="13"/>
        <v>15.3</v>
      </c>
      <c r="K41" s="148">
        <f t="shared" si="13"/>
        <v>68.599999999999994</v>
      </c>
      <c r="L41" s="148">
        <f t="shared" si="13"/>
        <v>92.3</v>
      </c>
      <c r="M41" s="289">
        <f>H41/C41*1000</f>
        <v>64.752475247524757</v>
      </c>
      <c r="N41" s="289">
        <f t="shared" si="12"/>
        <v>610.81081081081095</v>
      </c>
      <c r="O41" s="289">
        <f t="shared" si="12"/>
        <v>116.70480549199085</v>
      </c>
      <c r="P41" s="289">
        <f t="shared" si="12"/>
        <v>700</v>
      </c>
      <c r="Q41" s="289">
        <f t="shared" si="12"/>
        <v>636.55172413793105</v>
      </c>
    </row>
    <row r="42" spans="1:17" ht="27.75" customHeight="1" x14ac:dyDescent="0.2">
      <c r="A42" s="397" t="s">
        <v>17</v>
      </c>
      <c r="B42" s="142" t="s">
        <v>119</v>
      </c>
      <c r="C42" s="160">
        <v>0</v>
      </c>
      <c r="D42" s="160">
        <v>0</v>
      </c>
      <c r="E42" s="160">
        <v>0</v>
      </c>
      <c r="F42" s="160">
        <v>0</v>
      </c>
      <c r="G42" s="160">
        <v>0</v>
      </c>
      <c r="H42" s="160">
        <v>0</v>
      </c>
      <c r="I42" s="160">
        <v>0</v>
      </c>
      <c r="J42" s="160">
        <v>0</v>
      </c>
      <c r="K42" s="160">
        <v>0</v>
      </c>
      <c r="L42" s="160">
        <v>0</v>
      </c>
      <c r="M42" s="145" t="e">
        <f t="shared" si="12"/>
        <v>#DIV/0!</v>
      </c>
      <c r="N42" s="145" t="e">
        <f t="shared" si="12"/>
        <v>#DIV/0!</v>
      </c>
      <c r="O42" s="145" t="e">
        <f t="shared" si="12"/>
        <v>#DIV/0!</v>
      </c>
      <c r="P42" s="145" t="e">
        <f t="shared" si="12"/>
        <v>#DIV/0!</v>
      </c>
      <c r="Q42" s="145" t="e">
        <f t="shared" si="12"/>
        <v>#DIV/0!</v>
      </c>
    </row>
    <row r="43" spans="1:17" ht="27.75" customHeight="1" x14ac:dyDescent="0.2">
      <c r="A43" s="397"/>
      <c r="B43" s="142" t="s">
        <v>150</v>
      </c>
      <c r="C43" s="148">
        <v>0</v>
      </c>
      <c r="D43" s="143">
        <v>0</v>
      </c>
      <c r="E43" s="143">
        <v>1.4</v>
      </c>
      <c r="F43" s="143">
        <v>1.256</v>
      </c>
      <c r="G43" s="143">
        <v>1.1779999999999999</v>
      </c>
      <c r="H43" s="143">
        <v>0</v>
      </c>
      <c r="I43" s="143">
        <v>0</v>
      </c>
      <c r="J43" s="143">
        <v>1.19</v>
      </c>
      <c r="K43" s="143">
        <v>1.131</v>
      </c>
      <c r="L43" s="143">
        <v>1.071</v>
      </c>
      <c r="M43" s="145" t="e">
        <f t="shared" si="12"/>
        <v>#DIV/0!</v>
      </c>
      <c r="N43" s="145" t="e">
        <f t="shared" si="12"/>
        <v>#DIV/0!</v>
      </c>
      <c r="O43" s="145">
        <f t="shared" si="12"/>
        <v>850</v>
      </c>
      <c r="P43" s="145">
        <f t="shared" si="12"/>
        <v>900.47770700636943</v>
      </c>
      <c r="Q43" s="145">
        <f t="shared" si="12"/>
        <v>909.16808149405767</v>
      </c>
    </row>
    <row r="44" spans="1:17" s="66" customFormat="1" ht="27.75" customHeight="1" x14ac:dyDescent="0.2">
      <c r="A44" s="397"/>
      <c r="B44" s="142" t="s">
        <v>10</v>
      </c>
      <c r="C44" s="143">
        <f>C43+C42</f>
        <v>0</v>
      </c>
      <c r="D44" s="143">
        <f>D43+D42</f>
        <v>0</v>
      </c>
      <c r="E44" s="143">
        <f>E43+E42</f>
        <v>1.4</v>
      </c>
      <c r="F44" s="143">
        <f>F43+F42</f>
        <v>1.256</v>
      </c>
      <c r="G44" s="143">
        <f t="shared" ref="G44:L44" si="14">G43+G42</f>
        <v>1.1779999999999999</v>
      </c>
      <c r="H44" s="143">
        <f t="shared" si="14"/>
        <v>0</v>
      </c>
      <c r="I44" s="143">
        <f t="shared" si="14"/>
        <v>0</v>
      </c>
      <c r="J44" s="143">
        <f t="shared" si="14"/>
        <v>1.19</v>
      </c>
      <c r="K44" s="143">
        <f t="shared" si="14"/>
        <v>1.131</v>
      </c>
      <c r="L44" s="143">
        <f t="shared" si="14"/>
        <v>1.071</v>
      </c>
      <c r="M44" s="145" t="e">
        <f t="shared" si="12"/>
        <v>#DIV/0!</v>
      </c>
      <c r="N44" s="145" t="e">
        <f t="shared" si="12"/>
        <v>#DIV/0!</v>
      </c>
      <c r="O44" s="145">
        <f t="shared" si="12"/>
        <v>850</v>
      </c>
      <c r="P44" s="145">
        <f t="shared" si="12"/>
        <v>900.47770700636943</v>
      </c>
      <c r="Q44" s="145">
        <f t="shared" si="12"/>
        <v>909.16808149405767</v>
      </c>
    </row>
    <row r="45" spans="1:17" ht="27.75" customHeight="1" x14ac:dyDescent="0.2">
      <c r="A45" s="397" t="s">
        <v>6</v>
      </c>
      <c r="B45" s="142" t="s">
        <v>145</v>
      </c>
      <c r="C45" s="160">
        <v>465.26971326164875</v>
      </c>
      <c r="D45" s="143">
        <v>312</v>
      </c>
      <c r="E45" s="143">
        <v>65</v>
      </c>
      <c r="F45" s="143">
        <v>58</v>
      </c>
      <c r="G45" s="143">
        <v>86</v>
      </c>
      <c r="H45" s="143">
        <v>356.83225252692625</v>
      </c>
      <c r="I45" s="143">
        <v>322</v>
      </c>
      <c r="J45" s="143">
        <v>50</v>
      </c>
      <c r="K45" s="143">
        <v>48</v>
      </c>
      <c r="L45" s="143">
        <v>90</v>
      </c>
      <c r="M45" s="145">
        <f t="shared" si="12"/>
        <v>766.93634327807263</v>
      </c>
      <c r="N45" s="145">
        <f t="shared" si="12"/>
        <v>1032.0512820512822</v>
      </c>
      <c r="O45" s="145">
        <f t="shared" si="12"/>
        <v>769.23076923076928</v>
      </c>
      <c r="P45" s="145">
        <f t="shared" si="12"/>
        <v>827.58620689655174</v>
      </c>
      <c r="Q45" s="145">
        <f t="shared" si="12"/>
        <v>1046.5116279069769</v>
      </c>
    </row>
    <row r="46" spans="1:17" ht="27.75" customHeight="1" x14ac:dyDescent="0.2">
      <c r="A46" s="397"/>
      <c r="B46" s="216" t="s">
        <v>119</v>
      </c>
      <c r="C46" s="160">
        <v>6.449283154121864</v>
      </c>
      <c r="D46" s="143">
        <v>0</v>
      </c>
      <c r="E46" s="143">
        <v>0</v>
      </c>
      <c r="F46" s="143">
        <v>0</v>
      </c>
      <c r="G46" s="143">
        <v>0</v>
      </c>
      <c r="H46" s="161">
        <v>3.4244937862468929</v>
      </c>
      <c r="I46" s="143">
        <v>0</v>
      </c>
      <c r="J46" s="143">
        <v>0</v>
      </c>
      <c r="K46" s="143">
        <v>0</v>
      </c>
      <c r="L46" s="143">
        <v>0</v>
      </c>
      <c r="M46" s="145">
        <f t="shared" si="12"/>
        <v>530.98828263699841</v>
      </c>
      <c r="N46" s="145" t="e">
        <f t="shared" si="12"/>
        <v>#DIV/0!</v>
      </c>
      <c r="O46" s="145" t="e">
        <f t="shared" si="12"/>
        <v>#DIV/0!</v>
      </c>
      <c r="P46" s="145" t="e">
        <f t="shared" si="12"/>
        <v>#DIV/0!</v>
      </c>
      <c r="Q46" s="145" t="e">
        <f t="shared" si="12"/>
        <v>#DIV/0!</v>
      </c>
    </row>
    <row r="47" spans="1:17" ht="27.75" hidden="1" customHeight="1" x14ac:dyDescent="0.2">
      <c r="A47" s="397"/>
      <c r="B47" s="142" t="s">
        <v>147</v>
      </c>
      <c r="C47" s="161">
        <v>0</v>
      </c>
      <c r="D47" s="143">
        <v>0</v>
      </c>
      <c r="E47" s="143">
        <v>0</v>
      </c>
      <c r="F47" s="143">
        <v>0</v>
      </c>
      <c r="G47" s="143">
        <v>0</v>
      </c>
      <c r="H47" s="161">
        <v>0</v>
      </c>
      <c r="I47" s="143">
        <v>0</v>
      </c>
      <c r="J47" s="143">
        <v>0</v>
      </c>
      <c r="K47" s="143">
        <v>0</v>
      </c>
      <c r="L47" s="143">
        <v>0</v>
      </c>
      <c r="M47" s="145" t="e">
        <f t="shared" si="12"/>
        <v>#DIV/0!</v>
      </c>
      <c r="N47" s="145" t="e">
        <f t="shared" si="12"/>
        <v>#DIV/0!</v>
      </c>
      <c r="O47" s="145" t="e">
        <f t="shared" si="12"/>
        <v>#DIV/0!</v>
      </c>
      <c r="P47" s="145" t="e">
        <f t="shared" si="12"/>
        <v>#DIV/0!</v>
      </c>
      <c r="Q47" s="145" t="e">
        <f t="shared" si="12"/>
        <v>#DIV/0!</v>
      </c>
    </row>
    <row r="48" spans="1:17" ht="27.75" hidden="1" customHeight="1" x14ac:dyDescent="0.2">
      <c r="A48" s="397"/>
      <c r="B48" s="142" t="s">
        <v>122</v>
      </c>
      <c r="C48" s="161">
        <v>0</v>
      </c>
      <c r="D48" s="143">
        <v>0</v>
      </c>
      <c r="E48" s="143">
        <v>0</v>
      </c>
      <c r="F48" s="143">
        <v>0</v>
      </c>
      <c r="G48" s="143">
        <v>0</v>
      </c>
      <c r="H48" s="161">
        <v>0</v>
      </c>
      <c r="I48" s="143">
        <v>0</v>
      </c>
      <c r="J48" s="143">
        <v>0</v>
      </c>
      <c r="K48" s="143">
        <v>0</v>
      </c>
      <c r="L48" s="143">
        <v>0</v>
      </c>
      <c r="M48" s="145" t="e">
        <f t="shared" si="12"/>
        <v>#DIV/0!</v>
      </c>
      <c r="N48" s="145" t="e">
        <f t="shared" si="12"/>
        <v>#DIV/0!</v>
      </c>
      <c r="O48" s="145" t="e">
        <f t="shared" si="12"/>
        <v>#DIV/0!</v>
      </c>
      <c r="P48" s="145" t="e">
        <f t="shared" si="12"/>
        <v>#DIV/0!</v>
      </c>
      <c r="Q48" s="145" t="e">
        <f t="shared" si="12"/>
        <v>#DIV/0!</v>
      </c>
    </row>
    <row r="49" spans="1:17" ht="27.75" customHeight="1" x14ac:dyDescent="0.2">
      <c r="A49" s="397"/>
      <c r="B49" s="142" t="s">
        <v>148</v>
      </c>
      <c r="C49" s="160">
        <v>27.609784946236637</v>
      </c>
      <c r="D49" s="143">
        <f>10+51</f>
        <v>61</v>
      </c>
      <c r="E49" s="143">
        <v>25</v>
      </c>
      <c r="F49" s="143">
        <v>17</v>
      </c>
      <c r="G49" s="143">
        <v>0</v>
      </c>
      <c r="H49" s="161">
        <v>19.153045202982703</v>
      </c>
      <c r="I49" s="143">
        <f>48+8</f>
        <v>56</v>
      </c>
      <c r="J49" s="143">
        <v>17</v>
      </c>
      <c r="K49" s="143">
        <v>11</v>
      </c>
      <c r="L49" s="143">
        <v>0</v>
      </c>
      <c r="M49" s="145">
        <f t="shared" si="12"/>
        <v>693.70497598147244</v>
      </c>
      <c r="N49" s="145">
        <f t="shared" si="12"/>
        <v>918.03278688524597</v>
      </c>
      <c r="O49" s="145">
        <f t="shared" si="12"/>
        <v>680</v>
      </c>
      <c r="P49" s="145">
        <f t="shared" si="12"/>
        <v>647.05882352941182</v>
      </c>
      <c r="Q49" s="145" t="e">
        <f t="shared" si="12"/>
        <v>#DIV/0!</v>
      </c>
    </row>
    <row r="50" spans="1:17" s="66" customFormat="1" ht="27.75" customHeight="1" x14ac:dyDescent="0.2">
      <c r="A50" s="397"/>
      <c r="B50" s="146" t="s">
        <v>10</v>
      </c>
      <c r="C50" s="147">
        <f>SUM(C45:C49)</f>
        <v>499.32878136200725</v>
      </c>
      <c r="D50" s="147">
        <f t="shared" ref="D50:L50" si="15">SUM(D45:D49)</f>
        <v>373</v>
      </c>
      <c r="E50" s="147">
        <f t="shared" si="15"/>
        <v>90</v>
      </c>
      <c r="F50" s="147">
        <f t="shared" si="15"/>
        <v>75</v>
      </c>
      <c r="G50" s="147">
        <f t="shared" si="15"/>
        <v>86</v>
      </c>
      <c r="H50" s="147">
        <f>SUM(H45:H49)</f>
        <v>379.40979151615585</v>
      </c>
      <c r="I50" s="147">
        <f t="shared" si="15"/>
        <v>378</v>
      </c>
      <c r="J50" s="147">
        <f t="shared" si="15"/>
        <v>67</v>
      </c>
      <c r="K50" s="147">
        <f t="shared" si="15"/>
        <v>59</v>
      </c>
      <c r="L50" s="147">
        <f t="shared" si="15"/>
        <v>90</v>
      </c>
      <c r="M50" s="289">
        <f t="shared" si="12"/>
        <v>759.83962006205365</v>
      </c>
      <c r="N50" s="289">
        <f t="shared" si="12"/>
        <v>1013.4048257372655</v>
      </c>
      <c r="O50" s="289">
        <f t="shared" si="12"/>
        <v>744.44444444444446</v>
      </c>
      <c r="P50" s="289">
        <f t="shared" si="12"/>
        <v>786.66666666666663</v>
      </c>
      <c r="Q50" s="289">
        <f t="shared" si="12"/>
        <v>1046.5116279069769</v>
      </c>
    </row>
    <row r="51" spans="1:17" ht="27.75" hidden="1" customHeight="1" x14ac:dyDescent="0.2">
      <c r="A51" s="300" t="s">
        <v>101</v>
      </c>
      <c r="B51" s="216" t="s">
        <v>119</v>
      </c>
      <c r="C51" s="161">
        <v>0</v>
      </c>
      <c r="D51" s="143"/>
      <c r="E51" s="143"/>
      <c r="F51" s="143"/>
      <c r="G51" s="225"/>
      <c r="H51" s="161">
        <v>0</v>
      </c>
      <c r="I51" s="143"/>
      <c r="J51" s="143"/>
      <c r="K51" s="143"/>
      <c r="L51" s="64"/>
      <c r="M51" s="145" t="e">
        <f t="shared" si="12"/>
        <v>#DIV/0!</v>
      </c>
      <c r="N51" s="145" t="e">
        <f t="shared" si="12"/>
        <v>#DIV/0!</v>
      </c>
      <c r="O51" s="145" t="e">
        <f t="shared" si="12"/>
        <v>#DIV/0!</v>
      </c>
      <c r="P51" s="145" t="e">
        <f t="shared" si="12"/>
        <v>#DIV/0!</v>
      </c>
      <c r="Q51" s="145" t="e">
        <f t="shared" si="12"/>
        <v>#DIV/0!</v>
      </c>
    </row>
    <row r="52" spans="1:17" ht="27.75" hidden="1" customHeight="1" x14ac:dyDescent="0.2">
      <c r="A52" s="300"/>
      <c r="B52" s="142" t="s">
        <v>145</v>
      </c>
      <c r="C52" s="161">
        <v>0</v>
      </c>
      <c r="D52" s="143"/>
      <c r="E52" s="143"/>
      <c r="F52" s="143"/>
      <c r="G52" s="225"/>
      <c r="H52" s="161">
        <v>0</v>
      </c>
      <c r="I52" s="143"/>
      <c r="J52" s="143"/>
      <c r="K52" s="143"/>
      <c r="L52" s="64"/>
      <c r="M52" s="145" t="e">
        <f t="shared" si="12"/>
        <v>#DIV/0!</v>
      </c>
      <c r="N52" s="145" t="e">
        <f t="shared" si="12"/>
        <v>#DIV/0!</v>
      </c>
      <c r="O52" s="145" t="e">
        <f t="shared" si="12"/>
        <v>#DIV/0!</v>
      </c>
      <c r="P52" s="145" t="e">
        <f t="shared" si="12"/>
        <v>#DIV/0!</v>
      </c>
      <c r="Q52" s="145" t="e">
        <f t="shared" si="12"/>
        <v>#DIV/0!</v>
      </c>
    </row>
    <row r="53" spans="1:17" ht="27.75" hidden="1" customHeight="1" x14ac:dyDescent="0.2">
      <c r="A53" s="300"/>
      <c r="B53" s="142" t="s">
        <v>147</v>
      </c>
      <c r="C53" s="161">
        <v>0</v>
      </c>
      <c r="D53" s="143"/>
      <c r="E53" s="143"/>
      <c r="F53" s="143"/>
      <c r="G53" s="225"/>
      <c r="H53" s="161">
        <v>0</v>
      </c>
      <c r="I53" s="143"/>
      <c r="J53" s="143"/>
      <c r="K53" s="143"/>
      <c r="L53" s="64"/>
      <c r="M53" s="145" t="e">
        <f t="shared" si="12"/>
        <v>#DIV/0!</v>
      </c>
      <c r="N53" s="145" t="e">
        <f t="shared" si="12"/>
        <v>#DIV/0!</v>
      </c>
      <c r="O53" s="145" t="e">
        <f t="shared" si="12"/>
        <v>#DIV/0!</v>
      </c>
      <c r="P53" s="145" t="e">
        <f t="shared" si="12"/>
        <v>#DIV/0!</v>
      </c>
      <c r="Q53" s="145" t="e">
        <f t="shared" si="12"/>
        <v>#DIV/0!</v>
      </c>
    </row>
    <row r="54" spans="1:17" ht="27.75" customHeight="1" x14ac:dyDescent="0.2">
      <c r="A54" s="300" t="s">
        <v>101</v>
      </c>
      <c r="B54" s="142" t="s">
        <v>97</v>
      </c>
      <c r="C54" s="160">
        <f>122+2.1</f>
        <v>124.1</v>
      </c>
      <c r="D54" s="143">
        <f>102+2</f>
        <v>104</v>
      </c>
      <c r="E54" s="143">
        <f>109.7+2.03</f>
        <v>111.73</v>
      </c>
      <c r="F54" s="143">
        <v>137.81</v>
      </c>
      <c r="G54" s="143">
        <f>124.1+18.81</f>
        <v>142.91</v>
      </c>
      <c r="H54" s="143">
        <f>69.2+1.3</f>
        <v>70.5</v>
      </c>
      <c r="I54" s="143">
        <f>51+0.7</f>
        <v>51.7</v>
      </c>
      <c r="J54" s="143">
        <f>51.1+0.65</f>
        <v>51.75</v>
      </c>
      <c r="K54" s="143">
        <v>71.63</v>
      </c>
      <c r="L54" s="143">
        <f>67.3+6.08</f>
        <v>73.38</v>
      </c>
      <c r="M54" s="145">
        <f t="shared" si="12"/>
        <v>568.09024979854962</v>
      </c>
      <c r="N54" s="145">
        <f t="shared" si="12"/>
        <v>497.11538461538464</v>
      </c>
      <c r="O54" s="145">
        <f t="shared" si="12"/>
        <v>463.17014230734804</v>
      </c>
      <c r="P54" s="145">
        <f t="shared" si="12"/>
        <v>519.77360133517163</v>
      </c>
      <c r="Q54" s="145">
        <f t="shared" si="12"/>
        <v>513.47001609404515</v>
      </c>
    </row>
    <row r="55" spans="1:17" s="66" customFormat="1" ht="27.75" customHeight="1" x14ac:dyDescent="0.2">
      <c r="A55" s="300"/>
      <c r="B55" s="146" t="s">
        <v>10</v>
      </c>
      <c r="C55" s="147">
        <f>SUM(C51:C54)</f>
        <v>124.1</v>
      </c>
      <c r="D55" s="147">
        <f t="shared" ref="D55:L55" si="16">SUM(D51:D54)</f>
        <v>104</v>
      </c>
      <c r="E55" s="147">
        <f t="shared" si="16"/>
        <v>111.73</v>
      </c>
      <c r="F55" s="147">
        <f t="shared" si="16"/>
        <v>137.81</v>
      </c>
      <c r="G55" s="147">
        <f t="shared" si="16"/>
        <v>142.91</v>
      </c>
      <c r="H55" s="147">
        <f t="shared" si="16"/>
        <v>70.5</v>
      </c>
      <c r="I55" s="147">
        <f t="shared" si="16"/>
        <v>51.7</v>
      </c>
      <c r="J55" s="147">
        <f t="shared" si="16"/>
        <v>51.75</v>
      </c>
      <c r="K55" s="147">
        <f t="shared" si="16"/>
        <v>71.63</v>
      </c>
      <c r="L55" s="147">
        <f t="shared" si="16"/>
        <v>73.38</v>
      </c>
      <c r="M55" s="289">
        <f t="shared" si="12"/>
        <v>568.09024979854962</v>
      </c>
      <c r="N55" s="289">
        <f t="shared" si="12"/>
        <v>497.11538461538464</v>
      </c>
      <c r="O55" s="289">
        <f t="shared" si="12"/>
        <v>463.17014230734804</v>
      </c>
      <c r="P55" s="289">
        <f t="shared" si="12"/>
        <v>519.77360133517163</v>
      </c>
      <c r="Q55" s="289">
        <f t="shared" si="12"/>
        <v>513.47001609404515</v>
      </c>
    </row>
    <row r="56" spans="1:17" ht="16.5" customHeight="1" x14ac:dyDescent="0.2">
      <c r="A56" s="61" t="s">
        <v>162</v>
      </c>
      <c r="B56" s="138"/>
      <c r="C56" s="159"/>
      <c r="D56" s="159"/>
      <c r="E56" s="159"/>
      <c r="F56" s="159"/>
      <c r="G56" s="159"/>
      <c r="H56" s="149"/>
      <c r="I56" s="149"/>
      <c r="J56" s="149"/>
      <c r="L56" s="149"/>
      <c r="M56" s="153"/>
      <c r="N56" s="153"/>
      <c r="O56" s="153"/>
      <c r="P56" s="153"/>
      <c r="Q56" s="153"/>
    </row>
    <row r="57" spans="1:17" ht="21" customHeight="1" x14ac:dyDescent="0.2">
      <c r="A57" s="61"/>
      <c r="B57" s="138"/>
      <c r="C57" s="159"/>
      <c r="D57" s="159"/>
      <c r="E57" s="159"/>
      <c r="F57" s="159"/>
      <c r="G57" s="159"/>
      <c r="H57" s="149"/>
      <c r="I57" s="149"/>
      <c r="J57" s="149"/>
      <c r="L57" s="149"/>
      <c r="M57" s="153"/>
      <c r="N57" s="153"/>
      <c r="O57" s="153"/>
      <c r="P57" s="153"/>
      <c r="Q57" s="153"/>
    </row>
    <row r="58" spans="1:17" ht="16.5" customHeight="1" x14ac:dyDescent="0.2">
      <c r="A58" s="61"/>
      <c r="B58" s="138"/>
      <c r="C58" s="159"/>
      <c r="D58" s="159"/>
      <c r="E58" s="159"/>
      <c r="F58" s="159"/>
      <c r="G58" s="159"/>
      <c r="H58" s="149"/>
      <c r="I58" s="149"/>
      <c r="J58" s="149"/>
      <c r="K58" s="149"/>
      <c r="L58" s="149"/>
      <c r="M58" s="153"/>
      <c r="N58" s="153"/>
      <c r="O58" s="153"/>
      <c r="P58" s="153"/>
      <c r="Q58" s="153"/>
    </row>
    <row r="59" spans="1:17" ht="16.5" customHeight="1" x14ac:dyDescent="0.2">
      <c r="A59" s="402" t="s">
        <v>1</v>
      </c>
      <c r="B59" s="293" t="s">
        <v>0</v>
      </c>
      <c r="C59" s="342" t="s">
        <v>174</v>
      </c>
      <c r="D59" s="342"/>
      <c r="E59" s="342"/>
      <c r="F59" s="342"/>
      <c r="G59" s="342"/>
      <c r="H59" s="342" t="s">
        <v>68</v>
      </c>
      <c r="I59" s="342"/>
      <c r="J59" s="342"/>
      <c r="K59" s="342"/>
      <c r="L59" s="342"/>
      <c r="M59" s="342" t="s">
        <v>89</v>
      </c>
      <c r="N59" s="342"/>
      <c r="O59" s="342"/>
      <c r="P59" s="342"/>
      <c r="Q59" s="342"/>
    </row>
    <row r="60" spans="1:17" ht="23.25" customHeight="1" x14ac:dyDescent="0.2">
      <c r="A60" s="402"/>
      <c r="B60" s="293"/>
      <c r="C60" s="290" t="s">
        <v>112</v>
      </c>
      <c r="D60" s="290" t="s">
        <v>164</v>
      </c>
      <c r="E60" s="290" t="s">
        <v>199</v>
      </c>
      <c r="F60" s="290" t="s">
        <v>200</v>
      </c>
      <c r="G60" s="273" t="s">
        <v>202</v>
      </c>
      <c r="H60" s="290" t="s">
        <v>112</v>
      </c>
      <c r="I60" s="290" t="s">
        <v>164</v>
      </c>
      <c r="J60" s="290" t="s">
        <v>199</v>
      </c>
      <c r="K60" s="290" t="s">
        <v>200</v>
      </c>
      <c r="L60" s="273" t="s">
        <v>202</v>
      </c>
      <c r="M60" s="290" t="s">
        <v>112</v>
      </c>
      <c r="N60" s="290" t="s">
        <v>164</v>
      </c>
      <c r="O60" s="290" t="s">
        <v>199</v>
      </c>
      <c r="P60" s="290" t="s">
        <v>200</v>
      </c>
      <c r="Q60" s="273" t="s">
        <v>202</v>
      </c>
    </row>
    <row r="61" spans="1:17" ht="16.5" customHeight="1" x14ac:dyDescent="0.2">
      <c r="A61" s="216">
        <v>1</v>
      </c>
      <c r="B61" s="176">
        <v>2</v>
      </c>
      <c r="C61" s="176">
        <v>3</v>
      </c>
      <c r="D61" s="176">
        <v>4</v>
      </c>
      <c r="E61" s="176">
        <v>5</v>
      </c>
      <c r="F61" s="176">
        <v>6</v>
      </c>
      <c r="G61" s="176">
        <v>7</v>
      </c>
      <c r="H61" s="176">
        <v>8</v>
      </c>
      <c r="I61" s="176">
        <v>9</v>
      </c>
      <c r="J61" s="176">
        <v>10</v>
      </c>
      <c r="K61" s="176">
        <v>11</v>
      </c>
      <c r="L61" s="176">
        <v>12</v>
      </c>
      <c r="M61" s="176">
        <v>13</v>
      </c>
      <c r="N61" s="176">
        <v>14</v>
      </c>
      <c r="O61" s="176">
        <v>15</v>
      </c>
      <c r="P61" s="176">
        <v>16</v>
      </c>
      <c r="Q61" s="176">
        <v>17</v>
      </c>
    </row>
    <row r="62" spans="1:17" ht="27" customHeight="1" x14ac:dyDescent="0.2">
      <c r="A62" s="397" t="s">
        <v>29</v>
      </c>
      <c r="B62" s="142" t="s">
        <v>145</v>
      </c>
      <c r="C62" s="143">
        <v>18.32</v>
      </c>
      <c r="D62" s="143">
        <v>18.34</v>
      </c>
      <c r="E62" s="143">
        <v>18.350000000000001</v>
      </c>
      <c r="F62" s="143">
        <v>15.949</v>
      </c>
      <c r="G62" s="143">
        <v>18.198</v>
      </c>
      <c r="H62" s="143">
        <v>17.38</v>
      </c>
      <c r="I62" s="143">
        <v>17.190000000000001</v>
      </c>
      <c r="J62" s="143">
        <v>17.190000000000001</v>
      </c>
      <c r="K62" s="143">
        <v>14.69</v>
      </c>
      <c r="L62" s="143">
        <v>16.86</v>
      </c>
      <c r="M62" s="143">
        <f>H62/C62*1000</f>
        <v>948.68995633187774</v>
      </c>
      <c r="N62" s="145">
        <f t="shared" ref="N62:Q77" si="17">I62/D62*1000</f>
        <v>937.29552889858235</v>
      </c>
      <c r="O62" s="145">
        <f t="shared" si="17"/>
        <v>936.78474114441417</v>
      </c>
      <c r="P62" s="145">
        <f t="shared" si="17"/>
        <v>921.06088155997236</v>
      </c>
      <c r="Q62" s="145">
        <f t="shared" si="17"/>
        <v>926.47543686119354</v>
      </c>
    </row>
    <row r="63" spans="1:17" ht="27" customHeight="1" x14ac:dyDescent="0.2">
      <c r="A63" s="397"/>
      <c r="B63" s="142" t="s">
        <v>97</v>
      </c>
      <c r="C63" s="143">
        <v>6.33</v>
      </c>
      <c r="D63" s="143">
        <v>6.34</v>
      </c>
      <c r="E63" s="143">
        <f>6.3+2.45</f>
        <v>8.75</v>
      </c>
      <c r="F63" s="143">
        <v>5.5579999999999998</v>
      </c>
      <c r="G63" s="143">
        <v>6.38</v>
      </c>
      <c r="H63" s="143">
        <v>5.91</v>
      </c>
      <c r="I63" s="143">
        <v>5.94</v>
      </c>
      <c r="J63" s="143">
        <f>5.88+2.53</f>
        <v>8.41</v>
      </c>
      <c r="K63" s="143">
        <v>5.15</v>
      </c>
      <c r="L63" s="143">
        <v>5.93</v>
      </c>
      <c r="M63" s="143">
        <f t="shared" ref="M63:Q110" si="18">H63/C63*1000</f>
        <v>933.64928909952607</v>
      </c>
      <c r="N63" s="145">
        <f t="shared" si="17"/>
        <v>936.90851735015781</v>
      </c>
      <c r="O63" s="145">
        <f t="shared" si="17"/>
        <v>961.14285714285722</v>
      </c>
      <c r="P63" s="145">
        <f t="shared" si="17"/>
        <v>926.59229938826923</v>
      </c>
      <c r="Q63" s="145">
        <f t="shared" si="17"/>
        <v>929.46708463949847</v>
      </c>
    </row>
    <row r="64" spans="1:17" s="66" customFormat="1" ht="27" customHeight="1" x14ac:dyDescent="0.2">
      <c r="A64" s="397"/>
      <c r="B64" s="146" t="s">
        <v>10</v>
      </c>
      <c r="C64" s="147">
        <f>C62+C63</f>
        <v>24.65</v>
      </c>
      <c r="D64" s="147">
        <f t="shared" ref="D64:L64" si="19">D62+D63</f>
        <v>24.68</v>
      </c>
      <c r="E64" s="147">
        <f t="shared" si="19"/>
        <v>27.1</v>
      </c>
      <c r="F64" s="147">
        <f t="shared" si="19"/>
        <v>21.506999999999998</v>
      </c>
      <c r="G64" s="147">
        <f t="shared" si="19"/>
        <v>24.577999999999999</v>
      </c>
      <c r="H64" s="147">
        <f t="shared" si="19"/>
        <v>23.29</v>
      </c>
      <c r="I64" s="147">
        <f t="shared" si="19"/>
        <v>23.130000000000003</v>
      </c>
      <c r="J64" s="147">
        <f t="shared" si="19"/>
        <v>25.6</v>
      </c>
      <c r="K64" s="147">
        <f t="shared" si="19"/>
        <v>19.84</v>
      </c>
      <c r="L64" s="147">
        <f t="shared" si="19"/>
        <v>22.79</v>
      </c>
      <c r="M64" s="289">
        <f t="shared" si="18"/>
        <v>944.82758620689651</v>
      </c>
      <c r="N64" s="289">
        <f t="shared" si="17"/>
        <v>937.19611021069704</v>
      </c>
      <c r="O64" s="289">
        <f t="shared" si="17"/>
        <v>944.64944649446488</v>
      </c>
      <c r="P64" s="289">
        <f t="shared" si="17"/>
        <v>922.49035197842568</v>
      </c>
      <c r="Q64" s="289">
        <f t="shared" si="17"/>
        <v>927.25201399625678</v>
      </c>
    </row>
    <row r="65" spans="1:17" ht="27" customHeight="1" x14ac:dyDescent="0.2">
      <c r="A65" s="146" t="s">
        <v>152</v>
      </c>
      <c r="B65" s="146" t="s">
        <v>10</v>
      </c>
      <c r="C65" s="156">
        <v>5.17</v>
      </c>
      <c r="D65" s="148">
        <v>3.99</v>
      </c>
      <c r="E65" s="148">
        <v>5.2690000000000001</v>
      </c>
      <c r="F65" s="148">
        <v>5.28</v>
      </c>
      <c r="G65" s="148">
        <v>5.282</v>
      </c>
      <c r="H65" s="148">
        <v>8.35</v>
      </c>
      <c r="I65" s="148">
        <v>7.0220000000000002</v>
      </c>
      <c r="J65" s="148">
        <v>8.4550000000000001</v>
      </c>
      <c r="K65" s="148">
        <v>8.49</v>
      </c>
      <c r="L65" s="148">
        <v>8.49</v>
      </c>
      <c r="M65" s="289">
        <f t="shared" si="18"/>
        <v>1615.0870406189554</v>
      </c>
      <c r="N65" s="289">
        <f t="shared" si="17"/>
        <v>1759.8997493734337</v>
      </c>
      <c r="O65" s="289">
        <f t="shared" si="17"/>
        <v>1604.6688176124501</v>
      </c>
      <c r="P65" s="289">
        <f t="shared" si="17"/>
        <v>1607.9545454545455</v>
      </c>
      <c r="Q65" s="289">
        <f t="shared" si="17"/>
        <v>1607.3457023854601</v>
      </c>
    </row>
    <row r="66" spans="1:17" ht="27" customHeight="1" x14ac:dyDescent="0.2">
      <c r="A66" s="146" t="s">
        <v>135</v>
      </c>
      <c r="B66" s="146" t="s">
        <v>10</v>
      </c>
      <c r="C66" s="156">
        <f>0.578+0.115+0.294+0.327+0.018</f>
        <v>1.3319999999999999</v>
      </c>
      <c r="D66" s="148">
        <v>1.1798</v>
      </c>
      <c r="E66" s="148">
        <v>1.67</v>
      </c>
      <c r="F66" s="148">
        <v>1.919</v>
      </c>
      <c r="G66" s="148">
        <f>0.959+0.122+0.546+0.435</f>
        <v>2.0619999999999998</v>
      </c>
      <c r="H66" s="148">
        <f>1.049+0.126+0.382+0.53+0.003</f>
        <v>2.09</v>
      </c>
      <c r="I66" s="148">
        <v>1.8513999999999999</v>
      </c>
      <c r="J66" s="148">
        <v>2.5070000000000001</v>
      </c>
      <c r="K66" s="148">
        <v>2.67</v>
      </c>
      <c r="L66" s="148">
        <f>1.234+0.157+0.938+0.635</f>
        <v>2.9639999999999995</v>
      </c>
      <c r="M66" s="289">
        <f t="shared" si="18"/>
        <v>1569.0690690690692</v>
      </c>
      <c r="N66" s="289">
        <f t="shared" si="17"/>
        <v>1569.2490252585183</v>
      </c>
      <c r="O66" s="289">
        <f t="shared" si="17"/>
        <v>1501.1976047904193</v>
      </c>
      <c r="P66" s="289">
        <f t="shared" si="17"/>
        <v>1391.3496612819176</v>
      </c>
      <c r="Q66" s="289">
        <f t="shared" si="17"/>
        <v>1437.4393792434528</v>
      </c>
    </row>
    <row r="67" spans="1:17" ht="27" customHeight="1" x14ac:dyDescent="0.2">
      <c r="A67" s="397" t="s">
        <v>95</v>
      </c>
      <c r="B67" s="142" t="s">
        <v>120</v>
      </c>
      <c r="C67" s="160">
        <v>17.649999999999999</v>
      </c>
      <c r="D67" s="143">
        <f>10.73+7.24</f>
        <v>17.97</v>
      </c>
      <c r="E67" s="143">
        <v>18.05</v>
      </c>
      <c r="F67" s="143">
        <v>18.12</v>
      </c>
      <c r="G67" s="143">
        <f>10.88+7.3</f>
        <v>18.18</v>
      </c>
      <c r="H67" s="143">
        <v>21</v>
      </c>
      <c r="I67" s="143">
        <f>13.65+7.98</f>
        <v>21.630000000000003</v>
      </c>
      <c r="J67" s="143">
        <v>21.74</v>
      </c>
      <c r="K67" s="143">
        <v>21.84</v>
      </c>
      <c r="L67" s="143">
        <f>13.93+8.12</f>
        <v>22.049999999999997</v>
      </c>
      <c r="M67" s="145">
        <f t="shared" si="18"/>
        <v>1189.801699716714</v>
      </c>
      <c r="N67" s="145">
        <f t="shared" si="17"/>
        <v>1203.6727879799669</v>
      </c>
      <c r="O67" s="145">
        <f t="shared" si="17"/>
        <v>1204.4321329639888</v>
      </c>
      <c r="P67" s="145">
        <f t="shared" si="17"/>
        <v>1205.298013245033</v>
      </c>
      <c r="Q67" s="145">
        <f t="shared" si="17"/>
        <v>1212.8712871287128</v>
      </c>
    </row>
    <row r="68" spans="1:17" s="66" customFormat="1" ht="27" customHeight="1" x14ac:dyDescent="0.2">
      <c r="A68" s="397"/>
      <c r="B68" s="146" t="s">
        <v>10</v>
      </c>
      <c r="C68" s="148">
        <f>C67</f>
        <v>17.649999999999999</v>
      </c>
      <c r="D68" s="148">
        <f t="shared" ref="D68:L68" si="20">D67</f>
        <v>17.97</v>
      </c>
      <c r="E68" s="148">
        <f t="shared" si="20"/>
        <v>18.05</v>
      </c>
      <c r="F68" s="148">
        <f t="shared" si="20"/>
        <v>18.12</v>
      </c>
      <c r="G68" s="148">
        <f t="shared" si="20"/>
        <v>18.18</v>
      </c>
      <c r="H68" s="148">
        <f t="shared" si="20"/>
        <v>21</v>
      </c>
      <c r="I68" s="148">
        <f t="shared" si="20"/>
        <v>21.630000000000003</v>
      </c>
      <c r="J68" s="148">
        <f t="shared" si="20"/>
        <v>21.74</v>
      </c>
      <c r="K68" s="148">
        <f t="shared" si="20"/>
        <v>21.84</v>
      </c>
      <c r="L68" s="148">
        <f t="shared" si="20"/>
        <v>22.049999999999997</v>
      </c>
      <c r="M68" s="289">
        <f t="shared" si="18"/>
        <v>1189.801699716714</v>
      </c>
      <c r="N68" s="289">
        <f t="shared" si="17"/>
        <v>1203.6727879799669</v>
      </c>
      <c r="O68" s="289">
        <f t="shared" si="17"/>
        <v>1204.4321329639888</v>
      </c>
      <c r="P68" s="289">
        <f t="shared" si="17"/>
        <v>1205.298013245033</v>
      </c>
      <c r="Q68" s="289">
        <f t="shared" si="17"/>
        <v>1212.8712871287128</v>
      </c>
    </row>
    <row r="69" spans="1:17" ht="27" customHeight="1" x14ac:dyDescent="0.2">
      <c r="A69" s="397" t="s">
        <v>107</v>
      </c>
      <c r="B69" s="216" t="s">
        <v>119</v>
      </c>
      <c r="C69" s="160">
        <v>0.04</v>
      </c>
      <c r="D69" s="143">
        <v>0.37</v>
      </c>
      <c r="E69" s="143">
        <v>0.04</v>
      </c>
      <c r="F69" s="143">
        <v>0.04</v>
      </c>
      <c r="G69" s="143">
        <v>0.05</v>
      </c>
      <c r="H69" s="143">
        <v>0.02</v>
      </c>
      <c r="I69" s="143">
        <v>0.14000000000000001</v>
      </c>
      <c r="J69" s="143">
        <v>0.01</v>
      </c>
      <c r="K69" s="143">
        <v>0.02</v>
      </c>
      <c r="L69" s="143">
        <v>0.01</v>
      </c>
      <c r="M69" s="145">
        <f t="shared" si="18"/>
        <v>500</v>
      </c>
      <c r="N69" s="145">
        <f t="shared" si="17"/>
        <v>378.37837837837839</v>
      </c>
      <c r="O69" s="145">
        <f t="shared" si="17"/>
        <v>250</v>
      </c>
      <c r="P69" s="145">
        <f t="shared" si="17"/>
        <v>500</v>
      </c>
      <c r="Q69" s="145">
        <f t="shared" si="17"/>
        <v>199.99999999999997</v>
      </c>
    </row>
    <row r="70" spans="1:17" ht="27" customHeight="1" x14ac:dyDescent="0.2">
      <c r="A70" s="397"/>
      <c r="B70" s="142" t="s">
        <v>132</v>
      </c>
      <c r="C70" s="143">
        <v>33.909999999999997</v>
      </c>
      <c r="D70" s="143">
        <v>30.77</v>
      </c>
      <c r="E70" s="143">
        <v>31.6</v>
      </c>
      <c r="F70" s="143">
        <v>0</v>
      </c>
      <c r="G70" s="143">
        <v>0</v>
      </c>
      <c r="H70" s="143">
        <v>25.09</v>
      </c>
      <c r="I70" s="143">
        <v>23.63</v>
      </c>
      <c r="J70" s="143">
        <v>24.27</v>
      </c>
      <c r="K70" s="143">
        <v>0</v>
      </c>
      <c r="L70" s="143">
        <v>0</v>
      </c>
      <c r="M70" s="145">
        <f t="shared" si="18"/>
        <v>739.89973459156602</v>
      </c>
      <c r="N70" s="145">
        <f t="shared" si="17"/>
        <v>767.95580110497235</v>
      </c>
      <c r="O70" s="145">
        <f t="shared" si="17"/>
        <v>768.03797468354423</v>
      </c>
      <c r="P70" s="145" t="e">
        <f t="shared" si="17"/>
        <v>#DIV/0!</v>
      </c>
      <c r="Q70" s="145" t="e">
        <f t="shared" si="17"/>
        <v>#DIV/0!</v>
      </c>
    </row>
    <row r="71" spans="1:17" ht="27" customHeight="1" x14ac:dyDescent="0.2">
      <c r="A71" s="397"/>
      <c r="B71" s="142" t="s">
        <v>136</v>
      </c>
      <c r="C71" s="161">
        <v>90.779999999999973</v>
      </c>
      <c r="D71" s="143">
        <f>23.89+91.62</f>
        <v>115.51</v>
      </c>
      <c r="E71" s="143">
        <f>24.56+72.18</f>
        <v>96.740000000000009</v>
      </c>
      <c r="F71" s="143">
        <v>105.90999999999998</v>
      </c>
      <c r="G71" s="143">
        <f>34.6+29.74+84.84</f>
        <v>149.18</v>
      </c>
      <c r="H71" s="143">
        <f>16.66+32.9</f>
        <v>49.56</v>
      </c>
      <c r="I71" s="143">
        <f>17.63+44.16</f>
        <v>61.789999999999992</v>
      </c>
      <c r="J71" s="143">
        <f>18.17+35.08</f>
        <v>53.25</v>
      </c>
      <c r="K71" s="143">
        <v>58.63</v>
      </c>
      <c r="L71" s="143">
        <f>25.92+21.86+41.3</f>
        <v>89.08</v>
      </c>
      <c r="M71" s="145">
        <f t="shared" si="18"/>
        <v>545.93522802379402</v>
      </c>
      <c r="N71" s="145">
        <f t="shared" si="17"/>
        <v>534.93204051597252</v>
      </c>
      <c r="O71" s="145">
        <f t="shared" si="17"/>
        <v>550.44449038660321</v>
      </c>
      <c r="P71" s="145">
        <f t="shared" si="17"/>
        <v>553.58323104522719</v>
      </c>
      <c r="Q71" s="145">
        <f t="shared" si="17"/>
        <v>597.13098270545652</v>
      </c>
    </row>
    <row r="72" spans="1:17" s="66" customFormat="1" ht="27" customHeight="1" x14ac:dyDescent="0.2">
      <c r="A72" s="397"/>
      <c r="B72" s="146" t="s">
        <v>49</v>
      </c>
      <c r="C72" s="147">
        <f>C71+C70+C69</f>
        <v>124.72999999999998</v>
      </c>
      <c r="D72" s="147">
        <f t="shared" ref="D72:L72" si="21">SUM(D69:D71)</f>
        <v>146.65</v>
      </c>
      <c r="E72" s="147">
        <f t="shared" si="21"/>
        <v>128.38</v>
      </c>
      <c r="F72" s="147">
        <f t="shared" si="21"/>
        <v>105.94999999999999</v>
      </c>
      <c r="G72" s="147">
        <f t="shared" si="21"/>
        <v>149.23000000000002</v>
      </c>
      <c r="H72" s="147">
        <f t="shared" si="21"/>
        <v>74.67</v>
      </c>
      <c r="I72" s="147">
        <f t="shared" si="21"/>
        <v>85.559999999999988</v>
      </c>
      <c r="J72" s="147">
        <f t="shared" si="21"/>
        <v>77.53</v>
      </c>
      <c r="K72" s="147">
        <f t="shared" si="21"/>
        <v>58.650000000000006</v>
      </c>
      <c r="L72" s="147">
        <f t="shared" si="21"/>
        <v>89.09</v>
      </c>
      <c r="M72" s="289">
        <f t="shared" si="18"/>
        <v>598.65309067586008</v>
      </c>
      <c r="N72" s="289">
        <f t="shared" si="17"/>
        <v>583.42993521991127</v>
      </c>
      <c r="O72" s="289">
        <f t="shared" si="17"/>
        <v>603.91026639663505</v>
      </c>
      <c r="P72" s="289">
        <f t="shared" si="17"/>
        <v>553.5630014157623</v>
      </c>
      <c r="Q72" s="289">
        <f t="shared" si="17"/>
        <v>596.99792266970439</v>
      </c>
    </row>
    <row r="73" spans="1:17" ht="27" customHeight="1" x14ac:dyDescent="0.2">
      <c r="A73" s="397" t="s">
        <v>21</v>
      </c>
      <c r="B73" s="142" t="s">
        <v>149</v>
      </c>
      <c r="C73" s="161">
        <v>3.1</v>
      </c>
      <c r="D73" s="143">
        <v>2</v>
      </c>
      <c r="E73" s="143">
        <v>3.4</v>
      </c>
      <c r="F73" s="143">
        <v>1.8</v>
      </c>
      <c r="G73" s="143">
        <v>1.5</v>
      </c>
      <c r="H73" s="168">
        <v>4.2</v>
      </c>
      <c r="I73" s="143">
        <v>1.9</v>
      </c>
      <c r="J73" s="143">
        <v>4.4000000000000004</v>
      </c>
      <c r="K73" s="143">
        <v>1.6</v>
      </c>
      <c r="L73" s="143">
        <v>1.4</v>
      </c>
      <c r="M73" s="145">
        <f t="shared" si="18"/>
        <v>1354.8387096774195</v>
      </c>
      <c r="N73" s="145">
        <f t="shared" si="17"/>
        <v>950</v>
      </c>
      <c r="O73" s="145">
        <f t="shared" si="17"/>
        <v>1294.1176470588236</v>
      </c>
      <c r="P73" s="145">
        <f t="shared" si="17"/>
        <v>888.88888888888891</v>
      </c>
      <c r="Q73" s="145">
        <f t="shared" si="17"/>
        <v>933.33333333333326</v>
      </c>
    </row>
    <row r="74" spans="1:17" s="66" customFormat="1" ht="27" customHeight="1" x14ac:dyDescent="0.2">
      <c r="A74" s="397"/>
      <c r="B74" s="146" t="s">
        <v>10</v>
      </c>
      <c r="C74" s="147">
        <f>SUM(C73:C73)</f>
        <v>3.1</v>
      </c>
      <c r="D74" s="147">
        <f t="shared" ref="D74:L74" si="22">SUM(D73:D73)</f>
        <v>2</v>
      </c>
      <c r="E74" s="147">
        <f t="shared" si="22"/>
        <v>3.4</v>
      </c>
      <c r="F74" s="147">
        <f t="shared" si="22"/>
        <v>1.8</v>
      </c>
      <c r="G74" s="147">
        <f t="shared" si="22"/>
        <v>1.5</v>
      </c>
      <c r="H74" s="147">
        <f t="shared" si="22"/>
        <v>4.2</v>
      </c>
      <c r="I74" s="147">
        <f t="shared" si="22"/>
        <v>1.9</v>
      </c>
      <c r="J74" s="147">
        <f t="shared" si="22"/>
        <v>4.4000000000000004</v>
      </c>
      <c r="K74" s="147">
        <f t="shared" si="22"/>
        <v>1.6</v>
      </c>
      <c r="L74" s="147">
        <f t="shared" si="22"/>
        <v>1.4</v>
      </c>
      <c r="M74" s="289">
        <f t="shared" si="18"/>
        <v>1354.8387096774195</v>
      </c>
      <c r="N74" s="289">
        <f t="shared" si="17"/>
        <v>950</v>
      </c>
      <c r="O74" s="289">
        <f t="shared" si="17"/>
        <v>1294.1176470588236</v>
      </c>
      <c r="P74" s="289">
        <f t="shared" si="17"/>
        <v>888.88888888888891</v>
      </c>
      <c r="Q74" s="289">
        <f t="shared" si="17"/>
        <v>933.33333333333326</v>
      </c>
    </row>
    <row r="75" spans="1:17" ht="27" customHeight="1" x14ac:dyDescent="0.2">
      <c r="A75" s="397" t="s">
        <v>22</v>
      </c>
      <c r="B75" s="142" t="s">
        <v>145</v>
      </c>
      <c r="C75" s="161">
        <v>0</v>
      </c>
      <c r="D75" s="143">
        <v>14.316000000000001</v>
      </c>
      <c r="E75" s="143">
        <v>13.37</v>
      </c>
      <c r="F75" s="143">
        <v>13.593</v>
      </c>
      <c r="G75" s="143">
        <v>5.851</v>
      </c>
      <c r="H75" s="161">
        <v>0</v>
      </c>
      <c r="I75" s="143">
        <v>36.584000000000003</v>
      </c>
      <c r="J75" s="143">
        <v>25.841999999999999</v>
      </c>
      <c r="K75" s="143">
        <v>32.018999999999998</v>
      </c>
      <c r="L75" s="143">
        <f>14.239</f>
        <v>14.239000000000001</v>
      </c>
      <c r="M75" s="145" t="e">
        <f t="shared" si="18"/>
        <v>#DIV/0!</v>
      </c>
      <c r="N75" s="145">
        <f t="shared" si="17"/>
        <v>2555.4624196702989</v>
      </c>
      <c r="O75" s="145">
        <f t="shared" si="17"/>
        <v>1932.8347045624532</v>
      </c>
      <c r="P75" s="145">
        <f t="shared" si="17"/>
        <v>2355.550651070404</v>
      </c>
      <c r="Q75" s="145">
        <f t="shared" si="17"/>
        <v>2433.6010938301147</v>
      </c>
    </row>
    <row r="76" spans="1:17" ht="27" customHeight="1" x14ac:dyDescent="0.2">
      <c r="A76" s="397"/>
      <c r="B76" s="142" t="s">
        <v>97</v>
      </c>
      <c r="C76" s="160">
        <v>21.597999999999999</v>
      </c>
      <c r="D76" s="143">
        <f>2.756</f>
        <v>2.7559999999999998</v>
      </c>
      <c r="E76" s="143">
        <v>1.627</v>
      </c>
      <c r="F76" s="143">
        <v>3.5870000000000002</v>
      </c>
      <c r="G76" s="143">
        <f>0.625+7.275</f>
        <v>7.9</v>
      </c>
      <c r="H76" s="161">
        <v>54.198999999999998</v>
      </c>
      <c r="I76" s="143">
        <v>4.9400000000000004</v>
      </c>
      <c r="J76" s="143">
        <f>2.088+0.002</f>
        <v>2.09</v>
      </c>
      <c r="K76" s="143">
        <v>4.8710000000000022</v>
      </c>
      <c r="L76" s="143">
        <f>1.243+10.676</f>
        <v>11.919</v>
      </c>
      <c r="M76" s="145">
        <f t="shared" si="18"/>
        <v>2509.4453190110198</v>
      </c>
      <c r="N76" s="145">
        <f t="shared" si="17"/>
        <v>1792.4528301886794</v>
      </c>
      <c r="O76" s="145">
        <f t="shared" si="17"/>
        <v>1284.5728334357714</v>
      </c>
      <c r="P76" s="145">
        <f t="shared" si="17"/>
        <v>1357.9592974630616</v>
      </c>
      <c r="Q76" s="145">
        <f t="shared" si="17"/>
        <v>1508.7341772151899</v>
      </c>
    </row>
    <row r="77" spans="1:17" s="66" customFormat="1" ht="27" customHeight="1" x14ac:dyDescent="0.2">
      <c r="A77" s="397"/>
      <c r="B77" s="146" t="s">
        <v>10</v>
      </c>
      <c r="C77" s="147">
        <f>SUM(C75:C76)</f>
        <v>21.597999999999999</v>
      </c>
      <c r="D77" s="147">
        <f t="shared" ref="D77:L77" si="23">SUM(D75:D76)</f>
        <v>17.071999999999999</v>
      </c>
      <c r="E77" s="147">
        <f t="shared" si="23"/>
        <v>14.997</v>
      </c>
      <c r="F77" s="147">
        <f t="shared" si="23"/>
        <v>17.18</v>
      </c>
      <c r="G77" s="147">
        <f t="shared" si="23"/>
        <v>13.751000000000001</v>
      </c>
      <c r="H77" s="147">
        <f t="shared" si="23"/>
        <v>54.198999999999998</v>
      </c>
      <c r="I77" s="147">
        <f t="shared" si="23"/>
        <v>41.524000000000001</v>
      </c>
      <c r="J77" s="147">
        <f t="shared" si="23"/>
        <v>27.931999999999999</v>
      </c>
      <c r="K77" s="147">
        <f>K75+K76</f>
        <v>36.89</v>
      </c>
      <c r="L77" s="147">
        <f t="shared" si="23"/>
        <v>26.158000000000001</v>
      </c>
      <c r="M77" s="289">
        <f t="shared" si="18"/>
        <v>2509.4453190110198</v>
      </c>
      <c r="N77" s="289">
        <f t="shared" si="17"/>
        <v>2432.2867853795688</v>
      </c>
      <c r="O77" s="289">
        <f t="shared" si="17"/>
        <v>1862.5058345002333</v>
      </c>
      <c r="P77" s="289">
        <f t="shared" si="17"/>
        <v>2147.2642607683351</v>
      </c>
      <c r="Q77" s="289">
        <f t="shared" si="17"/>
        <v>1902.2616536979128</v>
      </c>
    </row>
    <row r="78" spans="1:17" ht="27" hidden="1" customHeight="1" x14ac:dyDescent="0.2">
      <c r="A78" s="146" t="s">
        <v>153</v>
      </c>
      <c r="B78" s="142" t="s">
        <v>154</v>
      </c>
      <c r="C78" s="160">
        <v>0</v>
      </c>
      <c r="D78" s="143"/>
      <c r="E78" s="143"/>
      <c r="F78" s="143"/>
      <c r="G78" s="225"/>
      <c r="H78" s="160">
        <v>0</v>
      </c>
      <c r="I78" s="143"/>
      <c r="J78" s="143"/>
      <c r="K78" s="143"/>
      <c r="L78" s="64"/>
      <c r="M78" s="145" t="e">
        <f t="shared" si="18"/>
        <v>#DIV/0!</v>
      </c>
      <c r="N78" s="145" t="e">
        <f t="shared" si="18"/>
        <v>#DIV/0!</v>
      </c>
      <c r="O78" s="145" t="e">
        <f t="shared" si="18"/>
        <v>#DIV/0!</v>
      </c>
      <c r="P78" s="145" t="e">
        <f t="shared" si="18"/>
        <v>#DIV/0!</v>
      </c>
      <c r="Q78" s="145" t="e">
        <f t="shared" si="18"/>
        <v>#DIV/0!</v>
      </c>
    </row>
    <row r="79" spans="1:17" ht="27" hidden="1" customHeight="1" x14ac:dyDescent="0.2">
      <c r="A79" s="146"/>
      <c r="B79" s="142" t="s">
        <v>10</v>
      </c>
      <c r="C79" s="161">
        <f>C78</f>
        <v>0</v>
      </c>
      <c r="D79" s="147">
        <f>D78</f>
        <v>0</v>
      </c>
      <c r="E79" s="147"/>
      <c r="F79" s="147"/>
      <c r="G79" s="225"/>
      <c r="H79" s="161">
        <f>H78</f>
        <v>0</v>
      </c>
      <c r="I79" s="147">
        <f>I78</f>
        <v>0</v>
      </c>
      <c r="J79" s="147"/>
      <c r="K79" s="147"/>
      <c r="L79" s="64"/>
      <c r="M79" s="145" t="e">
        <f t="shared" si="18"/>
        <v>#DIV/0!</v>
      </c>
      <c r="N79" s="145" t="e">
        <f t="shared" si="18"/>
        <v>#DIV/0!</v>
      </c>
      <c r="O79" s="145" t="e">
        <f t="shared" si="18"/>
        <v>#DIV/0!</v>
      </c>
      <c r="P79" s="145" t="e">
        <f t="shared" si="18"/>
        <v>#DIV/0!</v>
      </c>
      <c r="Q79" s="145" t="e">
        <f t="shared" si="18"/>
        <v>#DIV/0!</v>
      </c>
    </row>
    <row r="80" spans="1:17" ht="27" customHeight="1" x14ac:dyDescent="0.2">
      <c r="A80" s="397" t="s">
        <v>61</v>
      </c>
      <c r="B80" s="216" t="s">
        <v>119</v>
      </c>
      <c r="C80" s="160">
        <v>34.85</v>
      </c>
      <c r="D80" s="143">
        <v>53.5</v>
      </c>
      <c r="E80" s="143">
        <v>73.41</v>
      </c>
      <c r="F80" s="143">
        <v>76.62</v>
      </c>
      <c r="G80" s="143">
        <v>71.98</v>
      </c>
      <c r="H80" s="143">
        <v>11.19</v>
      </c>
      <c r="I80" s="143">
        <v>42.26</v>
      </c>
      <c r="J80" s="143">
        <v>50.65</v>
      </c>
      <c r="K80" s="143">
        <v>59.68</v>
      </c>
      <c r="L80" s="143">
        <v>53.89</v>
      </c>
      <c r="M80" s="145">
        <f t="shared" si="18"/>
        <v>321.09038737446195</v>
      </c>
      <c r="N80" s="145">
        <f t="shared" si="18"/>
        <v>789.90654205607473</v>
      </c>
      <c r="O80" s="145">
        <f t="shared" si="18"/>
        <v>689.96049584525269</v>
      </c>
      <c r="P80" s="145">
        <f t="shared" si="18"/>
        <v>778.90890107021664</v>
      </c>
      <c r="Q80" s="145">
        <f t="shared" si="18"/>
        <v>748.68018894137253</v>
      </c>
    </row>
    <row r="81" spans="1:17" ht="27" customHeight="1" x14ac:dyDescent="0.2">
      <c r="A81" s="397"/>
      <c r="B81" s="142" t="s">
        <v>120</v>
      </c>
      <c r="C81" s="160">
        <v>25.22</v>
      </c>
      <c r="D81" s="143">
        <v>24.46</v>
      </c>
      <c r="E81" s="143">
        <v>40.75</v>
      </c>
      <c r="F81" s="143">
        <v>39.57</v>
      </c>
      <c r="G81" s="143">
        <v>34.14</v>
      </c>
      <c r="H81" s="143">
        <v>12.54</v>
      </c>
      <c r="I81" s="143">
        <v>15.62</v>
      </c>
      <c r="J81" s="143">
        <v>30.68</v>
      </c>
      <c r="K81" s="143">
        <v>26.66</v>
      </c>
      <c r="L81" s="143">
        <v>20.25</v>
      </c>
      <c r="M81" s="145">
        <f t="shared" si="18"/>
        <v>497.22442505947663</v>
      </c>
      <c r="N81" s="145">
        <f t="shared" si="18"/>
        <v>638.59362224039239</v>
      </c>
      <c r="O81" s="145">
        <f t="shared" si="18"/>
        <v>752.88343558282213</v>
      </c>
      <c r="P81" s="145">
        <f t="shared" si="18"/>
        <v>673.74273439474348</v>
      </c>
      <c r="Q81" s="145">
        <f t="shared" si="18"/>
        <v>593.14586994727597</v>
      </c>
    </row>
    <row r="82" spans="1:17" s="66" customFormat="1" ht="27" customHeight="1" x14ac:dyDescent="0.2">
      <c r="A82" s="397"/>
      <c r="B82" s="146" t="s">
        <v>10</v>
      </c>
      <c r="C82" s="147">
        <f>SUM(C80:C81)</f>
        <v>60.07</v>
      </c>
      <c r="D82" s="147">
        <f t="shared" ref="D82:L82" si="24">SUM(D80:D81)</f>
        <v>77.960000000000008</v>
      </c>
      <c r="E82" s="147">
        <f t="shared" si="24"/>
        <v>114.16</v>
      </c>
      <c r="F82" s="147">
        <f t="shared" si="24"/>
        <v>116.19</v>
      </c>
      <c r="G82" s="147">
        <f t="shared" si="24"/>
        <v>106.12</v>
      </c>
      <c r="H82" s="147">
        <f t="shared" si="24"/>
        <v>23.729999999999997</v>
      </c>
      <c r="I82" s="147">
        <f t="shared" si="24"/>
        <v>57.879999999999995</v>
      </c>
      <c r="J82" s="147">
        <f t="shared" si="24"/>
        <v>81.33</v>
      </c>
      <c r="K82" s="147">
        <f t="shared" si="24"/>
        <v>86.34</v>
      </c>
      <c r="L82" s="147">
        <f t="shared" si="24"/>
        <v>74.14</v>
      </c>
      <c r="M82" s="289">
        <f t="shared" si="18"/>
        <v>395.03912102547025</v>
      </c>
      <c r="N82" s="289">
        <f t="shared" si="18"/>
        <v>742.43201641867608</v>
      </c>
      <c r="O82" s="289">
        <f t="shared" si="18"/>
        <v>712.42116327960753</v>
      </c>
      <c r="P82" s="289">
        <f t="shared" si="18"/>
        <v>743.09320939839915</v>
      </c>
      <c r="Q82" s="289">
        <f t="shared" si="18"/>
        <v>698.64304560874484</v>
      </c>
    </row>
    <row r="83" spans="1:17" ht="27" customHeight="1" x14ac:dyDescent="0.2">
      <c r="A83" s="397" t="s">
        <v>109</v>
      </c>
      <c r="B83" s="216" t="s">
        <v>119</v>
      </c>
      <c r="C83" s="161">
        <v>1</v>
      </c>
      <c r="D83" s="143">
        <v>1</v>
      </c>
      <c r="E83" s="143">
        <v>1</v>
      </c>
      <c r="F83" s="143">
        <v>1</v>
      </c>
      <c r="G83" s="143">
        <v>1</v>
      </c>
      <c r="H83" s="143">
        <v>1</v>
      </c>
      <c r="I83" s="143">
        <v>0</v>
      </c>
      <c r="J83" s="143">
        <v>1</v>
      </c>
      <c r="K83" s="143">
        <v>1</v>
      </c>
      <c r="L83" s="143">
        <v>1</v>
      </c>
      <c r="M83" s="145">
        <f t="shared" si="18"/>
        <v>1000</v>
      </c>
      <c r="N83" s="145">
        <f t="shared" si="18"/>
        <v>0</v>
      </c>
      <c r="O83" s="145">
        <f t="shared" si="18"/>
        <v>1000</v>
      </c>
      <c r="P83" s="145">
        <f t="shared" si="18"/>
        <v>1000</v>
      </c>
      <c r="Q83" s="145">
        <f t="shared" si="18"/>
        <v>1000</v>
      </c>
    </row>
    <row r="84" spans="1:17" ht="27" customHeight="1" x14ac:dyDescent="0.2">
      <c r="A84" s="397"/>
      <c r="B84" s="142" t="s">
        <v>120</v>
      </c>
      <c r="C84" s="161">
        <v>6</v>
      </c>
      <c r="D84" s="143">
        <f>1+4</f>
        <v>5</v>
      </c>
      <c r="E84" s="143">
        <f>4</f>
        <v>4</v>
      </c>
      <c r="F84" s="143">
        <v>2</v>
      </c>
      <c r="G84" s="143">
        <f>1+5</f>
        <v>6</v>
      </c>
      <c r="H84" s="143">
        <v>6</v>
      </c>
      <c r="I84" s="143">
        <f>1+5</f>
        <v>6</v>
      </c>
      <c r="J84" s="143">
        <v>5</v>
      </c>
      <c r="K84" s="143">
        <v>2</v>
      </c>
      <c r="L84" s="143">
        <f>1+5</f>
        <v>6</v>
      </c>
      <c r="M84" s="145">
        <f t="shared" si="18"/>
        <v>1000</v>
      </c>
      <c r="N84" s="145">
        <f t="shared" si="18"/>
        <v>1200</v>
      </c>
      <c r="O84" s="145">
        <f t="shared" si="18"/>
        <v>1250</v>
      </c>
      <c r="P84" s="145">
        <f t="shared" si="18"/>
        <v>1000</v>
      </c>
      <c r="Q84" s="145">
        <f t="shared" si="18"/>
        <v>1000</v>
      </c>
    </row>
    <row r="85" spans="1:17" s="66" customFormat="1" ht="27" customHeight="1" x14ac:dyDescent="0.2">
      <c r="A85" s="397"/>
      <c r="B85" s="146" t="s">
        <v>10</v>
      </c>
      <c r="C85" s="147">
        <f>SUM(C83:C84)</f>
        <v>7</v>
      </c>
      <c r="D85" s="147">
        <f t="shared" ref="D85:L85" si="25">SUM(D83:D84)</f>
        <v>6</v>
      </c>
      <c r="E85" s="147">
        <f t="shared" si="25"/>
        <v>5</v>
      </c>
      <c r="F85" s="147">
        <f t="shared" si="25"/>
        <v>3</v>
      </c>
      <c r="G85" s="147">
        <f t="shared" si="25"/>
        <v>7</v>
      </c>
      <c r="H85" s="147">
        <f t="shared" si="25"/>
        <v>7</v>
      </c>
      <c r="I85" s="147">
        <f t="shared" si="25"/>
        <v>6</v>
      </c>
      <c r="J85" s="147">
        <f t="shared" si="25"/>
        <v>6</v>
      </c>
      <c r="K85" s="147">
        <f t="shared" si="25"/>
        <v>3</v>
      </c>
      <c r="L85" s="147">
        <f t="shared" si="25"/>
        <v>7</v>
      </c>
      <c r="M85" s="145">
        <f t="shared" si="18"/>
        <v>1000</v>
      </c>
      <c r="N85" s="145">
        <f t="shared" si="18"/>
        <v>1000</v>
      </c>
      <c r="O85" s="145">
        <f t="shared" si="18"/>
        <v>1200</v>
      </c>
      <c r="P85" s="145">
        <f t="shared" si="18"/>
        <v>1000</v>
      </c>
      <c r="Q85" s="145">
        <f t="shared" si="18"/>
        <v>1000</v>
      </c>
    </row>
    <row r="86" spans="1:17" ht="27" customHeight="1" x14ac:dyDescent="0.2">
      <c r="A86" s="397" t="s">
        <v>59</v>
      </c>
      <c r="B86" s="142" t="s">
        <v>145</v>
      </c>
      <c r="C86" s="160">
        <v>3.2</v>
      </c>
      <c r="D86" s="143">
        <v>3.4740000000000002</v>
      </c>
      <c r="E86" s="143">
        <v>3.39</v>
      </c>
      <c r="F86" s="143">
        <v>3.2</v>
      </c>
      <c r="G86" s="143">
        <v>3.1030000000000002</v>
      </c>
      <c r="H86" s="143">
        <v>2.8159999999999998</v>
      </c>
      <c r="I86" s="143">
        <v>3.0569999999999999</v>
      </c>
      <c r="J86" s="143">
        <v>2.85</v>
      </c>
      <c r="K86" s="143">
        <v>2.83</v>
      </c>
      <c r="L86" s="143">
        <v>2.7109999999999999</v>
      </c>
      <c r="M86" s="145">
        <f t="shared" si="18"/>
        <v>879.99999999999989</v>
      </c>
      <c r="N86" s="145">
        <f t="shared" si="18"/>
        <v>879.96545768566489</v>
      </c>
      <c r="O86" s="145">
        <f t="shared" si="18"/>
        <v>840.70796460176985</v>
      </c>
      <c r="P86" s="145">
        <f t="shared" si="18"/>
        <v>884.375</v>
      </c>
      <c r="Q86" s="145">
        <f t="shared" si="18"/>
        <v>873.67064131485654</v>
      </c>
    </row>
    <row r="87" spans="1:17" ht="27" customHeight="1" x14ac:dyDescent="0.2">
      <c r="A87" s="397"/>
      <c r="B87" s="142" t="s">
        <v>120</v>
      </c>
      <c r="C87" s="160">
        <v>0.55000000000000004</v>
      </c>
      <c r="D87" s="143">
        <v>0.39300000000000002</v>
      </c>
      <c r="E87" s="143">
        <f>0.028+0.857</f>
        <v>0.88500000000000001</v>
      </c>
      <c r="F87" s="143">
        <v>0.92400000000000004</v>
      </c>
      <c r="G87" s="143">
        <f>0.829+0.018</f>
        <v>0.84699999999999998</v>
      </c>
      <c r="H87" s="143">
        <v>0.46800000000000003</v>
      </c>
      <c r="I87" s="143">
        <v>0.373</v>
      </c>
      <c r="J87" s="143">
        <f>0.018+0.725</f>
        <v>0.74299999999999999</v>
      </c>
      <c r="K87" s="143">
        <v>0.83800000000000008</v>
      </c>
      <c r="L87" s="143">
        <f>0.012+0.712</f>
        <v>0.72399999999999998</v>
      </c>
      <c r="M87" s="145">
        <f t="shared" si="18"/>
        <v>850.90909090909088</v>
      </c>
      <c r="N87" s="145">
        <f t="shared" si="18"/>
        <v>949.10941475826974</v>
      </c>
      <c r="O87" s="145">
        <f t="shared" si="18"/>
        <v>839.54802259887003</v>
      </c>
      <c r="P87" s="145">
        <f t="shared" si="18"/>
        <v>906.92640692640691</v>
      </c>
      <c r="Q87" s="145">
        <f t="shared" si="18"/>
        <v>854.7815820543093</v>
      </c>
    </row>
    <row r="88" spans="1:17" s="66" customFormat="1" ht="27" customHeight="1" x14ac:dyDescent="0.2">
      <c r="A88" s="397"/>
      <c r="B88" s="146" t="s">
        <v>10</v>
      </c>
      <c r="C88" s="147">
        <f>SUM(C86:C87)</f>
        <v>3.75</v>
      </c>
      <c r="D88" s="147">
        <f t="shared" ref="D88:L88" si="26">SUM(D86:D87)</f>
        <v>3.867</v>
      </c>
      <c r="E88" s="147">
        <f t="shared" si="26"/>
        <v>4.2750000000000004</v>
      </c>
      <c r="F88" s="147">
        <f t="shared" si="26"/>
        <v>4.1240000000000006</v>
      </c>
      <c r="G88" s="147">
        <f t="shared" si="26"/>
        <v>3.95</v>
      </c>
      <c r="H88" s="147">
        <f t="shared" si="26"/>
        <v>3.2839999999999998</v>
      </c>
      <c r="I88" s="147">
        <f t="shared" si="26"/>
        <v>3.4299999999999997</v>
      </c>
      <c r="J88" s="147">
        <f t="shared" si="26"/>
        <v>3.593</v>
      </c>
      <c r="K88" s="147">
        <f t="shared" si="26"/>
        <v>3.6680000000000001</v>
      </c>
      <c r="L88" s="147">
        <f t="shared" si="26"/>
        <v>3.4349999999999996</v>
      </c>
      <c r="M88" s="289">
        <f t="shared" si="18"/>
        <v>875.73333333333323</v>
      </c>
      <c r="N88" s="289">
        <f t="shared" si="18"/>
        <v>886.99250064649596</v>
      </c>
      <c r="O88" s="289">
        <f t="shared" si="18"/>
        <v>840.46783625730995</v>
      </c>
      <c r="P88" s="289">
        <f t="shared" si="18"/>
        <v>889.42774005819581</v>
      </c>
      <c r="Q88" s="289">
        <f t="shared" si="18"/>
        <v>869.62025316455686</v>
      </c>
    </row>
    <row r="89" spans="1:17" ht="27" customHeight="1" x14ac:dyDescent="0.2">
      <c r="A89" s="397" t="s">
        <v>12</v>
      </c>
      <c r="B89" s="142" t="s">
        <v>149</v>
      </c>
      <c r="C89" s="160">
        <v>384</v>
      </c>
      <c r="D89" s="143">
        <f>294</f>
        <v>294</v>
      </c>
      <c r="E89" s="143">
        <v>333</v>
      </c>
      <c r="F89" s="143">
        <v>344</v>
      </c>
      <c r="G89" s="143">
        <v>361</v>
      </c>
      <c r="H89" s="143">
        <v>417.7898908296944</v>
      </c>
      <c r="I89" s="143">
        <v>432</v>
      </c>
      <c r="J89" s="143">
        <v>539</v>
      </c>
      <c r="K89" s="143">
        <v>565.79999999999995</v>
      </c>
      <c r="L89" s="143">
        <v>562</v>
      </c>
      <c r="M89" s="145">
        <f t="shared" si="18"/>
        <v>1087.9945073689958</v>
      </c>
      <c r="N89" s="145">
        <f t="shared" si="18"/>
        <v>1469.387755102041</v>
      </c>
      <c r="O89" s="145">
        <f t="shared" si="18"/>
        <v>1618.6186186186187</v>
      </c>
      <c r="P89" s="145">
        <f t="shared" si="18"/>
        <v>1644.7674418604649</v>
      </c>
      <c r="Q89" s="145">
        <f t="shared" si="18"/>
        <v>1556.786703601108</v>
      </c>
    </row>
    <row r="90" spans="1:17" s="66" customFormat="1" ht="27" customHeight="1" x14ac:dyDescent="0.2">
      <c r="A90" s="397"/>
      <c r="B90" s="146" t="s">
        <v>10</v>
      </c>
      <c r="C90" s="147">
        <f>SUM(C89:C89)</f>
        <v>384</v>
      </c>
      <c r="D90" s="147">
        <f t="shared" ref="D90:L90" si="27">SUM(D89:D89)</f>
        <v>294</v>
      </c>
      <c r="E90" s="147">
        <f t="shared" si="27"/>
        <v>333</v>
      </c>
      <c r="F90" s="147">
        <f t="shared" si="27"/>
        <v>344</v>
      </c>
      <c r="G90" s="147">
        <f t="shared" si="27"/>
        <v>361</v>
      </c>
      <c r="H90" s="147">
        <f t="shared" si="27"/>
        <v>417.7898908296944</v>
      </c>
      <c r="I90" s="147">
        <f t="shared" si="27"/>
        <v>432</v>
      </c>
      <c r="J90" s="147">
        <f t="shared" si="27"/>
        <v>539</v>
      </c>
      <c r="K90" s="147">
        <f t="shared" si="27"/>
        <v>565.79999999999995</v>
      </c>
      <c r="L90" s="147">
        <f t="shared" si="27"/>
        <v>562</v>
      </c>
      <c r="M90" s="289">
        <f t="shared" si="18"/>
        <v>1087.9945073689958</v>
      </c>
      <c r="N90" s="289">
        <f t="shared" si="18"/>
        <v>1469.387755102041</v>
      </c>
      <c r="O90" s="289">
        <f t="shared" si="18"/>
        <v>1618.6186186186187</v>
      </c>
      <c r="P90" s="289">
        <f t="shared" si="18"/>
        <v>1644.7674418604649</v>
      </c>
      <c r="Q90" s="289">
        <f t="shared" si="18"/>
        <v>1556.786703601108</v>
      </c>
    </row>
    <row r="91" spans="1:17" ht="27" customHeight="1" x14ac:dyDescent="0.2">
      <c r="A91" s="397" t="s">
        <v>90</v>
      </c>
      <c r="B91" s="142" t="s">
        <v>145</v>
      </c>
      <c r="C91" s="160">
        <v>6</v>
      </c>
      <c r="D91" s="143">
        <v>5</v>
      </c>
      <c r="E91" s="143">
        <v>5</v>
      </c>
      <c r="F91" s="143">
        <v>8</v>
      </c>
      <c r="G91" s="143">
        <v>7</v>
      </c>
      <c r="H91" s="161">
        <v>6</v>
      </c>
      <c r="I91" s="143">
        <v>5</v>
      </c>
      <c r="J91" s="143">
        <v>5</v>
      </c>
      <c r="K91" s="143">
        <v>7</v>
      </c>
      <c r="L91" s="143">
        <v>6.16</v>
      </c>
      <c r="M91" s="145">
        <f t="shared" si="18"/>
        <v>1000</v>
      </c>
      <c r="N91" s="145">
        <f t="shared" si="18"/>
        <v>1000</v>
      </c>
      <c r="O91" s="145">
        <f t="shared" si="18"/>
        <v>1000</v>
      </c>
      <c r="P91" s="145">
        <f t="shared" si="18"/>
        <v>875</v>
      </c>
      <c r="Q91" s="145">
        <f t="shared" si="18"/>
        <v>880</v>
      </c>
    </row>
    <row r="92" spans="1:17" ht="27" hidden="1" customHeight="1" x14ac:dyDescent="0.2">
      <c r="A92" s="397"/>
      <c r="B92" s="142" t="s">
        <v>97</v>
      </c>
      <c r="C92" s="161">
        <v>0</v>
      </c>
      <c r="D92" s="143">
        <v>0</v>
      </c>
      <c r="E92" s="143">
        <v>0</v>
      </c>
      <c r="F92" s="143"/>
      <c r="G92" s="225"/>
      <c r="H92" s="161">
        <v>0</v>
      </c>
      <c r="I92" s="143">
        <v>0</v>
      </c>
      <c r="J92" s="143">
        <v>0</v>
      </c>
      <c r="K92" s="143"/>
      <c r="L92" s="64"/>
      <c r="M92" s="145" t="e">
        <f t="shared" si="18"/>
        <v>#DIV/0!</v>
      </c>
      <c r="N92" s="145" t="e">
        <f t="shared" si="18"/>
        <v>#DIV/0!</v>
      </c>
      <c r="O92" s="145" t="e">
        <f t="shared" si="18"/>
        <v>#DIV/0!</v>
      </c>
      <c r="P92" s="145" t="e">
        <f t="shared" si="18"/>
        <v>#DIV/0!</v>
      </c>
      <c r="Q92" s="145" t="e">
        <f t="shared" si="18"/>
        <v>#DIV/0!</v>
      </c>
    </row>
    <row r="93" spans="1:17" s="66" customFormat="1" ht="27" customHeight="1" x14ac:dyDescent="0.2">
      <c r="A93" s="397"/>
      <c r="B93" s="146" t="s">
        <v>10</v>
      </c>
      <c r="C93" s="147">
        <f>SUM(C91:C92)</f>
        <v>6</v>
      </c>
      <c r="D93" s="147">
        <f t="shared" ref="D93:L93" si="28">SUM(D91:D92)</f>
        <v>5</v>
      </c>
      <c r="E93" s="147">
        <f t="shared" si="28"/>
        <v>5</v>
      </c>
      <c r="F93" s="147">
        <f t="shared" si="28"/>
        <v>8</v>
      </c>
      <c r="G93" s="147">
        <f t="shared" si="28"/>
        <v>7</v>
      </c>
      <c r="H93" s="147">
        <f t="shared" si="28"/>
        <v>6</v>
      </c>
      <c r="I93" s="147">
        <f t="shared" si="28"/>
        <v>5</v>
      </c>
      <c r="J93" s="147">
        <f t="shared" si="28"/>
        <v>5</v>
      </c>
      <c r="K93" s="147">
        <f t="shared" si="28"/>
        <v>7</v>
      </c>
      <c r="L93" s="147">
        <f t="shared" si="28"/>
        <v>6.16</v>
      </c>
      <c r="M93" s="289">
        <f t="shared" si="18"/>
        <v>1000</v>
      </c>
      <c r="N93" s="289">
        <f t="shared" si="18"/>
        <v>1000</v>
      </c>
      <c r="O93" s="289">
        <f t="shared" si="18"/>
        <v>1000</v>
      </c>
      <c r="P93" s="289">
        <f t="shared" si="18"/>
        <v>875</v>
      </c>
      <c r="Q93" s="289">
        <f t="shared" si="18"/>
        <v>880</v>
      </c>
    </row>
    <row r="94" spans="1:17" ht="27" customHeight="1" x14ac:dyDescent="0.2">
      <c r="A94" s="397" t="s">
        <v>96</v>
      </c>
      <c r="B94" s="142" t="s">
        <v>145</v>
      </c>
      <c r="C94" s="160">
        <v>13.683999999999999</v>
      </c>
      <c r="D94" s="143">
        <v>18</v>
      </c>
      <c r="E94" s="143">
        <v>17.100000000000001</v>
      </c>
      <c r="F94" s="143">
        <v>20.041</v>
      </c>
      <c r="G94" s="143">
        <v>18.206</v>
      </c>
      <c r="H94" s="143">
        <v>15.337999999999999</v>
      </c>
      <c r="I94" s="143">
        <v>21</v>
      </c>
      <c r="J94" s="143">
        <v>20.010000000000002</v>
      </c>
      <c r="K94" s="143">
        <v>19.03</v>
      </c>
      <c r="L94" s="143">
        <v>20.306000000000001</v>
      </c>
      <c r="M94" s="145">
        <f t="shared" si="18"/>
        <v>1120.8710903244664</v>
      </c>
      <c r="N94" s="145">
        <f t="shared" si="18"/>
        <v>1166.6666666666667</v>
      </c>
      <c r="O94" s="145">
        <f t="shared" si="18"/>
        <v>1170.1754385964914</v>
      </c>
      <c r="P94" s="145">
        <f t="shared" si="18"/>
        <v>949.55341549822867</v>
      </c>
      <c r="Q94" s="145">
        <f t="shared" si="18"/>
        <v>1115.3465890365815</v>
      </c>
    </row>
    <row r="95" spans="1:17" ht="27" customHeight="1" x14ac:dyDescent="0.2">
      <c r="A95" s="397"/>
      <c r="B95" s="142" t="s">
        <v>146</v>
      </c>
      <c r="C95" s="160">
        <v>55</v>
      </c>
      <c r="D95" s="143">
        <v>87</v>
      </c>
      <c r="E95" s="143">
        <v>92.5</v>
      </c>
      <c r="F95" s="143">
        <v>97.111999999999995</v>
      </c>
      <c r="G95" s="143">
        <v>92.99</v>
      </c>
      <c r="H95" s="143">
        <v>69</v>
      </c>
      <c r="I95" s="143">
        <v>108.3</v>
      </c>
      <c r="J95" s="143">
        <v>72.903999999999996</v>
      </c>
      <c r="K95" s="143">
        <v>85.927999999999997</v>
      </c>
      <c r="L95" s="143">
        <v>118.40300000000001</v>
      </c>
      <c r="M95" s="145">
        <f t="shared" si="18"/>
        <v>1254.5454545454547</v>
      </c>
      <c r="N95" s="145">
        <f t="shared" si="18"/>
        <v>1244.8275862068965</v>
      </c>
      <c r="O95" s="145">
        <f t="shared" si="18"/>
        <v>788.15135135135131</v>
      </c>
      <c r="P95" s="145">
        <f t="shared" si="18"/>
        <v>884.83400609605417</v>
      </c>
      <c r="Q95" s="145">
        <f t="shared" si="18"/>
        <v>1273.2874502634693</v>
      </c>
    </row>
    <row r="96" spans="1:17" ht="27" customHeight="1" x14ac:dyDescent="0.2">
      <c r="A96" s="397"/>
      <c r="B96" s="142" t="s">
        <v>155</v>
      </c>
      <c r="C96" s="160">
        <v>2</v>
      </c>
      <c r="D96" s="143">
        <v>2.08</v>
      </c>
      <c r="E96" s="143">
        <v>1.405</v>
      </c>
      <c r="F96" s="143">
        <v>1.7390000000000001</v>
      </c>
      <c r="G96" s="143">
        <v>1.8140000000000001</v>
      </c>
      <c r="H96" s="143">
        <v>1</v>
      </c>
      <c r="I96" s="143">
        <v>1.08</v>
      </c>
      <c r="J96" s="143">
        <v>0.69699999999999995</v>
      </c>
      <c r="K96" s="143">
        <v>0.91900000000000004</v>
      </c>
      <c r="L96" s="143">
        <v>0.95899999999999996</v>
      </c>
      <c r="M96" s="145">
        <f t="shared" si="18"/>
        <v>500</v>
      </c>
      <c r="N96" s="145">
        <f t="shared" si="18"/>
        <v>519.23076923076928</v>
      </c>
      <c r="O96" s="145">
        <f t="shared" si="18"/>
        <v>496.08540925266897</v>
      </c>
      <c r="P96" s="145">
        <f t="shared" si="18"/>
        <v>528.46463484761352</v>
      </c>
      <c r="Q96" s="145">
        <f t="shared" si="18"/>
        <v>528.66593164277833</v>
      </c>
    </row>
    <row r="97" spans="1:17" ht="27" customHeight="1" x14ac:dyDescent="0.2">
      <c r="A97" s="397"/>
      <c r="B97" s="142" t="s">
        <v>97</v>
      </c>
      <c r="C97" s="160">
        <v>0.54699999999999704</v>
      </c>
      <c r="D97" s="143">
        <v>0.5</v>
      </c>
      <c r="E97" s="143">
        <v>0.7</v>
      </c>
      <c r="F97" s="143">
        <v>0.66600000000000004</v>
      </c>
      <c r="G97" s="143">
        <v>0.79400000000000004</v>
      </c>
      <c r="H97" s="143">
        <v>0.37899999999999068</v>
      </c>
      <c r="I97" s="143">
        <v>0.3</v>
      </c>
      <c r="J97" s="143">
        <v>0.52500000000000002</v>
      </c>
      <c r="K97" s="143">
        <v>0.52300000000000724</v>
      </c>
      <c r="L97" s="143">
        <v>0.71799999999999997</v>
      </c>
      <c r="M97" s="145">
        <f t="shared" si="18"/>
        <v>692.87020109687876</v>
      </c>
      <c r="N97" s="145">
        <f t="shared" si="18"/>
        <v>600</v>
      </c>
      <c r="O97" s="145">
        <f t="shared" si="18"/>
        <v>750.00000000000011</v>
      </c>
      <c r="P97" s="145">
        <f t="shared" si="18"/>
        <v>785.28528528529603</v>
      </c>
      <c r="Q97" s="145">
        <f t="shared" si="18"/>
        <v>904.2821158690175</v>
      </c>
    </row>
    <row r="98" spans="1:17" s="66" customFormat="1" ht="27" customHeight="1" x14ac:dyDescent="0.2">
      <c r="A98" s="397"/>
      <c r="B98" s="146" t="s">
        <v>10</v>
      </c>
      <c r="C98" s="147">
        <f>SUM(C94:C97)</f>
        <v>71.230999999999995</v>
      </c>
      <c r="D98" s="147">
        <f t="shared" ref="D98:L98" si="29">SUM(D94:D97)</f>
        <v>107.58</v>
      </c>
      <c r="E98" s="147">
        <f t="shared" si="29"/>
        <v>111.705</v>
      </c>
      <c r="F98" s="147">
        <f t="shared" si="29"/>
        <v>119.55799999999999</v>
      </c>
      <c r="G98" s="147">
        <f t="shared" si="29"/>
        <v>113.80399999999999</v>
      </c>
      <c r="H98" s="147">
        <f>SUM(H94:H97)</f>
        <v>85.716999999999985</v>
      </c>
      <c r="I98" s="147">
        <f t="shared" si="29"/>
        <v>130.68000000000004</v>
      </c>
      <c r="J98" s="147">
        <f t="shared" si="29"/>
        <v>94.13600000000001</v>
      </c>
      <c r="K98" s="147">
        <f>K94+K95+K96+K97</f>
        <v>106.4</v>
      </c>
      <c r="L98" s="147">
        <f t="shared" si="29"/>
        <v>140.386</v>
      </c>
      <c r="M98" s="289">
        <f t="shared" si="18"/>
        <v>1203.36651177156</v>
      </c>
      <c r="N98" s="289">
        <f t="shared" si="18"/>
        <v>1214.7239263803683</v>
      </c>
      <c r="O98" s="289">
        <f t="shared" si="18"/>
        <v>842.71966339913172</v>
      </c>
      <c r="P98" s="289">
        <f t="shared" si="18"/>
        <v>889.94462938490119</v>
      </c>
      <c r="Q98" s="289">
        <f t="shared" si="18"/>
        <v>1233.5770271695196</v>
      </c>
    </row>
    <row r="99" spans="1:17" ht="23.25" hidden="1" customHeight="1" x14ac:dyDescent="0.2">
      <c r="A99" s="146" t="s">
        <v>102</v>
      </c>
      <c r="B99" s="142" t="s">
        <v>97</v>
      </c>
      <c r="C99" s="161">
        <v>0</v>
      </c>
      <c r="D99" s="143">
        <v>0</v>
      </c>
      <c r="E99" s="143">
        <v>0</v>
      </c>
      <c r="F99" s="143"/>
      <c r="G99" s="225"/>
      <c r="H99" s="161">
        <v>0</v>
      </c>
      <c r="I99" s="143">
        <v>0</v>
      </c>
      <c r="J99" s="143">
        <v>0</v>
      </c>
      <c r="K99" s="143"/>
      <c r="L99" s="64"/>
      <c r="M99" s="145" t="e">
        <f t="shared" si="18"/>
        <v>#DIV/0!</v>
      </c>
      <c r="N99" s="145" t="e">
        <f t="shared" si="18"/>
        <v>#DIV/0!</v>
      </c>
      <c r="O99" s="145" t="e">
        <f t="shared" si="18"/>
        <v>#DIV/0!</v>
      </c>
      <c r="P99" s="145" t="e">
        <f t="shared" si="18"/>
        <v>#DIV/0!</v>
      </c>
      <c r="Q99" s="145" t="e">
        <f t="shared" si="18"/>
        <v>#DIV/0!</v>
      </c>
    </row>
    <row r="100" spans="1:17" s="66" customFormat="1" ht="23.25" hidden="1" customHeight="1" x14ac:dyDescent="0.2">
      <c r="A100" s="146"/>
      <c r="B100" s="146" t="s">
        <v>10</v>
      </c>
      <c r="C100" s="156">
        <f>SUM(C99:C99)</f>
        <v>0</v>
      </c>
      <c r="D100" s="156">
        <f t="shared" ref="D100:E100" si="30">SUM(D99:D99)</f>
        <v>0</v>
      </c>
      <c r="E100" s="156">
        <f t="shared" si="30"/>
        <v>0</v>
      </c>
      <c r="F100" s="156"/>
      <c r="G100" s="65"/>
      <c r="H100" s="156">
        <f>SUM(H99:H99)</f>
        <v>0</v>
      </c>
      <c r="I100" s="156">
        <f t="shared" ref="I100:J100" si="31">SUM(I99:I99)</f>
        <v>0</v>
      </c>
      <c r="J100" s="156">
        <f t="shared" si="31"/>
        <v>0</v>
      </c>
      <c r="K100" s="156"/>
      <c r="L100" s="65"/>
      <c r="M100" s="145" t="e">
        <f t="shared" si="18"/>
        <v>#DIV/0!</v>
      </c>
      <c r="N100" s="145" t="e">
        <f t="shared" si="18"/>
        <v>#DIV/0!</v>
      </c>
      <c r="O100" s="145" t="e">
        <f t="shared" si="18"/>
        <v>#DIV/0!</v>
      </c>
      <c r="P100" s="145" t="e">
        <f t="shared" si="18"/>
        <v>#DIV/0!</v>
      </c>
      <c r="Q100" s="145" t="e">
        <f t="shared" si="18"/>
        <v>#DIV/0!</v>
      </c>
    </row>
    <row r="101" spans="1:17" ht="23.25" customHeight="1" x14ac:dyDescent="0.2">
      <c r="A101" s="146" t="s">
        <v>143</v>
      </c>
      <c r="B101" s="146" t="s">
        <v>10</v>
      </c>
      <c r="C101" s="160">
        <v>0.15</v>
      </c>
      <c r="D101" s="143"/>
      <c r="E101" s="143">
        <v>1.0900000000000001</v>
      </c>
      <c r="F101" s="143">
        <v>0.16</v>
      </c>
      <c r="G101" s="225"/>
      <c r="H101" s="161">
        <v>0.105</v>
      </c>
      <c r="I101" s="143"/>
      <c r="J101" s="143">
        <v>1.0900000000000001</v>
      </c>
      <c r="K101" s="143">
        <v>0.16</v>
      </c>
      <c r="L101" s="64"/>
      <c r="M101" s="145">
        <f t="shared" si="18"/>
        <v>700</v>
      </c>
      <c r="N101" s="145" t="e">
        <f t="shared" si="18"/>
        <v>#DIV/0!</v>
      </c>
      <c r="O101" s="145">
        <f t="shared" si="18"/>
        <v>1000</v>
      </c>
      <c r="P101" s="145">
        <f t="shared" si="18"/>
        <v>1000</v>
      </c>
      <c r="Q101" s="145" t="e">
        <f t="shared" si="18"/>
        <v>#DIV/0!</v>
      </c>
    </row>
    <row r="102" spans="1:17" ht="23.25" customHeight="1" x14ac:dyDescent="0.2">
      <c r="A102" s="146" t="s">
        <v>156</v>
      </c>
      <c r="B102" s="146" t="s">
        <v>10</v>
      </c>
      <c r="C102" s="161">
        <v>0</v>
      </c>
      <c r="D102" s="143">
        <v>0</v>
      </c>
      <c r="E102" s="143">
        <v>0</v>
      </c>
      <c r="F102" s="143">
        <v>0.34</v>
      </c>
      <c r="G102" s="225"/>
      <c r="H102" s="161">
        <v>0</v>
      </c>
      <c r="I102" s="143">
        <v>0</v>
      </c>
      <c r="J102" s="143">
        <v>0</v>
      </c>
      <c r="K102" s="143">
        <v>0.34</v>
      </c>
      <c r="L102" s="64"/>
      <c r="M102" s="145" t="e">
        <f t="shared" si="18"/>
        <v>#DIV/0!</v>
      </c>
      <c r="N102" s="145" t="e">
        <f t="shared" si="18"/>
        <v>#DIV/0!</v>
      </c>
      <c r="O102" s="145" t="e">
        <f t="shared" si="18"/>
        <v>#DIV/0!</v>
      </c>
      <c r="P102" s="145">
        <f t="shared" si="18"/>
        <v>1000</v>
      </c>
      <c r="Q102" s="145" t="e">
        <f t="shared" si="18"/>
        <v>#DIV/0!</v>
      </c>
    </row>
    <row r="103" spans="1:17" ht="23.25" hidden="1" customHeight="1" x14ac:dyDescent="0.2">
      <c r="A103" s="146" t="s">
        <v>157</v>
      </c>
      <c r="B103" s="146" t="s">
        <v>10</v>
      </c>
      <c r="C103" s="161">
        <v>0</v>
      </c>
      <c r="D103" s="143"/>
      <c r="E103" s="143"/>
      <c r="F103" s="143"/>
      <c r="G103" s="225"/>
      <c r="H103" s="161">
        <v>0</v>
      </c>
      <c r="I103" s="143"/>
      <c r="J103" s="143"/>
      <c r="K103" s="143"/>
      <c r="L103" s="64"/>
      <c r="M103" s="145" t="e">
        <f t="shared" si="18"/>
        <v>#DIV/0!</v>
      </c>
      <c r="N103" s="145" t="e">
        <f t="shared" si="18"/>
        <v>#DIV/0!</v>
      </c>
      <c r="O103" s="145" t="e">
        <f t="shared" si="18"/>
        <v>#DIV/0!</v>
      </c>
      <c r="P103" s="145" t="e">
        <f t="shared" si="18"/>
        <v>#DIV/0!</v>
      </c>
      <c r="Q103" s="145" t="e">
        <f t="shared" si="18"/>
        <v>#DIV/0!</v>
      </c>
    </row>
    <row r="104" spans="1:17" ht="23.25" customHeight="1" x14ac:dyDescent="0.2">
      <c r="A104" s="397" t="s">
        <v>113</v>
      </c>
      <c r="B104" s="142" t="s">
        <v>97</v>
      </c>
      <c r="C104" s="169">
        <f>0.01</f>
        <v>0.01</v>
      </c>
      <c r="D104" s="143">
        <v>1.4999999999999999E-2</v>
      </c>
      <c r="E104" s="143">
        <v>0.01</v>
      </c>
      <c r="F104" s="143">
        <v>2.1000000000000001E-2</v>
      </c>
      <c r="G104" s="143">
        <v>0</v>
      </c>
      <c r="H104" s="143">
        <v>8.0000000000000002E-3</v>
      </c>
      <c r="I104" s="143">
        <v>4.1000000000000002E-2</v>
      </c>
      <c r="J104" s="143">
        <v>0.01</v>
      </c>
      <c r="K104" s="143">
        <v>1.7000000000000001E-2</v>
      </c>
      <c r="L104" s="143">
        <v>0</v>
      </c>
      <c r="M104" s="145">
        <f t="shared" si="18"/>
        <v>800</v>
      </c>
      <c r="N104" s="145">
        <f t="shared" si="18"/>
        <v>2733.3333333333335</v>
      </c>
      <c r="O104" s="145">
        <f t="shared" si="18"/>
        <v>1000</v>
      </c>
      <c r="P104" s="145">
        <f t="shared" si="18"/>
        <v>809.52380952380952</v>
      </c>
      <c r="Q104" s="145" t="e">
        <f t="shared" si="18"/>
        <v>#DIV/0!</v>
      </c>
    </row>
    <row r="105" spans="1:17" ht="23.25" customHeight="1" x14ac:dyDescent="0.2">
      <c r="A105" s="397"/>
      <c r="B105" s="142" t="s">
        <v>10</v>
      </c>
      <c r="C105" s="161">
        <f t="shared" ref="C105:L105" si="32">SUM(C104:C104)</f>
        <v>0.01</v>
      </c>
      <c r="D105" s="161">
        <f t="shared" si="32"/>
        <v>1.4999999999999999E-2</v>
      </c>
      <c r="E105" s="161">
        <f t="shared" si="32"/>
        <v>0.01</v>
      </c>
      <c r="F105" s="161">
        <f t="shared" si="32"/>
        <v>2.1000000000000001E-2</v>
      </c>
      <c r="G105" s="161">
        <f t="shared" si="32"/>
        <v>0</v>
      </c>
      <c r="H105" s="161">
        <f t="shared" si="32"/>
        <v>8.0000000000000002E-3</v>
      </c>
      <c r="I105" s="161">
        <f t="shared" si="32"/>
        <v>4.1000000000000002E-2</v>
      </c>
      <c r="J105" s="161">
        <f t="shared" si="32"/>
        <v>0.01</v>
      </c>
      <c r="K105" s="161">
        <f t="shared" si="32"/>
        <v>1.7000000000000001E-2</v>
      </c>
      <c r="L105" s="161">
        <f t="shared" si="32"/>
        <v>0</v>
      </c>
      <c r="M105" s="145">
        <f t="shared" si="18"/>
        <v>800</v>
      </c>
      <c r="N105" s="145">
        <f t="shared" si="18"/>
        <v>2733.3333333333335</v>
      </c>
      <c r="O105" s="145">
        <f t="shared" si="18"/>
        <v>1000</v>
      </c>
      <c r="P105" s="145">
        <f t="shared" si="18"/>
        <v>809.52380952380952</v>
      </c>
      <c r="Q105" s="145" t="e">
        <f t="shared" si="18"/>
        <v>#DIV/0!</v>
      </c>
    </row>
    <row r="106" spans="1:17" ht="27" customHeight="1" x14ac:dyDescent="0.2">
      <c r="A106" s="397" t="s">
        <v>46</v>
      </c>
      <c r="B106" s="142" t="s">
        <v>145</v>
      </c>
      <c r="C106" s="148">
        <f>C11+C14+C18+C28+C30+C33+C36+C43+C45+C52+C62+C70+C73+C75+C86+C89+C91+C94</f>
        <v>1058.8847132616488</v>
      </c>
      <c r="D106" s="148">
        <f t="shared" ref="D106:F106" si="33">D11+D14+D18+D28+D30+D33+D36+D43+D45+D52+D62+D70+D73+D75+D86+D89+D91+D94</f>
        <v>825.21100000000001</v>
      </c>
      <c r="E106" s="148">
        <f t="shared" si="33"/>
        <v>606.73099999999999</v>
      </c>
      <c r="F106" s="148">
        <f t="shared" si="33"/>
        <v>597.29700000000003</v>
      </c>
      <c r="G106" s="148">
        <f t="shared" ref="G106" si="34">G11+G14+G18+G28+G30+G33+G36+G43+G45+G52+G62+G70+G73+G75+G86+G89+G91+G94</f>
        <v>637.56600000000003</v>
      </c>
      <c r="H106" s="148">
        <f t="shared" ref="H106:L106" si="35">H11+H14+H18+H28+H30+H33+H36+H43+H45+H52+H62+H70+H73+H75+H86+H89+H91+H94</f>
        <v>1010.8661433566207</v>
      </c>
      <c r="I106" s="148">
        <f t="shared" si="35"/>
        <v>993.24900000000002</v>
      </c>
      <c r="J106" s="148">
        <f t="shared" si="35"/>
        <v>811.68139999999994</v>
      </c>
      <c r="K106" s="148">
        <f t="shared" si="35"/>
        <v>860.15999999999985</v>
      </c>
      <c r="L106" s="148">
        <f t="shared" si="35"/>
        <v>876.54200000000003</v>
      </c>
      <c r="M106" s="289">
        <f t="shared" si="18"/>
        <v>954.65174886025306</v>
      </c>
      <c r="N106" s="289">
        <f t="shared" si="18"/>
        <v>1203.6303442392309</v>
      </c>
      <c r="O106" s="289">
        <f t="shared" si="18"/>
        <v>1337.7945086043073</v>
      </c>
      <c r="P106" s="289">
        <f t="shared" si="18"/>
        <v>1440.0875946137346</v>
      </c>
      <c r="Q106" s="289">
        <f t="shared" si="18"/>
        <v>1374.8255082611054</v>
      </c>
    </row>
    <row r="107" spans="1:17" ht="27" customHeight="1" x14ac:dyDescent="0.2">
      <c r="A107" s="397"/>
      <c r="B107" s="142" t="s">
        <v>158</v>
      </c>
      <c r="C107" s="148">
        <f>C15+C20+C47+C53+C95</f>
        <v>416.00199999999995</v>
      </c>
      <c r="D107" s="148">
        <f t="shared" ref="D107:F107" si="36">D15+D20+D47+D53+D95</f>
        <v>357.31099999999998</v>
      </c>
      <c r="E107" s="148">
        <f t="shared" si="36"/>
        <v>326.11199999999997</v>
      </c>
      <c r="F107" s="148">
        <f t="shared" si="36"/>
        <v>313.70600000000002</v>
      </c>
      <c r="G107" s="148">
        <f t="shared" ref="G107" si="37">G15+G20+G47+G53+G95</f>
        <v>284.834</v>
      </c>
      <c r="H107" s="148">
        <f t="shared" ref="H107:L107" si="38">H15+H20+H47+H53+H95</f>
        <v>412.976</v>
      </c>
      <c r="I107" s="148">
        <f t="shared" si="38"/>
        <v>287.12399999999997</v>
      </c>
      <c r="J107" s="148">
        <f t="shared" si="38"/>
        <v>237.84299999999999</v>
      </c>
      <c r="K107" s="148">
        <f t="shared" si="38"/>
        <v>186.435</v>
      </c>
      <c r="L107" s="148">
        <f t="shared" si="38"/>
        <v>257.16300000000001</v>
      </c>
      <c r="M107" s="289">
        <f t="shared" si="18"/>
        <v>992.72599650963218</v>
      </c>
      <c r="N107" s="289">
        <f t="shared" si="18"/>
        <v>803.56887977140354</v>
      </c>
      <c r="O107" s="289">
        <f t="shared" si="18"/>
        <v>729.32918751839861</v>
      </c>
      <c r="P107" s="289">
        <f t="shared" si="18"/>
        <v>594.29848329327467</v>
      </c>
      <c r="Q107" s="289">
        <f t="shared" si="18"/>
        <v>902.85218758996461</v>
      </c>
    </row>
    <row r="108" spans="1:17" ht="27" customHeight="1" x14ac:dyDescent="0.2">
      <c r="A108" s="397"/>
      <c r="B108" s="142" t="s">
        <v>119</v>
      </c>
      <c r="C108" s="148">
        <f t="shared" ref="C108:L108" si="39">C6+C19+C39+C42+C46+C51+C69+C80+C96+C83</f>
        <v>147.53928315412188</v>
      </c>
      <c r="D108" s="148">
        <f t="shared" si="39"/>
        <v>208.53</v>
      </c>
      <c r="E108" s="148">
        <f t="shared" ref="E108:F108" si="40">E6+E19+E39+E42+E46+E51+E69+E80+E96+E83</f>
        <v>255.52499999999998</v>
      </c>
      <c r="F108" s="148">
        <f t="shared" si="40"/>
        <v>182.76900000000003</v>
      </c>
      <c r="G108" s="148">
        <f t="shared" ref="G108" si="41">G6+G19+G39+G42+G46+G51+G69+G80+G96+G83</f>
        <v>197.994</v>
      </c>
      <c r="H108" s="148">
        <f t="shared" si="39"/>
        <v>28.834493786246892</v>
      </c>
      <c r="I108" s="148">
        <f t="shared" ref="I108:K108" si="42">I6+I19+I39+I42+I46+I51+I69+I80+I96+I83</f>
        <v>138.52000000000001</v>
      </c>
      <c r="J108" s="148">
        <f t="shared" si="42"/>
        <v>94.417000000000002</v>
      </c>
      <c r="K108" s="148">
        <f t="shared" si="42"/>
        <v>129.059</v>
      </c>
      <c r="L108" s="148">
        <f t="shared" si="39"/>
        <v>134.21899999999999</v>
      </c>
      <c r="M108" s="289">
        <f t="shared" si="18"/>
        <v>195.4360436747271</v>
      </c>
      <c r="N108" s="289">
        <f t="shared" si="18"/>
        <v>664.26893012995731</v>
      </c>
      <c r="O108" s="289">
        <f t="shared" si="18"/>
        <v>369.50200567459154</v>
      </c>
      <c r="P108" s="289">
        <f t="shared" si="18"/>
        <v>706.1317838364273</v>
      </c>
      <c r="Q108" s="289">
        <f>L108/G108*1000</f>
        <v>677.89427962463515</v>
      </c>
    </row>
    <row r="109" spans="1:17" ht="27" customHeight="1" x14ac:dyDescent="0.2">
      <c r="A109" s="397"/>
      <c r="B109" s="142" t="s">
        <v>97</v>
      </c>
      <c r="C109" s="148">
        <f>C7+C9+C12+C16+C21+C22+C25+C26+C34+C37+C40+C48+C49+C54+C63+C65+C66+C67+C71+C76+C78+C81+C87+C92+C101+C102+C103+C104+C84+C99+C97+C23</f>
        <v>416.50978494623655</v>
      </c>
      <c r="D109" s="148">
        <f>D7+D9+D12+D16+D21+D22+D25+D26+D34+D37+D40+D48+D49+D54+D63+D65+D66+D67+D71+D76+D78+D81+D87+D92+D101+D102+D103+D104+D84+D99+D97+D31</f>
        <v>467.35779999999988</v>
      </c>
      <c r="E109" s="148">
        <f t="shared" ref="E109" si="43">E7+E9+E12+E16+E21+E22+E25+E26+E34+E37+E40+E48+E49+E54+E63+E65+E66+E67+E71+E76+E78+E81+E87+E92+E101+E102+E103+E104+E84+E99+E97+E31</f>
        <v>428.66799999999995</v>
      </c>
      <c r="F109" s="148">
        <f>F7+F9+F12+F16+F21+F22+F25+F26+F34+F37+F40+F48+F49+F54+F63+F65+F66+F67+F71+F76+F78+F81+F87+F92+F101+F102+F103+F104+F84+F99+F97+F31+F23</f>
        <v>465.82299999999992</v>
      </c>
      <c r="G109" s="148">
        <f>G7+G9+G12+G16+G21+G22+G25+G26+G34+G37+G40+G48+G49+G54+G63+G65+G66+G67+G71+G76+G78+G81+G87+G92+G101+G102+G103+G104+G84+G99+G97+G23</f>
        <v>531.024</v>
      </c>
      <c r="H109" s="148">
        <f t="shared" ref="H109" si="44">H7+H9+H12+H16+H21+H22+H25+H26+H34+H37+H40+H48+H49+H54+H63+H65+H66+H67+H71+H76+H78+H81+H87+H92+H101+H102+H103+H104+H84+H99+H97</f>
        <v>314.87104520298271</v>
      </c>
      <c r="I109" s="148">
        <f>I7+I9+I12+I16+I21+I22+I25+I26+I34+I37+I40+I48+I49+I54+I63+I65+I66+I67+I71+I76+I78+I81+I87+I92+I101+I102+I103+I104+I84+I99+I97+I31</f>
        <v>359.42240000000004</v>
      </c>
      <c r="J109" s="148">
        <f t="shared" ref="J109" si="45">J7+J9+J12+J16+J21+J22+J25+J26+J34+J37+J40+J48+J49+J54+J63+J65+J66+J67+J71+J76+J78+J81+J87+J92+J101+J102+J103+J104+J84+J99+J97+J31</f>
        <v>306.13539999999995</v>
      </c>
      <c r="K109" s="148">
        <f>K7+K9+K12+K16+K21+K22+K25+K26+K34+K37+K40+K48+K49+K54+K63+K65+K66+K67+K71+K76+K78+K81+K87+K92+K101+K102+K103+K104+K84+K99+K97+K23</f>
        <v>312.91000000000008</v>
      </c>
      <c r="L109" s="148">
        <f>L7+L9+L12+L16+L21+L22+L25+L26+L34+L37+L40+L48+L49+L54+L63+L65+L66+L67+L71+L76+L78+L81+L87+L92+L101+L102+L103+L104+L84+L99+L97+L23</f>
        <v>359.99400000000003</v>
      </c>
      <c r="M109" s="289">
        <f t="shared" si="18"/>
        <v>755.97514532252001</v>
      </c>
      <c r="N109" s="289">
        <f t="shared" si="18"/>
        <v>769.05189129185419</v>
      </c>
      <c r="O109" s="289">
        <f t="shared" si="18"/>
        <v>714.15501040432218</v>
      </c>
      <c r="P109" s="289">
        <f t="shared" si="18"/>
        <v>671.7358309916001</v>
      </c>
      <c r="Q109" s="289">
        <f t="shared" si="18"/>
        <v>677.92416161981384</v>
      </c>
    </row>
    <row r="110" spans="1:17" s="66" customFormat="1" ht="27" customHeight="1" x14ac:dyDescent="0.2">
      <c r="A110" s="397"/>
      <c r="B110" s="146" t="s">
        <v>10</v>
      </c>
      <c r="C110" s="148">
        <f>SUM(C106:C109)</f>
        <v>2038.9357813620072</v>
      </c>
      <c r="D110" s="148">
        <f t="shared" ref="D110:L110" si="46">SUM(D106:D109)</f>
        <v>1858.4097999999999</v>
      </c>
      <c r="E110" s="148">
        <f t="shared" si="46"/>
        <v>1617.0359999999998</v>
      </c>
      <c r="F110" s="148">
        <f t="shared" si="46"/>
        <v>1559.595</v>
      </c>
      <c r="G110" s="148">
        <f>SUM(G106:G109)</f>
        <v>1651.4180000000001</v>
      </c>
      <c r="H110" s="148">
        <f>SUM(H106:H109)</f>
        <v>1767.5476823458503</v>
      </c>
      <c r="I110" s="148">
        <f t="shared" si="46"/>
        <v>1778.3154</v>
      </c>
      <c r="J110" s="148">
        <f t="shared" si="46"/>
        <v>1450.0767999999998</v>
      </c>
      <c r="K110" s="148">
        <f t="shared" si="46"/>
        <v>1488.5639999999999</v>
      </c>
      <c r="L110" s="148">
        <f t="shared" si="46"/>
        <v>1627.9180000000001</v>
      </c>
      <c r="M110" s="289">
        <f t="shared" si="18"/>
        <v>866.89718160967777</v>
      </c>
      <c r="N110" s="289">
        <f t="shared" si="18"/>
        <v>956.90164784968317</v>
      </c>
      <c r="O110" s="289">
        <f t="shared" si="18"/>
        <v>896.74985590920676</v>
      </c>
      <c r="P110" s="289">
        <f t="shared" si="18"/>
        <v>954.45548363517446</v>
      </c>
      <c r="Q110" s="289">
        <f>L110/G110*1000</f>
        <v>985.76980510082842</v>
      </c>
    </row>
    <row r="111" spans="1:17" x14ac:dyDescent="0.2">
      <c r="A111" s="61" t="s">
        <v>151</v>
      </c>
      <c r="M111" s="69"/>
      <c r="N111" s="69"/>
      <c r="O111" s="69"/>
      <c r="P111" s="69"/>
      <c r="Q111" s="69"/>
    </row>
    <row r="114" spans="8:8" x14ac:dyDescent="0.2">
      <c r="H114" s="70"/>
    </row>
    <row r="117" spans="8:8" x14ac:dyDescent="0.2">
      <c r="H117" s="70"/>
    </row>
    <row r="118" spans="8:8" x14ac:dyDescent="0.2">
      <c r="H118" s="70"/>
    </row>
    <row r="119" spans="8:8" x14ac:dyDescent="0.2">
      <c r="H119" s="70"/>
    </row>
    <row r="120" spans="8:8" x14ac:dyDescent="0.2">
      <c r="H120" s="70"/>
    </row>
  </sheetData>
  <mergeCells count="35">
    <mergeCell ref="A1:Q1"/>
    <mergeCell ref="C59:G59"/>
    <mergeCell ref="H59:L59"/>
    <mergeCell ref="M59:Q59"/>
    <mergeCell ref="A26:A27"/>
    <mergeCell ref="A28:A29"/>
    <mergeCell ref="A30:A32"/>
    <mergeCell ref="A33:A35"/>
    <mergeCell ref="A36:A38"/>
    <mergeCell ref="A45:A50"/>
    <mergeCell ref="A39:A41"/>
    <mergeCell ref="A9:A10"/>
    <mergeCell ref="A11:A13"/>
    <mergeCell ref="A14:A17"/>
    <mergeCell ref="A18:A24"/>
    <mergeCell ref="A42:A44"/>
    <mergeCell ref="A3:A4"/>
    <mergeCell ref="C3:G3"/>
    <mergeCell ref="M3:Q3"/>
    <mergeCell ref="H3:L3"/>
    <mergeCell ref="A6:A8"/>
    <mergeCell ref="A67:A68"/>
    <mergeCell ref="A59:A60"/>
    <mergeCell ref="A69:A72"/>
    <mergeCell ref="A73:A74"/>
    <mergeCell ref="A75:A77"/>
    <mergeCell ref="A62:A64"/>
    <mergeCell ref="A80:A82"/>
    <mergeCell ref="A83:A85"/>
    <mergeCell ref="A106:A110"/>
    <mergeCell ref="A86:A88"/>
    <mergeCell ref="A89:A90"/>
    <mergeCell ref="A91:A93"/>
    <mergeCell ref="A94:A98"/>
    <mergeCell ref="A104:A105"/>
  </mergeCells>
  <printOptions horizontalCentered="1" verticalCentered="1"/>
  <pageMargins left="0.31496062992126" right="0.31496062992126" top="0.511811023622047" bottom="0.511811023622047" header="0.511811023622047" footer="0.511811023622047"/>
  <pageSetup paperSize="9" scale="35" orientation="landscape" r:id="rId1"/>
  <headerFooter alignWithMargins="0"/>
  <rowBreaks count="2" manualBreakCount="2">
    <brk id="55" max="16" man="1"/>
    <brk id="56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V477"/>
  <sheetViews>
    <sheetView tabSelected="1" view="pageBreakPreview" zoomScale="80" zoomScaleNormal="80" zoomScaleSheetLayoutView="80" workbookViewId="0">
      <pane xSplit="1" ySplit="6" topLeftCell="B36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6.5703125" style="4" customWidth="1"/>
    <col min="2" max="11" width="12.140625" style="10" customWidth="1"/>
    <col min="12" max="16" width="12.140625" style="4" customWidth="1"/>
    <col min="17" max="16384" width="9.140625" style="4"/>
  </cols>
  <sheetData>
    <row r="1" spans="1:22" ht="18" x14ac:dyDescent="0.2">
      <c r="A1" s="344" t="s">
        <v>188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84"/>
      <c r="O1" s="84"/>
      <c r="P1" s="235"/>
    </row>
    <row r="2" spans="1:22" ht="18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6"/>
      <c r="M2" s="16"/>
      <c r="N2" s="17"/>
      <c r="O2" s="17"/>
      <c r="P2" s="17"/>
    </row>
    <row r="3" spans="1:22" ht="21" customHeight="1" x14ac:dyDescent="0.2">
      <c r="A3" s="340" t="s">
        <v>88</v>
      </c>
      <c r="B3" s="342" t="s">
        <v>174</v>
      </c>
      <c r="C3" s="342"/>
      <c r="D3" s="342"/>
      <c r="E3" s="342"/>
      <c r="F3" s="342"/>
      <c r="G3" s="342" t="s">
        <v>68</v>
      </c>
      <c r="H3" s="342"/>
      <c r="I3" s="342"/>
      <c r="J3" s="342"/>
      <c r="K3" s="342"/>
      <c r="L3" s="342" t="s">
        <v>89</v>
      </c>
      <c r="M3" s="342"/>
      <c r="N3" s="342"/>
      <c r="O3" s="342"/>
      <c r="P3" s="342"/>
    </row>
    <row r="4" spans="1:22" s="3" customFormat="1" ht="15" customHeight="1" x14ac:dyDescent="0.2">
      <c r="A4" s="388"/>
      <c r="B4" s="341" t="s">
        <v>112</v>
      </c>
      <c r="C4" s="341" t="s">
        <v>164</v>
      </c>
      <c r="D4" s="341" t="s">
        <v>199</v>
      </c>
      <c r="E4" s="341" t="s">
        <v>200</v>
      </c>
      <c r="F4" s="341" t="s">
        <v>202</v>
      </c>
      <c r="G4" s="341" t="s">
        <v>112</v>
      </c>
      <c r="H4" s="341" t="s">
        <v>164</v>
      </c>
      <c r="I4" s="341" t="s">
        <v>199</v>
      </c>
      <c r="J4" s="341" t="s">
        <v>200</v>
      </c>
      <c r="K4" s="341" t="s">
        <v>202</v>
      </c>
      <c r="L4" s="341" t="s">
        <v>112</v>
      </c>
      <c r="M4" s="341" t="s">
        <v>164</v>
      </c>
      <c r="N4" s="341" t="s">
        <v>199</v>
      </c>
      <c r="O4" s="341" t="s">
        <v>200</v>
      </c>
      <c r="P4" s="341" t="s">
        <v>202</v>
      </c>
    </row>
    <row r="5" spans="1:22" s="14" customFormat="1" ht="15.75" customHeight="1" x14ac:dyDescent="0.2">
      <c r="A5" s="388"/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</row>
    <row r="6" spans="1:22" s="14" customFormat="1" ht="15.75" customHeight="1" x14ac:dyDescent="0.2">
      <c r="A6" s="268">
        <v>1</v>
      </c>
      <c r="B6" s="256">
        <v>2</v>
      </c>
      <c r="C6" s="256">
        <v>3</v>
      </c>
      <c r="D6" s="256">
        <v>4</v>
      </c>
      <c r="E6" s="256">
        <v>5</v>
      </c>
      <c r="F6" s="256">
        <v>6</v>
      </c>
      <c r="G6" s="256">
        <v>7</v>
      </c>
      <c r="H6" s="256">
        <v>8</v>
      </c>
      <c r="I6" s="256">
        <v>9</v>
      </c>
      <c r="J6" s="256">
        <v>10</v>
      </c>
      <c r="K6" s="256">
        <v>11</v>
      </c>
      <c r="L6" s="296">
        <v>12</v>
      </c>
      <c r="M6" s="296">
        <v>13</v>
      </c>
      <c r="N6" s="296">
        <v>14</v>
      </c>
      <c r="O6" s="296">
        <v>15</v>
      </c>
      <c r="P6" s="296">
        <v>16</v>
      </c>
    </row>
    <row r="7" spans="1:22" ht="21" customHeight="1" x14ac:dyDescent="0.2">
      <c r="A7" s="255" t="s">
        <v>2</v>
      </c>
      <c r="B7" s="96">
        <f>SUM('Tur U'!B7,Urad!C6,Moong!C6,'OKP U'!C9)</f>
        <v>451</v>
      </c>
      <c r="C7" s="96">
        <f>SUM('Tur U'!C7,Urad!D6,Moong!D6,'OKP U'!D9)</f>
        <v>367</v>
      </c>
      <c r="D7" s="96">
        <f>SUM('Tur U'!D7,Urad!E6,Moong!E6,'OKP U'!E9)</f>
        <v>363</v>
      </c>
      <c r="E7" s="96">
        <f>SUM('Tur U'!E7,Urad!F6,Moong!F6,'OKP U'!F9)</f>
        <v>363</v>
      </c>
      <c r="F7" s="96">
        <f>SUM('Tur U'!F7,Urad!G6,Moong!G6,'OKP U'!G9)</f>
        <v>282</v>
      </c>
      <c r="G7" s="96">
        <f>SUM('Tur U'!G7,Urad!H6,Moong!H6,'OKP U'!H9)</f>
        <v>203</v>
      </c>
      <c r="H7" s="96">
        <f>SUM('Tur U'!H7,Urad!I6,Moong!I6,'OKP U'!I9)</f>
        <v>180.52</v>
      </c>
      <c r="I7" s="96">
        <f>SUM('Tur U'!I7,Urad!J6,Moong!J6,'OKP U'!J9)</f>
        <v>81.611999999999995</v>
      </c>
      <c r="J7" s="96">
        <f>SUM('Tur U'!J7,Urad!K6,Moong!K6,'OKP U'!K9)</f>
        <v>180.089</v>
      </c>
      <c r="K7" s="96">
        <f>SUM('Tur U'!K7,Urad!L6,Moong!L6,'OKP U'!L9)</f>
        <v>117.61199999999999</v>
      </c>
      <c r="L7" s="106">
        <f>G7/B7*1000</f>
        <v>450.1108647450111</v>
      </c>
      <c r="M7" s="106">
        <f t="shared" ref="M7:P7" si="0">H7/C7*1000</f>
        <v>491.88010899182564</v>
      </c>
      <c r="N7" s="106">
        <f t="shared" si="0"/>
        <v>224.82644628099172</v>
      </c>
      <c r="O7" s="106">
        <f t="shared" si="0"/>
        <v>496.11294765840222</v>
      </c>
      <c r="P7" s="106">
        <f t="shared" si="0"/>
        <v>417.063829787234</v>
      </c>
      <c r="Q7" s="19"/>
      <c r="R7" s="19"/>
      <c r="S7" s="19"/>
      <c r="T7" s="19"/>
      <c r="U7" s="19"/>
      <c r="V7" s="19"/>
    </row>
    <row r="8" spans="1:22" ht="21" customHeight="1" x14ac:dyDescent="0.2">
      <c r="A8" s="255" t="s">
        <v>24</v>
      </c>
      <c r="B8" s="96">
        <f>'Tur U'!B8+Urad!C9+Moong!C9+'OKP U'!C11</f>
        <v>6.2910000000000004</v>
      </c>
      <c r="C8" s="96">
        <f>'Tur U'!C8+Urad!D9+Moong!D9+'OKP U'!D11</f>
        <v>6.391</v>
      </c>
      <c r="D8" s="96">
        <f>'Tur U'!D8+Urad!E9+Moong!E9+'OKP U'!E11</f>
        <v>5.2970000000000006</v>
      </c>
      <c r="E8" s="96">
        <f>'Tur U'!E8+Urad!F9+Moong!F9+'OKP U'!F11</f>
        <v>6.4649999999999999</v>
      </c>
      <c r="F8" s="96">
        <f>'Tur U'!F8+Urad!G9+Moong!G9+'OKP U'!G11</f>
        <v>6.4719999999999995</v>
      </c>
      <c r="G8" s="96">
        <f>'Tur U'!G8+Urad!H9+Moong!H9+'OKP U'!H11</f>
        <v>5.7389999999999999</v>
      </c>
      <c r="H8" s="96">
        <f>'Tur U'!H8+Urad!I9+Moong!I9+'OKP U'!I11</f>
        <v>5.8727550000000006</v>
      </c>
      <c r="I8" s="96">
        <f>'Tur U'!I8+Urad!J9+Moong!J9+'OKP U'!J11</f>
        <v>5.0452840000000005</v>
      </c>
      <c r="J8" s="96">
        <f>'Tur U'!J8+Urad!K9+Moong!K9+'OKP U'!K11</f>
        <v>6.1382370000000002</v>
      </c>
      <c r="K8" s="96">
        <f>'Tur U'!K8+Urad!L9+Moong!L9+'OKP U'!L11</f>
        <v>6.2020960000000001</v>
      </c>
      <c r="L8" s="106">
        <f t="shared" ref="L8:L42" si="1">G8/B8*1000</f>
        <v>912.2556032427276</v>
      </c>
      <c r="M8" s="106">
        <f t="shared" ref="M8:M42" si="2">H8/C8*1000</f>
        <v>918.910186199343</v>
      </c>
      <c r="N8" s="106">
        <f t="shared" ref="N8:N42" si="3">I8/D8*1000</f>
        <v>952.47951670757038</v>
      </c>
      <c r="O8" s="106">
        <f t="shared" ref="O8:O42" si="4">J8/E8*1000</f>
        <v>949.45661252900243</v>
      </c>
      <c r="P8" s="106">
        <f t="shared" ref="P8:P42" si="5">K8/F8*1000</f>
        <v>958.29666254635356</v>
      </c>
      <c r="Q8" s="19"/>
      <c r="R8" s="19"/>
      <c r="S8" s="19"/>
      <c r="T8" s="19"/>
      <c r="U8" s="19"/>
      <c r="V8" s="19"/>
    </row>
    <row r="9" spans="1:22" ht="21" customHeight="1" x14ac:dyDescent="0.2">
      <c r="A9" s="255" t="s">
        <v>25</v>
      </c>
      <c r="B9" s="96">
        <f>'Tur U'!B9</f>
        <v>5.7210000000000001</v>
      </c>
      <c r="C9" s="96">
        <f>'Tur U'!C9</f>
        <v>5.609</v>
      </c>
      <c r="D9" s="96">
        <f>'Tur U'!D9</f>
        <v>5.55</v>
      </c>
      <c r="E9" s="96">
        <f>'Tur U'!E9</f>
        <v>5.83</v>
      </c>
      <c r="F9" s="96">
        <f>'Tur U'!F9</f>
        <v>6.0369999999999999</v>
      </c>
      <c r="G9" s="96">
        <f>'Tur U'!G9</f>
        <v>4.91</v>
      </c>
      <c r="H9" s="96">
        <f>'Tur U'!H9</f>
        <v>4.6722969999999995</v>
      </c>
      <c r="I9" s="96">
        <f>'Tur U'!I9</f>
        <v>4.6231499999999999</v>
      </c>
      <c r="J9" s="96">
        <f>'Tur U'!J9</f>
        <v>5.0371199999999998</v>
      </c>
      <c r="K9" s="96">
        <f>'Tur U'!K9</f>
        <v>5.1676719999999996</v>
      </c>
      <c r="L9" s="106">
        <f t="shared" si="1"/>
        <v>858.24156615976233</v>
      </c>
      <c r="M9" s="106">
        <f t="shared" si="2"/>
        <v>833</v>
      </c>
      <c r="N9" s="106">
        <f t="shared" si="3"/>
        <v>833</v>
      </c>
      <c r="O9" s="106">
        <f t="shared" si="4"/>
        <v>864</v>
      </c>
      <c r="P9" s="106">
        <f t="shared" si="5"/>
        <v>856</v>
      </c>
      <c r="Q9" s="19"/>
      <c r="R9" s="19"/>
      <c r="S9" s="19"/>
      <c r="T9" s="19"/>
      <c r="U9" s="19"/>
      <c r="V9" s="19"/>
    </row>
    <row r="10" spans="1:22" ht="21" customHeight="1" x14ac:dyDescent="0.2">
      <c r="A10" s="255" t="s">
        <v>40</v>
      </c>
      <c r="B10" s="96">
        <f>'Tur U'!B10+Urad!C13+Moong!C11+'OKP U'!C15</f>
        <v>55.257000000000005</v>
      </c>
      <c r="C10" s="96">
        <f>'Tur U'!C10+Urad!D13+Moong!D11+'OKP U'!D15</f>
        <v>44.230999999999995</v>
      </c>
      <c r="D10" s="96">
        <f>'Tur U'!D10+Urad!E13+Moong!E11+'OKP U'!E15</f>
        <v>46.397999999999996</v>
      </c>
      <c r="E10" s="96">
        <f>'Tur U'!E10+Urad!F13+Moong!F11+'OKP U'!F15</f>
        <v>41</v>
      </c>
      <c r="F10" s="96">
        <f>'Tur U'!F10+Urad!G13+Moong!G11+'OKP U'!G15</f>
        <v>42.022000000000006</v>
      </c>
      <c r="G10" s="96">
        <f>'Tur U'!G10+Urad!H13+Moong!H11+'OKP U'!H15</f>
        <v>62.477000000000004</v>
      </c>
      <c r="H10" s="96">
        <f>'Tur U'!H10+Urad!I13+Moong!I11+'OKP U'!I15</f>
        <v>50.623926999999995</v>
      </c>
      <c r="I10" s="96">
        <f>'Tur U'!I10+Urad!J13+Moong!J11+'OKP U'!J15</f>
        <v>54.899878999999999</v>
      </c>
      <c r="J10" s="96">
        <f>'Tur U'!J10+Urad!K13+Moong!K11+'OKP U'!K15</f>
        <v>47.888370000000002</v>
      </c>
      <c r="K10" s="96">
        <f>'Tur U'!K10+Urad!L13+Moong!L11+'OKP U'!L15</f>
        <v>46.304751999999993</v>
      </c>
      <c r="L10" s="106">
        <f t="shared" si="1"/>
        <v>1130.6621785475145</v>
      </c>
      <c r="M10" s="106">
        <f t="shared" si="2"/>
        <v>1144.5349867739819</v>
      </c>
      <c r="N10" s="106">
        <f t="shared" si="3"/>
        <v>1183.2380490538385</v>
      </c>
      <c r="O10" s="106">
        <f t="shared" si="4"/>
        <v>1168.0090243902439</v>
      </c>
      <c r="P10" s="106">
        <f t="shared" si="5"/>
        <v>1101.9169006710767</v>
      </c>
      <c r="Q10" s="19"/>
      <c r="R10" s="19"/>
      <c r="S10" s="19"/>
      <c r="T10" s="19"/>
      <c r="U10" s="19"/>
      <c r="V10" s="19"/>
    </row>
    <row r="11" spans="1:22" ht="21" customHeight="1" x14ac:dyDescent="0.2">
      <c r="A11" s="255" t="s">
        <v>47</v>
      </c>
      <c r="B11" s="96">
        <f>'Tur U'!B11+Urad!C14+Moong!C14+'OKP U'!C21</f>
        <v>208.6</v>
      </c>
      <c r="C11" s="96">
        <f>'Tur U'!C11+Urad!D14+Moong!D14+'OKP U'!D21</f>
        <v>204.75</v>
      </c>
      <c r="D11" s="96">
        <f>'Tur U'!D11+Urad!E14+Moong!E14+'OKP U'!E21</f>
        <v>202.37000000000003</v>
      </c>
      <c r="E11" s="96">
        <f>'Tur U'!E11+Urad!F14+Moong!F14+'OKP U'!F21</f>
        <v>167.19</v>
      </c>
      <c r="F11" s="96">
        <f>'Tur U'!F11+Urad!G14+Moong!G14+'OKP U'!G21</f>
        <v>159.78</v>
      </c>
      <c r="G11" s="96">
        <f>'Tur U'!G11+Urad!H14+Moong!H14+'OKP U'!H21</f>
        <v>89.199999999999989</v>
      </c>
      <c r="H11" s="96">
        <f>'Tur U'!H11+Urad!I14+Moong!I14+'OKP U'!I21</f>
        <v>86.323759999999993</v>
      </c>
      <c r="I11" s="96">
        <f>'Tur U'!I11+Urad!J14+Moong!J14+'OKP U'!J21</f>
        <v>80.408449999999988</v>
      </c>
      <c r="J11" s="96">
        <f>'Tur U'!J11+Urad!K14+Moong!K14+'OKP U'!K21</f>
        <v>73.434060000000002</v>
      </c>
      <c r="K11" s="96">
        <f>'Tur U'!K11+Urad!L14+Moong!L14+'OKP U'!L21</f>
        <v>71.009500000000003</v>
      </c>
      <c r="L11" s="106">
        <f t="shared" si="1"/>
        <v>427.61265580057523</v>
      </c>
      <c r="M11" s="106">
        <f t="shared" si="2"/>
        <v>421.60566544566541</v>
      </c>
      <c r="N11" s="106">
        <f t="shared" si="3"/>
        <v>397.33384394920182</v>
      </c>
      <c r="O11" s="106">
        <f t="shared" si="4"/>
        <v>439.22519289431187</v>
      </c>
      <c r="P11" s="106">
        <f t="shared" si="5"/>
        <v>444.42045312304418</v>
      </c>
      <c r="Q11" s="19"/>
      <c r="R11" s="19"/>
      <c r="S11" s="19"/>
      <c r="T11" s="19"/>
      <c r="U11" s="19"/>
      <c r="V11" s="19"/>
    </row>
    <row r="12" spans="1:22" ht="21" customHeight="1" x14ac:dyDescent="0.2">
      <c r="A12" s="255" t="s">
        <v>15</v>
      </c>
      <c r="B12" s="96">
        <f>'OKP U'!C22</f>
        <v>0.14199999999999999</v>
      </c>
      <c r="C12" s="96">
        <f>'OKP U'!D22</f>
        <v>0.19500000000000001</v>
      </c>
      <c r="D12" s="96">
        <f>'OKP U'!E22</f>
        <v>0.17</v>
      </c>
      <c r="E12" s="96">
        <f>'OKP U'!F22</f>
        <v>1E-3</v>
      </c>
      <c r="F12" s="96">
        <f>'OKP U'!G22</f>
        <v>0</v>
      </c>
      <c r="G12" s="96">
        <f>'OKP U'!H22</f>
        <v>0.11799999999999999</v>
      </c>
      <c r="H12" s="96">
        <f>'OKP U'!I22</f>
        <v>0.187</v>
      </c>
      <c r="I12" s="96">
        <f>'OKP U'!J22</f>
        <v>0.13900000000000001</v>
      </c>
      <c r="J12" s="96">
        <f>'OKP U'!K22</f>
        <v>4.8000000000000001E-4</v>
      </c>
      <c r="K12" s="96">
        <f>'OKP U'!L22</f>
        <v>0</v>
      </c>
      <c r="L12" s="106">
        <f t="shared" si="1"/>
        <v>830.9859154929577</v>
      </c>
      <c r="M12" s="106">
        <f t="shared" si="2"/>
        <v>958.97435897435889</v>
      </c>
      <c r="N12" s="106">
        <f t="shared" si="3"/>
        <v>817.64705882352939</v>
      </c>
      <c r="O12" s="106">
        <f t="shared" si="4"/>
        <v>480</v>
      </c>
      <c r="P12" s="106" t="e">
        <f t="shared" si="5"/>
        <v>#DIV/0!</v>
      </c>
      <c r="Q12" s="19"/>
      <c r="R12" s="19"/>
      <c r="S12" s="19"/>
      <c r="T12" s="19"/>
      <c r="U12" s="19"/>
      <c r="V12" s="19"/>
    </row>
    <row r="13" spans="1:22" ht="21" customHeight="1" x14ac:dyDescent="0.2">
      <c r="A13" s="255" t="s">
        <v>4</v>
      </c>
      <c r="B13" s="96">
        <f>'Tur U'!B12+Urad!C17+Moong!C17+'OKP U'!C25</f>
        <v>729</v>
      </c>
      <c r="C13" s="96">
        <f>'Tur U'!C12+Urad!D17+Moong!D17+'OKP U'!D25</f>
        <v>557</v>
      </c>
      <c r="D13" s="96">
        <f>'Tur U'!D12+Urad!E17+Moong!E17+'OKP U'!E25</f>
        <v>441.08</v>
      </c>
      <c r="E13" s="96">
        <f>'Tur U'!E12+Urad!F17+Moong!F17+'OKP U'!F25</f>
        <v>404.81999999999994</v>
      </c>
      <c r="F13" s="96">
        <f>'Tur U'!F12+Urad!G17+Moong!G17+'OKP U'!G25</f>
        <v>448.86</v>
      </c>
      <c r="G13" s="96">
        <f>'Tur U'!G12+Urad!H17+Moong!H17+'OKP U'!H25</f>
        <v>604</v>
      </c>
      <c r="H13" s="96">
        <f>'Tur U'!H12+Urad!I17+Moong!I17+'OKP U'!I25</f>
        <v>510.13300000000004</v>
      </c>
      <c r="I13" s="96">
        <f>'Tur U'!I12+Urad!J17+Moong!J17+'OKP U'!J25</f>
        <v>400.00359000000003</v>
      </c>
      <c r="J13" s="96">
        <f>'Tur U'!J12+Urad!K17+Moong!K17+'OKP U'!K25</f>
        <v>328.77947</v>
      </c>
      <c r="K13" s="96">
        <f>'Tur U'!K12+Urad!L17+Moong!L17+'OKP U'!L25</f>
        <v>398.62963000000002</v>
      </c>
      <c r="L13" s="106">
        <f t="shared" si="1"/>
        <v>828.53223593964333</v>
      </c>
      <c r="M13" s="106">
        <f t="shared" si="2"/>
        <v>915.8581687612209</v>
      </c>
      <c r="N13" s="106">
        <f t="shared" si="3"/>
        <v>906.87310691937978</v>
      </c>
      <c r="O13" s="106">
        <f t="shared" si="4"/>
        <v>812.16212143668804</v>
      </c>
      <c r="P13" s="106">
        <f t="shared" si="5"/>
        <v>888.09345898498418</v>
      </c>
      <c r="Q13" s="19"/>
      <c r="R13" s="19"/>
      <c r="S13" s="19"/>
      <c r="T13" s="19"/>
      <c r="U13" s="19"/>
      <c r="V13" s="19"/>
    </row>
    <row r="14" spans="1:22" ht="21" customHeight="1" x14ac:dyDescent="0.2">
      <c r="A14" s="255" t="s">
        <v>18</v>
      </c>
      <c r="B14" s="96">
        <f>'Tur U'!B13+Urad!C20+Moong!C20+'OKP U'!C29</f>
        <v>43.199999999999996</v>
      </c>
      <c r="C14" s="96">
        <f>'Tur U'!C13+Urad!D20+Moong!D20+'OKP U'!D29</f>
        <v>20.2</v>
      </c>
      <c r="D14" s="96">
        <f>'Tur U'!D13+Urad!E20+Moong!E20+'OKP U'!E29</f>
        <v>22.7</v>
      </c>
      <c r="E14" s="96">
        <f>'Tur U'!E13+Urad!F20+Moong!F20+'OKP U'!F29</f>
        <v>22.490000000000002</v>
      </c>
      <c r="F14" s="96">
        <f>'Tur U'!F13+Urad!G20+Moong!G20+'OKP U'!G29</f>
        <v>48.010000000000005</v>
      </c>
      <c r="G14" s="96">
        <f>'Tur U'!G13+Urad!H20+Moong!H20+'OKP U'!H29</f>
        <v>27.41</v>
      </c>
      <c r="H14" s="96">
        <f>'Tur U'!H13+Urad!I20+Moong!I20+'OKP U'!I29</f>
        <v>14.9953</v>
      </c>
      <c r="I14" s="96">
        <f>'Tur U'!I13+Urad!J20+Moong!J20+'OKP U'!J29</f>
        <v>15.552300000000002</v>
      </c>
      <c r="J14" s="96">
        <f>'Tur U'!J13+Urad!K20+Moong!K20+'OKP U'!K29</f>
        <v>13.94608</v>
      </c>
      <c r="K14" s="96">
        <f>'Tur U'!K13+Urad!L20+Moong!L20+'OKP U'!L29</f>
        <v>32.742400000000004</v>
      </c>
      <c r="L14" s="106">
        <f t="shared" si="1"/>
        <v>634.49074074074088</v>
      </c>
      <c r="M14" s="106">
        <f t="shared" si="2"/>
        <v>742.34158415841591</v>
      </c>
      <c r="N14" s="106">
        <f t="shared" si="3"/>
        <v>685.12334801762131</v>
      </c>
      <c r="O14" s="106">
        <f t="shared" si="4"/>
        <v>620.10137839039567</v>
      </c>
      <c r="P14" s="106">
        <f t="shared" si="5"/>
        <v>681.99125182253692</v>
      </c>
      <c r="Q14" s="19"/>
      <c r="R14" s="19"/>
      <c r="S14" s="19"/>
      <c r="T14" s="19"/>
      <c r="U14" s="19"/>
      <c r="V14" s="19"/>
    </row>
    <row r="15" spans="1:22" ht="21" customHeight="1" x14ac:dyDescent="0.2">
      <c r="A15" s="255" t="s">
        <v>16</v>
      </c>
      <c r="B15" s="96">
        <f>'Tur U'!B14+Urad!C21+Moong!C23+'OKP U'!C33</f>
        <v>17.091000000000001</v>
      </c>
      <c r="C15" s="96">
        <f>'Tur U'!C14+Urad!D21+Moong!D23+'OKP U'!D33</f>
        <v>15.231999999999999</v>
      </c>
      <c r="D15" s="96">
        <f>'Tur U'!D14+Urad!E21+Moong!E23+'OKP U'!E33</f>
        <v>15.36</v>
      </c>
      <c r="E15" s="96">
        <f>'Tur U'!E14+Urad!F21+Moong!F23+'OKP U'!F33</f>
        <v>15.868</v>
      </c>
      <c r="F15" s="96">
        <f>'Tur U'!F14+Urad!G21+Moong!G23+'OKP U'!G33</f>
        <v>18.753</v>
      </c>
      <c r="G15" s="96">
        <f>'Tur U'!G14+Urad!H21+Moong!H23+'OKP U'!H33</f>
        <v>12.961331999999999</v>
      </c>
      <c r="H15" s="96">
        <f>'Tur U'!H14+Urad!I21+Moong!I23+'OKP U'!I33</f>
        <v>11.747995</v>
      </c>
      <c r="I15" s="96">
        <f>'Tur U'!I14+Urad!J21+Moong!J23+'OKP U'!J33</f>
        <v>11.783339999999999</v>
      </c>
      <c r="J15" s="96">
        <f>'Tur U'!J14+Urad!K21+Moong!K23+'OKP U'!K33</f>
        <v>12.832529999999998</v>
      </c>
      <c r="K15" s="96">
        <f>'Tur U'!K14+Urad!L21+Moong!L23+'OKP U'!L33</f>
        <v>21.651420000000002</v>
      </c>
      <c r="L15" s="106">
        <f t="shared" si="1"/>
        <v>758.37177461822</v>
      </c>
      <c r="M15" s="106">
        <f t="shared" si="2"/>
        <v>771.27068014705878</v>
      </c>
      <c r="N15" s="106">
        <f t="shared" si="3"/>
        <v>767.14453124999989</v>
      </c>
      <c r="O15" s="106">
        <f t="shared" si="4"/>
        <v>808.70494076128045</v>
      </c>
      <c r="P15" s="106">
        <f t="shared" si="5"/>
        <v>1154.5576707726764</v>
      </c>
      <c r="Q15" s="19"/>
      <c r="R15" s="19"/>
      <c r="S15" s="19"/>
      <c r="T15" s="19"/>
      <c r="U15" s="19"/>
      <c r="V15" s="19"/>
    </row>
    <row r="16" spans="1:22" ht="21" customHeight="1" x14ac:dyDescent="0.2">
      <c r="A16" s="255" t="s">
        <v>19</v>
      </c>
      <c r="B16" s="96">
        <f>Urad!C22+Moong!C24+'OKP U'!C39</f>
        <v>16.596</v>
      </c>
      <c r="C16" s="96">
        <f>Urad!D22+Moong!D24+'OKP U'!D39</f>
        <v>17.045999999999999</v>
      </c>
      <c r="D16" s="96">
        <f>Urad!E22+Moong!E24+'OKP U'!E39</f>
        <v>17.631999999999998</v>
      </c>
      <c r="E16" s="96">
        <f>Urad!F22+Moong!F24+'OKP U'!F39</f>
        <v>15.760999999999999</v>
      </c>
      <c r="F16" s="96">
        <f>Urad!G22+Moong!G24+'OKP U'!G39</f>
        <v>14.738</v>
      </c>
      <c r="G16" s="96">
        <f>Urad!H22+Moong!H24+'OKP U'!H39</f>
        <v>8.5989999999999984</v>
      </c>
      <c r="H16" s="96">
        <f>Urad!I22+Moong!I24+'OKP U'!I39</f>
        <v>9.0694599999999994</v>
      </c>
      <c r="I16" s="96">
        <f>Urad!J22+Moong!J24+'OKP U'!J39</f>
        <v>8.9149729999999998</v>
      </c>
      <c r="J16" s="96">
        <f>Urad!K22+Moong!K24+'OKP U'!K39</f>
        <v>43.075962000000004</v>
      </c>
      <c r="K16" s="96">
        <f>Urad!L22+Moong!L24+'OKP U'!L39</f>
        <v>9.0499600000000004</v>
      </c>
      <c r="L16" s="106">
        <f t="shared" si="1"/>
        <v>518.13690045794158</v>
      </c>
      <c r="M16" s="106">
        <f t="shared" si="2"/>
        <v>532.05796081192068</v>
      </c>
      <c r="N16" s="106">
        <f t="shared" si="3"/>
        <v>505.61325998185123</v>
      </c>
      <c r="O16" s="106">
        <f t="shared" si="4"/>
        <v>2733.0729014656436</v>
      </c>
      <c r="P16" s="106">
        <f t="shared" si="5"/>
        <v>614.05618130004075</v>
      </c>
      <c r="Q16" s="19"/>
      <c r="R16" s="19"/>
      <c r="S16" s="19"/>
      <c r="T16" s="19"/>
      <c r="U16" s="19"/>
      <c r="V16" s="19"/>
    </row>
    <row r="17" spans="1:22" ht="21" customHeight="1" x14ac:dyDescent="0.2">
      <c r="A17" s="255" t="s">
        <v>83</v>
      </c>
      <c r="B17" s="96">
        <f>'Tur U'!B15+Urad!C23+Moong!C25+'OKP U'!C47</f>
        <v>463.58699999999993</v>
      </c>
      <c r="C17" s="96">
        <f>'Tur U'!C15+Urad!D23+Moong!D25+'OKP U'!D47</f>
        <v>411.13499999999999</v>
      </c>
      <c r="D17" s="96">
        <f>'Tur U'!D15+Urad!E23+Moong!E25+'OKP U'!E47</f>
        <v>431.72899999999998</v>
      </c>
      <c r="E17" s="96">
        <f>'Tur U'!E15+Urad!F23+Moong!F25+'OKP U'!F47</f>
        <v>419.24</v>
      </c>
      <c r="F17" s="96">
        <f>'Tur U'!F15+Urad!G23+Moong!G25+'OKP U'!G47</f>
        <v>430.01099999999997</v>
      </c>
      <c r="G17" s="96">
        <f>'Tur U'!G15+Urad!H23+Moong!H25+'OKP U'!H47</f>
        <v>430.41299999999995</v>
      </c>
      <c r="H17" s="96">
        <f>'Tur U'!H15+Urad!I23+Moong!I25+'OKP U'!I47</f>
        <v>403.06025</v>
      </c>
      <c r="I17" s="96">
        <f>'Tur U'!I15+Urad!J23+Moong!J25+'OKP U'!J47</f>
        <v>391.55906900000002</v>
      </c>
      <c r="J17" s="96">
        <f>'Tur U'!J15+Urad!K23+Moong!K25+'OKP U'!K47</f>
        <v>397.30741599999999</v>
      </c>
      <c r="K17" s="96">
        <f>'Tur U'!K15+Urad!L23+Moong!L25+'OKP U'!L47</f>
        <v>422.75686200000007</v>
      </c>
      <c r="L17" s="106">
        <f t="shared" si="1"/>
        <v>928.44061632444402</v>
      </c>
      <c r="M17" s="106">
        <f t="shared" si="2"/>
        <v>980.35985746774179</v>
      </c>
      <c r="N17" s="106">
        <f t="shared" si="3"/>
        <v>906.95568053107399</v>
      </c>
      <c r="O17" s="106">
        <f t="shared" si="4"/>
        <v>947.68489647934348</v>
      </c>
      <c r="P17" s="106">
        <f t="shared" si="5"/>
        <v>983.13034317726772</v>
      </c>
      <c r="Q17" s="19"/>
      <c r="R17" s="19"/>
      <c r="S17" s="19"/>
      <c r="T17" s="19"/>
      <c r="U17" s="19"/>
      <c r="V17" s="19"/>
    </row>
    <row r="18" spans="1:22" ht="21" customHeight="1" x14ac:dyDescent="0.2">
      <c r="A18" s="255" t="s">
        <v>5</v>
      </c>
      <c r="B18" s="96">
        <f>'Tur U'!B16+Urad!C24+Moong!C26+'OKP U'!C51</f>
        <v>1854</v>
      </c>
      <c r="C18" s="96">
        <f>'Tur U'!C16+Urad!D24+Moong!D26+'OKP U'!D51</f>
        <v>1602</v>
      </c>
      <c r="D18" s="96">
        <f>'Tur U'!D16+Urad!E24+Moong!E26+'OKP U'!E51</f>
        <v>2087.27</v>
      </c>
      <c r="E18" s="96">
        <f>'Tur U'!E16+Urad!F24+Moong!F26+'OKP U'!F51</f>
        <v>2136</v>
      </c>
      <c r="F18" s="96">
        <f>'Tur U'!F16+Urad!G24+Moong!G26+'OKP U'!G51</f>
        <v>2238</v>
      </c>
      <c r="G18" s="96">
        <f>'Tur U'!G16+Urad!H24+Moong!H26+'OKP U'!H51</f>
        <v>1135.8611000000001</v>
      </c>
      <c r="H18" s="96">
        <f>'Tur U'!H16+Urad!I24+Moong!I26+'OKP U'!I51</f>
        <v>1075.0787499999999</v>
      </c>
      <c r="I18" s="96">
        <f>'Tur U'!I16+Urad!J24+Moong!J26+'OKP U'!J51</f>
        <v>1181.1922</v>
      </c>
      <c r="J18" s="96">
        <f>'Tur U'!J16+Urad!K24+Moong!K26+'OKP U'!K51</f>
        <v>1407.492</v>
      </c>
      <c r="K18" s="96">
        <f>'Tur U'!K16+Urad!L24+Moong!L26+'OKP U'!L51</f>
        <v>1515.9090000000001</v>
      </c>
      <c r="L18" s="106">
        <f t="shared" si="1"/>
        <v>612.65431499460635</v>
      </c>
      <c r="M18" s="106">
        <f t="shared" si="2"/>
        <v>671.08536204744064</v>
      </c>
      <c r="N18" s="106">
        <f t="shared" si="3"/>
        <v>565.90292583134908</v>
      </c>
      <c r="O18" s="106">
        <f t="shared" si="4"/>
        <v>658.93820224719104</v>
      </c>
      <c r="P18" s="106">
        <f t="shared" si="5"/>
        <v>677.34986595174257</v>
      </c>
      <c r="Q18" s="19"/>
      <c r="R18" s="19"/>
      <c r="S18" s="19"/>
      <c r="T18" s="19"/>
      <c r="U18" s="19"/>
      <c r="V18" s="19"/>
    </row>
    <row r="19" spans="1:22" ht="21" customHeight="1" x14ac:dyDescent="0.2">
      <c r="A19" s="255" t="s">
        <v>17</v>
      </c>
      <c r="B19" s="96">
        <f>'Tur U'!B17+Urad!C27+Moong!C29+'OKP U'!C54</f>
        <v>0.17599999999999999</v>
      </c>
      <c r="C19" s="96">
        <f>'Tur U'!C17+Urad!D27+Moong!D29+'OKP U'!D54</f>
        <v>0.20699999999999999</v>
      </c>
      <c r="D19" s="96">
        <f>'Tur U'!D17+Urad!E27+Moong!E29+'OKP U'!E54</f>
        <v>0.40229999999999999</v>
      </c>
      <c r="E19" s="96">
        <f>'Tur U'!E17+Urad!F27+Moong!F29+'OKP U'!F54</f>
        <v>0.40400000000000003</v>
      </c>
      <c r="F19" s="96">
        <f>'Tur U'!F17+Urad!G27+Moong!G29+'OKP U'!G54</f>
        <v>0.22</v>
      </c>
      <c r="G19" s="96">
        <f>'Tur U'!G17+Urad!H27+Moong!H29+'OKP U'!H54</f>
        <v>0.27800000000000002</v>
      </c>
      <c r="H19" s="96">
        <f>'Tur U'!H17+Urad!I27+Moong!I29+'OKP U'!I54</f>
        <v>0.32291999999999998</v>
      </c>
      <c r="I19" s="96">
        <f>'Tur U'!I17+Urad!J27+Moong!J29+'OKP U'!J54</f>
        <v>0.56944919999999999</v>
      </c>
      <c r="J19" s="96">
        <f>'Tur U'!J17+Urad!K27+Moong!K29+'OKP U'!K54</f>
        <v>0.59808399999999995</v>
      </c>
      <c r="K19" s="96">
        <f>'Tur U'!K17+Urad!L27+Moong!L29+'OKP U'!L54</f>
        <v>0.34404700000000005</v>
      </c>
      <c r="L19" s="106">
        <f t="shared" si="1"/>
        <v>1579.5454545454547</v>
      </c>
      <c r="M19" s="106">
        <f t="shared" si="2"/>
        <v>1560</v>
      </c>
      <c r="N19" s="106">
        <f t="shared" si="3"/>
        <v>1415.4839671886652</v>
      </c>
      <c r="O19" s="106">
        <f t="shared" si="4"/>
        <v>1480.4059405940593</v>
      </c>
      <c r="P19" s="106">
        <f t="shared" si="5"/>
        <v>1563.8500000000001</v>
      </c>
      <c r="Q19" s="19"/>
      <c r="R19" s="19"/>
      <c r="S19" s="19"/>
      <c r="T19" s="19"/>
      <c r="U19" s="19"/>
      <c r="V19" s="19"/>
    </row>
    <row r="20" spans="1:22" ht="21" customHeight="1" x14ac:dyDescent="0.2">
      <c r="A20" s="255" t="s">
        <v>6</v>
      </c>
      <c r="B20" s="96">
        <f>'Tur U'!B18+Urad!C28+Moong!C30+'OKP U'!C59</f>
        <v>2117</v>
      </c>
      <c r="C20" s="96">
        <f>'Tur U'!C18+Urad!D28+Moong!D30+'OKP U'!D59</f>
        <v>2680</v>
      </c>
      <c r="D20" s="96">
        <f>'Tur U'!D18+Urad!E28+Moong!E30+'OKP U'!E59</f>
        <v>2747</v>
      </c>
      <c r="E20" s="96">
        <f>'Tur U'!E18+Urad!F28+Moong!F30+'OKP U'!F59</f>
        <v>2057</v>
      </c>
      <c r="F20" s="96">
        <f>'Tur U'!F18+Urad!G28+Moong!G30+'OKP U'!G59</f>
        <v>1561</v>
      </c>
      <c r="G20" s="96">
        <f>'Tur U'!G18+Urad!H28+Moong!H30+'OKP U'!H59</f>
        <v>1710.6154999999999</v>
      </c>
      <c r="H20" s="96">
        <f>'Tur U'!H18+Urad!I28+Moong!I30+'OKP U'!I59</f>
        <v>2281.8140000000003</v>
      </c>
      <c r="I20" s="96">
        <f>'Tur U'!I18+Urad!J28+Moong!J30+'OKP U'!J59</f>
        <v>1352.5930000000001</v>
      </c>
      <c r="J20" s="96">
        <f>'Tur U'!J18+Urad!K28+Moong!K30+'OKP U'!K59</f>
        <v>752.40499999999997</v>
      </c>
      <c r="K20" s="96">
        <f>'Tur U'!K18+Urad!L28+Moong!L30+'OKP U'!L59</f>
        <v>703.6049999999999</v>
      </c>
      <c r="L20" s="106">
        <f t="shared" si="1"/>
        <v>808.03755314123759</v>
      </c>
      <c r="M20" s="106">
        <f t="shared" si="2"/>
        <v>851.4231343283584</v>
      </c>
      <c r="N20" s="106">
        <f t="shared" si="3"/>
        <v>492.3891518019658</v>
      </c>
      <c r="O20" s="106">
        <f t="shared" si="4"/>
        <v>365.77783179387455</v>
      </c>
      <c r="P20" s="106">
        <f t="shared" si="5"/>
        <v>450.73991031390125</v>
      </c>
      <c r="Q20" s="19"/>
      <c r="R20" s="19"/>
      <c r="S20" s="19"/>
      <c r="T20" s="19"/>
      <c r="U20" s="19"/>
      <c r="V20" s="19"/>
    </row>
    <row r="21" spans="1:22" ht="21" customHeight="1" x14ac:dyDescent="0.2">
      <c r="A21" s="255" t="s">
        <v>7</v>
      </c>
      <c r="B21" s="96">
        <f>'Tur U'!B19+Urad!C31+Moong!C33+'OKP U'!C64</f>
        <v>2304.9</v>
      </c>
      <c r="C21" s="96">
        <f>'Tur U'!C19+Urad!D31+Moong!D33+'OKP U'!D64</f>
        <v>2104.6999999999998</v>
      </c>
      <c r="D21" s="96">
        <f>'Tur U'!D19+Urad!E31+Moong!E33+'OKP U'!E64</f>
        <v>2196.3000000000002</v>
      </c>
      <c r="E21" s="96">
        <f>'Tur U'!E19+Urad!F31+Moong!F33+'OKP U'!F64</f>
        <v>2011.35</v>
      </c>
      <c r="F21" s="96">
        <f>'Tur U'!F19+Urad!G31+Moong!G33+'OKP U'!G64</f>
        <v>2154.71</v>
      </c>
      <c r="G21" s="96">
        <f>'Tur U'!G19+Urad!H31+Moong!H33+'OKP U'!H64</f>
        <v>1978.5516399999997</v>
      </c>
      <c r="H21" s="96">
        <f>'Tur U'!H19+Urad!I31+Moong!I33+'OKP U'!I64</f>
        <v>1461.7863</v>
      </c>
      <c r="I21" s="96">
        <f>'Tur U'!I19+Urad!J31+Moong!J33+'OKP U'!J64</f>
        <v>1233.9186199999999</v>
      </c>
      <c r="J21" s="96">
        <f>'Tur U'!J19+Urad!K31+Moong!K33+'OKP U'!K64</f>
        <v>1425.0119200000001</v>
      </c>
      <c r="K21" s="96">
        <f>'Tur U'!K19+Urad!L31+Moong!L33+'OKP U'!L64</f>
        <v>1851.4365800000003</v>
      </c>
      <c r="L21" s="106">
        <f t="shared" si="1"/>
        <v>858.41105470953175</v>
      </c>
      <c r="M21" s="106">
        <f t="shared" si="2"/>
        <v>694.53428042001246</v>
      </c>
      <c r="N21" s="106">
        <f t="shared" si="3"/>
        <v>561.81697400173016</v>
      </c>
      <c r="O21" s="106">
        <f t="shared" si="4"/>
        <v>708.48530588907954</v>
      </c>
      <c r="P21" s="106">
        <f t="shared" si="5"/>
        <v>859.25093400039918</v>
      </c>
      <c r="Q21" s="19"/>
      <c r="R21" s="19"/>
      <c r="S21" s="19"/>
      <c r="T21" s="19"/>
      <c r="U21" s="19"/>
      <c r="V21" s="19"/>
    </row>
    <row r="22" spans="1:22" ht="21" customHeight="1" x14ac:dyDescent="0.2">
      <c r="A22" s="255" t="s">
        <v>29</v>
      </c>
      <c r="B22" s="96">
        <f>'Tur U'!B20+'OKP U'!C68+Urad!C34+Moong!C36</f>
        <v>3.08</v>
      </c>
      <c r="C22" s="96">
        <f>'Tur U'!C20+'OKP U'!D68+Urad!D34+Moong!D36</f>
        <v>3.0200000000000005</v>
      </c>
      <c r="D22" s="96">
        <f>'Tur U'!D20+'OKP U'!E68+Urad!E34+Moong!E36</f>
        <v>0.53</v>
      </c>
      <c r="E22" s="96">
        <f>'Tur U'!E20+'OKP U'!F68+Urad!F34+Moong!F36</f>
        <v>4.5199999999999996</v>
      </c>
      <c r="F22" s="96">
        <f>'Tur U'!F20+'OKP U'!G68+Urad!G34+Moong!G36</f>
        <v>4.83</v>
      </c>
      <c r="G22" s="96">
        <f>'Tur U'!G20+'OKP U'!H68+Urad!H34+Moong!H36</f>
        <v>3.4699999999999998</v>
      </c>
      <c r="H22" s="96">
        <f>'Tur U'!H20+'OKP U'!I68+Urad!I34+Moong!I36</f>
        <v>3.3899600000000003</v>
      </c>
      <c r="I22" s="96">
        <f>'Tur U'!I20+'OKP U'!J68+Urad!J34+Moong!J36</f>
        <v>0.55914999999999992</v>
      </c>
      <c r="J22" s="96">
        <f>'Tur U'!J20+'OKP U'!K68+Urad!K34+Moong!K36</f>
        <v>4.0379129999999996</v>
      </c>
      <c r="K22" s="96">
        <f>'Tur U'!K20+'OKP U'!L68+Urad!L34+Moong!L36</f>
        <v>5.0116059999999996</v>
      </c>
      <c r="L22" s="106">
        <f t="shared" si="1"/>
        <v>1126.6233766233763</v>
      </c>
      <c r="M22" s="106">
        <f t="shared" si="2"/>
        <v>1122.503311258278</v>
      </c>
      <c r="N22" s="106">
        <f t="shared" si="3"/>
        <v>1054.9999999999998</v>
      </c>
      <c r="O22" s="106">
        <f t="shared" si="4"/>
        <v>893.34358407079651</v>
      </c>
      <c r="P22" s="106">
        <f t="shared" si="5"/>
        <v>1037.5995859213249</v>
      </c>
      <c r="Q22" s="19"/>
      <c r="R22" s="19"/>
      <c r="S22" s="19"/>
      <c r="T22" s="19"/>
      <c r="U22" s="19"/>
      <c r="V22" s="19"/>
    </row>
    <row r="23" spans="1:22" ht="21" customHeight="1" x14ac:dyDescent="0.2">
      <c r="A23" s="255" t="s">
        <v>26</v>
      </c>
      <c r="B23" s="96">
        <f>'Tur U'!B21+'OKP U'!C69</f>
        <v>1.17</v>
      </c>
      <c r="C23" s="96">
        <f>'Tur U'!C21+'OKP U'!D69</f>
        <v>1.1779999999999999</v>
      </c>
      <c r="D23" s="96">
        <f>'Tur U'!D21+'OKP U'!E69</f>
        <v>1.1830000000000001</v>
      </c>
      <c r="E23" s="96">
        <f>'Tur U'!E21+'OKP U'!F69</f>
        <v>1.18</v>
      </c>
      <c r="F23" s="96">
        <f>'Tur U'!F21+'OKP U'!G69</f>
        <v>1.1890000000000001</v>
      </c>
      <c r="G23" s="96">
        <f>'Tur U'!G21+'OKP U'!H69</f>
        <v>1.52</v>
      </c>
      <c r="H23" s="96">
        <f>'Tur U'!H21+'OKP U'!I69</f>
        <v>1.5255099999999999</v>
      </c>
      <c r="I23" s="96">
        <f>'Tur U'!I21+'OKP U'!J69</f>
        <v>1.5319850000000002</v>
      </c>
      <c r="J23" s="96">
        <f>'Tur U'!J21+'OKP U'!K69</f>
        <v>1.5316399999999999</v>
      </c>
      <c r="K23" s="96">
        <f>'Tur U'!K21+'OKP U'!L69</f>
        <v>1.5480780000000001</v>
      </c>
      <c r="L23" s="106">
        <f t="shared" si="1"/>
        <v>1299.1452991452993</v>
      </c>
      <c r="M23" s="106">
        <f t="shared" si="2"/>
        <v>1295</v>
      </c>
      <c r="N23" s="106">
        <f t="shared" si="3"/>
        <v>1295.0000000000002</v>
      </c>
      <c r="O23" s="106">
        <f t="shared" si="4"/>
        <v>1298</v>
      </c>
      <c r="P23" s="106">
        <f t="shared" si="5"/>
        <v>1302</v>
      </c>
      <c r="Q23" s="19"/>
      <c r="R23" s="19"/>
      <c r="S23" s="19"/>
      <c r="T23" s="19"/>
      <c r="U23" s="19"/>
      <c r="V23" s="19"/>
    </row>
    <row r="24" spans="1:22" ht="21" customHeight="1" x14ac:dyDescent="0.2">
      <c r="A24" s="255" t="s">
        <v>30</v>
      </c>
      <c r="B24" s="96">
        <f>'Tur U'!B22+'OKP U'!C70</f>
        <v>2.198</v>
      </c>
      <c r="C24" s="96">
        <f>'Tur U'!C22+'OKP U'!D70</f>
        <v>2.1422999999999996</v>
      </c>
      <c r="D24" s="96">
        <f>'Tur U'!D22+'OKP U'!E70</f>
        <v>2.0979999999999999</v>
      </c>
      <c r="E24" s="96">
        <f>'Tur U'!E22+'OKP U'!F70</f>
        <v>2.1320000000000001</v>
      </c>
      <c r="F24" s="96">
        <f>'Tur U'!F22+'OKP U'!G70</f>
        <v>2.2250000000000001</v>
      </c>
      <c r="G24" s="96">
        <f>'Tur U'!G22+'OKP U'!H70</f>
        <v>2.6840000000000002</v>
      </c>
      <c r="H24" s="96">
        <f>'Tur U'!H22+'OKP U'!I70</f>
        <v>3.2794999999999996</v>
      </c>
      <c r="I24" s="96">
        <f>'Tur U'!I22+'OKP U'!J70</f>
        <v>3.4229999999999996</v>
      </c>
      <c r="J24" s="96">
        <f>'Tur U'!J22+'OKP U'!K70</f>
        <v>2.8117800000000002</v>
      </c>
      <c r="K24" s="96">
        <f>'Tur U'!K22+'OKP U'!L70</f>
        <v>2.9721200000000003</v>
      </c>
      <c r="L24" s="106">
        <f t="shared" si="1"/>
        <v>1221.1101000909919</v>
      </c>
      <c r="M24" s="106">
        <f t="shared" si="2"/>
        <v>1530.8313494841993</v>
      </c>
      <c r="N24" s="106">
        <f t="shared" si="3"/>
        <v>1631.5538608198283</v>
      </c>
      <c r="O24" s="106">
        <f t="shared" si="4"/>
        <v>1318.8461538461538</v>
      </c>
      <c r="P24" s="106">
        <f t="shared" si="5"/>
        <v>1335.7842696629214</v>
      </c>
      <c r="Q24" s="19"/>
      <c r="R24" s="19"/>
      <c r="S24" s="19"/>
      <c r="T24" s="19"/>
      <c r="U24" s="19"/>
      <c r="V24" s="19"/>
    </row>
    <row r="25" spans="1:22" ht="21" customHeight="1" x14ac:dyDescent="0.2">
      <c r="A25" s="255" t="s">
        <v>20</v>
      </c>
      <c r="B25" s="96">
        <f>'Tur U'!B23+Urad!C37+'OKP U'!C72</f>
        <v>17.800000000000004</v>
      </c>
      <c r="C25" s="96">
        <f>'Tur U'!C23+Urad!D37+'OKP U'!D72+Moong!D39</f>
        <v>18.84</v>
      </c>
      <c r="D25" s="302">
        <f>'Tur U'!D23+Urad!E37+Moong!E39+'OKP U'!E71</f>
        <v>15.9</v>
      </c>
      <c r="E25" s="302">
        <f>'Tur U'!E23+Urad!F37+Moong!F39+'OKP U'!F71</f>
        <v>18.39</v>
      </c>
      <c r="F25" s="302">
        <f>'Tur U'!F23+Urad!G37+Moong!G39+'OKP U'!G71</f>
        <v>18.46</v>
      </c>
      <c r="G25" s="96">
        <f>'Tur U'!G23+Urad!H37+'OKP U'!H72</f>
        <v>20.950000000000003</v>
      </c>
      <c r="H25" s="302">
        <f>'Tur U'!H23+Urad!I37+Moong!I39+'OKP U'!I71</f>
        <v>22.011610000000005</v>
      </c>
      <c r="I25" s="302">
        <f>'Tur U'!I23+Urad!J37+Moong!J39+'OKP U'!J71</f>
        <v>21.551220000000001</v>
      </c>
      <c r="J25" s="96">
        <f>'Tur U'!J23+Moong!K39+'OKP U'!K72</f>
        <v>21.801259999999996</v>
      </c>
      <c r="K25" s="96">
        <f>'Tur U'!K23+Moong!L39+'OKP U'!L72</f>
        <v>21.950229999999998</v>
      </c>
      <c r="L25" s="106">
        <f t="shared" si="1"/>
        <v>1176.9662921348313</v>
      </c>
      <c r="M25" s="106">
        <f t="shared" si="2"/>
        <v>1168.3444798301489</v>
      </c>
      <c r="N25" s="106">
        <f t="shared" si="3"/>
        <v>1355.422641509434</v>
      </c>
      <c r="O25" s="106">
        <f t="shared" si="4"/>
        <v>1185.495377922784</v>
      </c>
      <c r="P25" s="106">
        <f t="shared" si="5"/>
        <v>1189.0698808234017</v>
      </c>
      <c r="Q25" s="19"/>
      <c r="R25" s="19"/>
      <c r="S25" s="19"/>
      <c r="T25" s="19"/>
      <c r="U25" s="19"/>
      <c r="V25" s="19"/>
    </row>
    <row r="26" spans="1:22" ht="21" customHeight="1" x14ac:dyDescent="0.2">
      <c r="A26" s="255" t="s">
        <v>107</v>
      </c>
      <c r="B26" s="96">
        <f>'Tur U'!B24+Urad!C40+Moong!C40+'OKP U'!C75</f>
        <v>525.73</v>
      </c>
      <c r="C26" s="96">
        <f>'Tur U'!C24+Urad!D40+Moong!D40+'OKP U'!D75</f>
        <v>441.27</v>
      </c>
      <c r="D26" s="96">
        <f>'Tur U'!D24+Urad!E40+Moong!E40+'OKP U'!E75</f>
        <v>401.35</v>
      </c>
      <c r="E26" s="96">
        <f>'Tur U'!E24+Urad!F40+Moong!F40+'OKP U'!F75</f>
        <v>425.79999999999995</v>
      </c>
      <c r="F26" s="96">
        <f>'Tur U'!F24+Urad!G40+Moong!G40+'OKP U'!G75</f>
        <v>401.90999999999997</v>
      </c>
      <c r="G26" s="96">
        <f>'Tur U'!G24+Urad!H40+Moong!H40+'OKP U'!H75</f>
        <v>285.15999999999997</v>
      </c>
      <c r="H26" s="96">
        <f>'Tur U'!H24+Urad!I40+Moong!I40+'OKP U'!I75</f>
        <v>248.26732999999999</v>
      </c>
      <c r="I26" s="96">
        <f>'Tur U'!I24+Urad!J40+Moong!J40+'OKP U'!J75</f>
        <v>252.42931999999999</v>
      </c>
      <c r="J26" s="96">
        <f>'Tur U'!J24+Urad!K40+Moong!K40+'OKP U'!K75</f>
        <v>286.40012000000002</v>
      </c>
      <c r="K26" s="96">
        <f>'Tur U'!K24+Urad!L40+Moong!L40+'OKP U'!L75</f>
        <v>273.64658000000003</v>
      </c>
      <c r="L26" s="106">
        <f t="shared" si="1"/>
        <v>542.4076997698437</v>
      </c>
      <c r="M26" s="106">
        <f t="shared" si="2"/>
        <v>562.62000589208412</v>
      </c>
      <c r="N26" s="106">
        <f t="shared" si="3"/>
        <v>628.95059175283404</v>
      </c>
      <c r="O26" s="106">
        <f t="shared" si="4"/>
        <v>672.61653358384228</v>
      </c>
      <c r="P26" s="106">
        <f t="shared" si="5"/>
        <v>680.86531810604379</v>
      </c>
      <c r="Q26" s="19"/>
      <c r="R26" s="19"/>
      <c r="S26" s="19"/>
      <c r="T26" s="19"/>
      <c r="U26" s="19"/>
      <c r="V26" s="19"/>
    </row>
    <row r="27" spans="1:22" ht="21" customHeight="1" x14ac:dyDescent="0.2">
      <c r="A27" s="255" t="s">
        <v>21</v>
      </c>
      <c r="B27" s="96">
        <f>'Tur U'!B25+Urad!C43+Moong!C49+'OKP U'!D77</f>
        <v>12.600000000000001</v>
      </c>
      <c r="C27" s="96">
        <f>'Tur U'!C25+Urad!D43+Moong!D49+'OKP U'!E77</f>
        <v>7.7</v>
      </c>
      <c r="D27" s="96">
        <f>'Tur U'!D25+Urad!E43+Moong!E49+'OKP U'!F77</f>
        <v>7.5</v>
      </c>
      <c r="E27" s="96">
        <f>'Tur U'!E25+Urad!F43+Moong!F49+'OKP U'!G77</f>
        <v>26.7</v>
      </c>
      <c r="F27" s="96">
        <f>'Tur U'!F25+Urad!G43+Moong!G49+'OKP U'!H77</f>
        <v>6.4</v>
      </c>
      <c r="G27" s="96">
        <f>'Tur U'!G25+Urad!H43+Moong!H49+'OKP U'!I77</f>
        <v>10</v>
      </c>
      <c r="H27" s="96">
        <f>'Tur U'!H25+Urad!I43+Moong!I49+'OKP U'!J77</f>
        <v>6.5634999999999994</v>
      </c>
      <c r="I27" s="96">
        <f>'Tur U'!I25+Urad!J43+Moong!J49+'OKP U'!K77</f>
        <v>6.1869000000000005</v>
      </c>
      <c r="J27" s="96">
        <f>'Tur U'!J25+Urad!K43+Moong!K49</f>
        <v>22.9588</v>
      </c>
      <c r="K27" s="96">
        <f>'Tur U'!K25+Urad!L43+Moong!L49</f>
        <v>5.8173999999999992</v>
      </c>
      <c r="L27" s="106">
        <f t="shared" si="1"/>
        <v>793.65079365079362</v>
      </c>
      <c r="M27" s="106">
        <f t="shared" si="2"/>
        <v>852.40259740259728</v>
      </c>
      <c r="N27" s="106">
        <f t="shared" si="3"/>
        <v>824.92000000000007</v>
      </c>
      <c r="O27" s="106">
        <f t="shared" si="4"/>
        <v>859.88014981273409</v>
      </c>
      <c r="P27" s="106">
        <f t="shared" si="5"/>
        <v>908.96874999999989</v>
      </c>
      <c r="Q27" s="19"/>
      <c r="R27" s="19"/>
      <c r="S27" s="19"/>
      <c r="T27" s="19"/>
      <c r="U27" s="19"/>
      <c r="V27" s="19"/>
    </row>
    <row r="28" spans="1:22" ht="21" customHeight="1" x14ac:dyDescent="0.2">
      <c r="A28" s="255" t="s">
        <v>22</v>
      </c>
      <c r="B28" s="96">
        <f>'Tur U'!B26+Urad!C50+Moong!C52+'OKP U'!C87</f>
        <v>3625.9849999999997</v>
      </c>
      <c r="C28" s="96">
        <f>'Tur U'!C26+Urad!D50+Moong!D52+'OKP U'!D87</f>
        <v>3708.8379999999997</v>
      </c>
      <c r="D28" s="302">
        <f>'Tur U'!D26+Urad!E50+Moong!E52+'OKP U'!E87</f>
        <v>4274.5479999999998</v>
      </c>
      <c r="E28" s="302">
        <f>'Tur U'!E26+Urad!F50+Moong!F52+'OKP U'!F87</f>
        <v>3838.7849999999999</v>
      </c>
      <c r="F28" s="302">
        <f>'Tur U'!F26+Urad!G50+Moong!G52+'OKP U'!G87</f>
        <v>3994.6660000000002</v>
      </c>
      <c r="G28" s="96">
        <f>'Tur U'!G26+Urad!H50+Moong!H52+'OKP U'!H87</f>
        <v>1641.73</v>
      </c>
      <c r="H28" s="302">
        <f>'Tur U'!H26+Urad!I50+Moong!I52+'OKP U'!I87</f>
        <v>1641.3305170000001</v>
      </c>
      <c r="I28" s="302">
        <f>'Tur U'!I26+Urad!J50+Moong!J52+'OKP U'!J87</f>
        <v>1867.0312529999997</v>
      </c>
      <c r="J28" s="96">
        <f>'Tur U'!J26+Urad!K50+Moong!K52+'OKP U'!K87</f>
        <v>1774.38256</v>
      </c>
      <c r="K28" s="96">
        <f>'Tur U'!K26+Urad!L50+Moong!L52+'OKP U'!L87</f>
        <v>1928.6730899999998</v>
      </c>
      <c r="L28" s="106">
        <f t="shared" si="1"/>
        <v>452.7680064865134</v>
      </c>
      <c r="M28" s="106">
        <f t="shared" si="2"/>
        <v>442.54575611013479</v>
      </c>
      <c r="N28" s="106">
        <f t="shared" si="3"/>
        <v>436.77863788171283</v>
      </c>
      <c r="O28" s="106">
        <f t="shared" si="4"/>
        <v>462.22504255903891</v>
      </c>
      <c r="P28" s="106">
        <f t="shared" si="5"/>
        <v>482.81210243860181</v>
      </c>
      <c r="Q28" s="19"/>
      <c r="R28" s="19"/>
      <c r="S28" s="19"/>
      <c r="T28" s="19"/>
      <c r="U28" s="19"/>
      <c r="V28" s="19"/>
    </row>
    <row r="29" spans="1:22" ht="21" customHeight="1" x14ac:dyDescent="0.2">
      <c r="A29" s="255" t="s">
        <v>84</v>
      </c>
      <c r="B29" s="96">
        <f>Urad!C53+'OKP U'!C89</f>
        <v>5.6779999999999999</v>
      </c>
      <c r="C29" s="96">
        <f>Urad!D53+'OKP U'!D89</f>
        <v>5.3469999999999995</v>
      </c>
      <c r="D29" s="96">
        <f>Urad!E53+'OKP U'!E89</f>
        <v>5.0009999999999994</v>
      </c>
      <c r="E29" s="96">
        <f>Urad!F53+'OKP U'!F89</f>
        <v>5.2390000000000008</v>
      </c>
      <c r="F29" s="96">
        <f>Urad!G53+'OKP U'!G89</f>
        <v>5.1389999999999993</v>
      </c>
      <c r="G29" s="96">
        <f>Urad!H53+'OKP U'!H89</f>
        <v>5.45</v>
      </c>
      <c r="H29" s="96">
        <f>Urad!I53+'OKP U'!I89</f>
        <v>5.1013200000000003</v>
      </c>
      <c r="I29" s="96">
        <f>Urad!J53+'OKP U'!J89</f>
        <v>4.8050479999999993</v>
      </c>
      <c r="J29" s="96">
        <f>Urad!K53+'OKP U'!K89</f>
        <v>5.0375040000000002</v>
      </c>
      <c r="K29" s="96">
        <f>Urad!L53+'OKP U'!L89</f>
        <v>4.9527000000000001</v>
      </c>
      <c r="L29" s="106">
        <f t="shared" si="1"/>
        <v>959.84501585065163</v>
      </c>
      <c r="M29" s="106">
        <f t="shared" si="2"/>
        <v>954.05273985412396</v>
      </c>
      <c r="N29" s="106">
        <f t="shared" si="3"/>
        <v>960.81743651269744</v>
      </c>
      <c r="O29" s="106">
        <f t="shared" si="4"/>
        <v>961.53922504294701</v>
      </c>
      <c r="P29" s="106">
        <f t="shared" si="5"/>
        <v>963.74781085814379</v>
      </c>
      <c r="Q29" s="19"/>
      <c r="R29" s="19"/>
      <c r="S29" s="19"/>
      <c r="T29" s="19"/>
      <c r="U29" s="19"/>
      <c r="V29" s="19"/>
    </row>
    <row r="30" spans="1:22" ht="21" customHeight="1" x14ac:dyDescent="0.2">
      <c r="A30" s="255" t="s">
        <v>11</v>
      </c>
      <c r="B30" s="96">
        <f>'Tur U'!B27+Urad!C54+Moong!C55+'OKP U'!C92</f>
        <v>224.63</v>
      </c>
      <c r="C30" s="96">
        <f>'Tur U'!C27+Urad!D54+Moong!D55+'OKP U'!D92</f>
        <v>222.48</v>
      </c>
      <c r="D30" s="96">
        <f>'Tur U'!D27+Urad!E54+Moong!E55+'OKP U'!E92</f>
        <v>190.73000000000002</v>
      </c>
      <c r="E30" s="96">
        <f>'Tur U'!E27+Urad!F54+Moong!F55+'OKP U'!F92</f>
        <v>189.91</v>
      </c>
      <c r="F30" s="96">
        <f>'Tur U'!F27+Urad!G54+Moong!G55+'OKP U'!G92</f>
        <v>197.26</v>
      </c>
      <c r="G30" s="96">
        <f>'Tur U'!G27+Urad!H54+Moong!H55+'OKP U'!H92</f>
        <v>149.25</v>
      </c>
      <c r="H30" s="96">
        <f>'Tur U'!H27+Urad!I54+Moong!I55+'OKP U'!I92</f>
        <v>184.98406</v>
      </c>
      <c r="I30" s="96">
        <f>'Tur U'!I27+Urad!J54+Moong!J55+'OKP U'!J92</f>
        <v>165.18916000000002</v>
      </c>
      <c r="J30" s="96">
        <f>'Tur U'!J27+Urad!K54+Moong!K55+'OKP U'!K92</f>
        <v>169.05183</v>
      </c>
      <c r="K30" s="96">
        <f>'Tur U'!K27+Urad!L54+Moong!L55+'OKP U'!L92</f>
        <v>170.18699139999998</v>
      </c>
      <c r="L30" s="106">
        <f t="shared" si="1"/>
        <v>664.42594488714781</v>
      </c>
      <c r="M30" s="106">
        <f t="shared" si="2"/>
        <v>831.4637720244516</v>
      </c>
      <c r="N30" s="106">
        <f t="shared" si="3"/>
        <v>866.08902637235883</v>
      </c>
      <c r="O30" s="106">
        <f t="shared" si="4"/>
        <v>890.16813227318198</v>
      </c>
      <c r="P30" s="106">
        <f t="shared" si="5"/>
        <v>862.75469633985597</v>
      </c>
      <c r="Q30" s="19"/>
      <c r="R30" s="19"/>
      <c r="S30" s="19"/>
      <c r="T30" s="19"/>
      <c r="U30" s="19"/>
      <c r="V30" s="19"/>
    </row>
    <row r="31" spans="1:22" ht="21" customHeight="1" x14ac:dyDescent="0.2">
      <c r="A31" s="198" t="s">
        <v>109</v>
      </c>
      <c r="B31" s="96">
        <f>'Tur U'!B28+Urad!C57+Moong!C58+'OKP U'!C95</f>
        <v>563</v>
      </c>
      <c r="C31" s="96">
        <f>'Tur U'!C28+Urad!D57+Moong!D58+'OKP U'!D95</f>
        <v>456</v>
      </c>
      <c r="D31" s="96">
        <f>'Tur U'!D28+Urad!E57+Moong!E58+'OKP U'!E95</f>
        <v>390</v>
      </c>
      <c r="E31" s="96">
        <f>'Tur U'!E28+Urad!F57+Moong!F58+'OKP U'!F95</f>
        <v>371</v>
      </c>
      <c r="F31" s="96">
        <f>'Tur U'!F28+Urad!G57+Moong!G58+'OKP U'!G95</f>
        <v>409.7</v>
      </c>
      <c r="G31" s="96">
        <f>'Tur U'!G28+Urad!H57+Moong!H58+'OKP U'!H95</f>
        <v>378</v>
      </c>
      <c r="H31" s="96">
        <f>'Tur U'!H28+Urad!I57+Moong!I58+'OKP U'!I95</f>
        <v>349.86</v>
      </c>
      <c r="I31" s="96">
        <f>'Tur U'!I28+Urad!J57+Moong!J58+'OKP U'!J95</f>
        <v>256.84100000000001</v>
      </c>
      <c r="J31" s="96">
        <f>'Tur U'!J28+Urad!K57+Moong!K58+'OKP U'!K95</f>
        <v>328.73500000000001</v>
      </c>
      <c r="K31" s="96">
        <f>'Tur U'!K28+Urad!L57+Moong!L58+'OKP U'!L95</f>
        <v>296.34050000000002</v>
      </c>
      <c r="L31" s="106">
        <f t="shared" si="1"/>
        <v>671.40319715808175</v>
      </c>
      <c r="M31" s="106">
        <f t="shared" si="2"/>
        <v>767.23684210526324</v>
      </c>
      <c r="N31" s="106">
        <f t="shared" si="3"/>
        <v>658.56666666666661</v>
      </c>
      <c r="O31" s="106">
        <f t="shared" si="4"/>
        <v>886.07816711590306</v>
      </c>
      <c r="P31" s="106">
        <f t="shared" si="5"/>
        <v>723.31095923846726</v>
      </c>
      <c r="Q31" s="19"/>
      <c r="R31" s="19"/>
      <c r="S31" s="19"/>
      <c r="T31" s="19"/>
      <c r="U31" s="19"/>
      <c r="V31" s="19"/>
    </row>
    <row r="32" spans="1:22" ht="21" customHeight="1" x14ac:dyDescent="0.2">
      <c r="A32" s="255" t="s">
        <v>85</v>
      </c>
      <c r="B32" s="96">
        <f>'Tur U'!B29+Urad!C60+Moong!C61+'OKP U'!C97</f>
        <v>14.077</v>
      </c>
      <c r="C32" s="96">
        <f>'Tur U'!C29+Urad!D60+Moong!D61+'OKP U'!D97</f>
        <v>15.438000000000001</v>
      </c>
      <c r="D32" s="96">
        <f>'Tur U'!D29+Urad!E60+Moong!E61+'OKP U'!E97</f>
        <v>14.509</v>
      </c>
      <c r="E32" s="96">
        <f>'Tur U'!E29+Urad!F60+Moong!F61+'OKP U'!F97</f>
        <v>14.203999999999999</v>
      </c>
      <c r="F32" s="96">
        <f>'Tur U'!F29+Urad!G60+Moong!G61+'OKP U'!G97</f>
        <v>15.019</v>
      </c>
      <c r="G32" s="96">
        <f>'Tur U'!G29+Urad!H60+Moong!H61+'OKP U'!H97</f>
        <v>15.443999999999999</v>
      </c>
      <c r="H32" s="96">
        <f>'Tur U'!H29+Urad!I60+Moong!I61+'OKP U'!I97</f>
        <v>10.425853</v>
      </c>
      <c r="I32" s="96">
        <f>'Tur U'!I29+Urad!J60+Moong!J61+'OKP U'!J97</f>
        <v>10.337447000000001</v>
      </c>
      <c r="J32" s="96">
        <f>'Tur U'!J29+Urad!K60+Moong!K61+'OKP U'!K97</f>
        <v>10.496324</v>
      </c>
      <c r="K32" s="96">
        <f>'Tur U'!K29+Urad!L60+Moong!L61+'OKP U'!L97</f>
        <v>11.318750000000001</v>
      </c>
      <c r="L32" s="106">
        <f t="shared" si="1"/>
        <v>1097.1087589685303</v>
      </c>
      <c r="M32" s="106">
        <f t="shared" si="2"/>
        <v>675.33702552144064</v>
      </c>
      <c r="N32" s="106">
        <f t="shared" si="3"/>
        <v>712.4851471500449</v>
      </c>
      <c r="O32" s="106">
        <f t="shared" si="4"/>
        <v>738.96958603210362</v>
      </c>
      <c r="P32" s="106">
        <f t="shared" si="5"/>
        <v>753.62873693321797</v>
      </c>
      <c r="Q32" s="19"/>
      <c r="R32" s="19"/>
      <c r="S32" s="19"/>
      <c r="T32" s="19"/>
      <c r="U32" s="19"/>
      <c r="V32" s="19"/>
    </row>
    <row r="33" spans="1:22" ht="21" customHeight="1" x14ac:dyDescent="0.2">
      <c r="A33" s="255" t="s">
        <v>12</v>
      </c>
      <c r="B33" s="96">
        <f>'Tur U'!B30+Urad!C63+Moong!C64+'OKP U'!C99</f>
        <v>977</v>
      </c>
      <c r="C33" s="96">
        <f>'Tur U'!C30+Urad!D63+Moong!D64+'OKP U'!D99</f>
        <v>892</v>
      </c>
      <c r="D33" s="96">
        <f>'Tur U'!D30+Urad!E63+Moong!E64+'OKP U'!E99</f>
        <v>823</v>
      </c>
      <c r="E33" s="96">
        <f>'Tur U'!E30+Urad!F63+Moong!F64+'OKP U'!F99</f>
        <v>853</v>
      </c>
      <c r="F33" s="96">
        <f>'Tur U'!F30+Urad!G63+Moong!G64+'OKP U'!G99</f>
        <v>843</v>
      </c>
      <c r="G33" s="96">
        <f>'Tur U'!G30+Urad!H63+Moong!H64+'OKP U'!H99</f>
        <v>702</v>
      </c>
      <c r="H33" s="96">
        <f>'Tur U'!H30+Urad!I63+Moong!I64+'OKP U'!I99</f>
        <v>632.14499999999998</v>
      </c>
      <c r="I33" s="96">
        <f>'Tur U'!I30+Urad!J63+Moong!J64+'OKP U'!J99</f>
        <v>582.86300000000006</v>
      </c>
      <c r="J33" s="96">
        <f>'Tur U'!J30+Urad!K63+Moong!K64+'OKP U'!K99</f>
        <v>506.15300000000002</v>
      </c>
      <c r="K33" s="96">
        <f>'Tur U'!K30+Urad!L63+Moong!L64+'OKP U'!L99</f>
        <v>595.45000000000005</v>
      </c>
      <c r="L33" s="106">
        <f t="shared" si="1"/>
        <v>718.52610030706239</v>
      </c>
      <c r="M33" s="106">
        <f t="shared" si="2"/>
        <v>708.68273542600889</v>
      </c>
      <c r="N33" s="106">
        <f t="shared" si="3"/>
        <v>708.21749696233303</v>
      </c>
      <c r="O33" s="106">
        <f t="shared" si="4"/>
        <v>593.37983587338806</v>
      </c>
      <c r="P33" s="106">
        <f t="shared" si="5"/>
        <v>706.34638196915773</v>
      </c>
      <c r="Q33" s="19"/>
      <c r="R33" s="19"/>
      <c r="S33" s="19"/>
      <c r="T33" s="19"/>
      <c r="U33" s="19"/>
      <c r="V33" s="19"/>
    </row>
    <row r="34" spans="1:22" ht="21" customHeight="1" x14ac:dyDescent="0.2">
      <c r="A34" s="255" t="s">
        <v>90</v>
      </c>
      <c r="B34" s="96">
        <f>'Tur U'!B31+Urad!C66+'OKP U'!C104</f>
        <v>44</v>
      </c>
      <c r="C34" s="96">
        <f>'Tur U'!C31+Urad!D66+'OKP U'!D104</f>
        <v>46</v>
      </c>
      <c r="D34" s="96">
        <f>'Tur U'!D31+Urad!E66+'OKP U'!E104</f>
        <v>43</v>
      </c>
      <c r="E34" s="96">
        <f>'Tur U'!E31+Urad!F66+'OKP U'!F104</f>
        <v>40</v>
      </c>
      <c r="F34" s="96">
        <f>'Tur U'!F31+Urad!G66+'OKP U'!G104</f>
        <v>43</v>
      </c>
      <c r="G34" s="96">
        <f>'Tur U'!G31+Urad!H66+'OKP U'!H104</f>
        <v>38</v>
      </c>
      <c r="H34" s="96">
        <f>'Tur U'!H31+Urad!I66+'OKP U'!I104</f>
        <v>41.451999999999998</v>
      </c>
      <c r="I34" s="96">
        <f>'Tur U'!I31+Urad!J66+'OKP U'!J104</f>
        <v>39.831000000000003</v>
      </c>
      <c r="J34" s="96">
        <f>'Tur U'!J31+Urad!K66+'OKP U'!K104</f>
        <v>38.869</v>
      </c>
      <c r="K34" s="96">
        <f>'Tur U'!K31+Urad!L66+'OKP U'!L104</f>
        <v>45.382999999999996</v>
      </c>
      <c r="L34" s="106">
        <f t="shared" si="1"/>
        <v>863.63636363636363</v>
      </c>
      <c r="M34" s="106">
        <f t="shared" si="2"/>
        <v>901.13043478260863</v>
      </c>
      <c r="N34" s="106">
        <f t="shared" si="3"/>
        <v>926.30232558139551</v>
      </c>
      <c r="O34" s="106">
        <f t="shared" si="4"/>
        <v>971.72499999999991</v>
      </c>
      <c r="P34" s="106">
        <f t="shared" si="5"/>
        <v>1055.4186046511627</v>
      </c>
      <c r="Q34" s="19"/>
      <c r="R34" s="19"/>
      <c r="S34" s="19"/>
      <c r="T34" s="19"/>
      <c r="U34" s="19"/>
      <c r="V34" s="19"/>
    </row>
    <row r="35" spans="1:22" ht="21" customHeight="1" x14ac:dyDescent="0.2">
      <c r="A35" s="255" t="s">
        <v>13</v>
      </c>
      <c r="B35" s="96">
        <f>'Tur U'!B32+Urad!C69+Moong!C68+'OKP U'!C106</f>
        <v>70.822000000000003</v>
      </c>
      <c r="C35" s="96">
        <f>'Tur U'!C32+Urad!D69+Moong!D68+'OKP U'!D106</f>
        <v>74.55</v>
      </c>
      <c r="D35" s="96">
        <f>'Tur U'!D32+Urad!E69+Moong!E68+'OKP U'!E106</f>
        <v>74.724000000000004</v>
      </c>
      <c r="E35" s="96">
        <f>'Tur U'!E32+Urad!F69+Moong!F68+'OKP U'!F106</f>
        <v>75.462999999999994</v>
      </c>
      <c r="F35" s="96">
        <f>'Tur U'!F32+Urad!G69+Moong!G68+'OKP U'!G106</f>
        <v>75.696999999999989</v>
      </c>
      <c r="G35" s="96">
        <f>'Tur U'!G32+Urad!H69+Moong!H68+'OKP U'!H106</f>
        <v>50.844000000000008</v>
      </c>
      <c r="H35" s="96">
        <f>'Tur U'!H32+Urad!I69+Moong!I68+'OKP U'!I106</f>
        <v>56.27</v>
      </c>
      <c r="I35" s="96">
        <f>'Tur U'!I32+Urad!J69+Moong!J68+'OKP U'!J106</f>
        <v>52.55265399999999</v>
      </c>
      <c r="J35" s="96">
        <f>'Tur U'!J32+Urad!K69+Moong!K68+'OKP U'!K106</f>
        <v>51.897513000000011</v>
      </c>
      <c r="K35" s="96">
        <f>'Tur U'!K32+Urad!L69+Moong!L68+'OKP U'!L106</f>
        <v>51.445994999999989</v>
      </c>
      <c r="L35" s="106">
        <f t="shared" si="1"/>
        <v>717.9125130609134</v>
      </c>
      <c r="M35" s="106">
        <f t="shared" si="2"/>
        <v>754.79543930248155</v>
      </c>
      <c r="N35" s="106">
        <f t="shared" si="3"/>
        <v>703.29016112627789</v>
      </c>
      <c r="O35" s="106">
        <f t="shared" si="4"/>
        <v>687.72130713064701</v>
      </c>
      <c r="P35" s="106">
        <f t="shared" si="5"/>
        <v>679.63056660105417</v>
      </c>
      <c r="Q35" s="19"/>
      <c r="R35" s="19"/>
      <c r="S35" s="19"/>
      <c r="T35" s="19"/>
      <c r="U35" s="19"/>
      <c r="V35" s="19"/>
    </row>
    <row r="36" spans="1:22" ht="21" customHeight="1" x14ac:dyDescent="0.2">
      <c r="A36" s="255" t="s">
        <v>32</v>
      </c>
      <c r="B36" s="96">
        <f>'Tur U'!B33+Urad!C72</f>
        <v>7.0000000000000001E-3</v>
      </c>
      <c r="C36" s="96">
        <f>'Tur U'!C33+Urad!D72</f>
        <v>1.1999999999999999E-3</v>
      </c>
      <c r="D36" s="96">
        <f>'Tur U'!D33+Urad!E72</f>
        <v>0.46220000000000006</v>
      </c>
      <c r="E36" s="96">
        <f>'Tur U'!E33+Urad!F72</f>
        <v>0</v>
      </c>
      <c r="F36" s="96">
        <f>'Tur U'!F33+Urad!G72</f>
        <v>2.0999999999999999E-3</v>
      </c>
      <c r="G36" s="96">
        <f>'Tur U'!G33+Urad!H72</f>
        <v>2.9999999999999997E-4</v>
      </c>
      <c r="H36" s="96">
        <f>'Tur U'!H33+Urad!I72</f>
        <v>5.9999999999999995E-4</v>
      </c>
      <c r="I36" s="96">
        <f>'Tur U'!I33+Urad!J72</f>
        <v>0.132962</v>
      </c>
      <c r="J36" s="96">
        <f>'Tur U'!J33+Urad!K72</f>
        <v>0</v>
      </c>
      <c r="K36" s="96">
        <f>'Tur U'!K33+Urad!L72</f>
        <v>2.1000000000000001E-4</v>
      </c>
      <c r="L36" s="106">
        <f t="shared" si="1"/>
        <v>42.857142857142854</v>
      </c>
      <c r="M36" s="106">
        <f t="shared" si="2"/>
        <v>500</v>
      </c>
      <c r="N36" s="106">
        <f t="shared" si="3"/>
        <v>287.67200346170483</v>
      </c>
      <c r="O36" s="106" t="e">
        <f t="shared" si="4"/>
        <v>#DIV/0!</v>
      </c>
      <c r="P36" s="106">
        <f t="shared" si="5"/>
        <v>100</v>
      </c>
      <c r="Q36" s="19"/>
      <c r="R36" s="19"/>
      <c r="S36" s="19"/>
      <c r="T36" s="19"/>
      <c r="U36" s="19"/>
      <c r="V36" s="19"/>
    </row>
    <row r="37" spans="1:22" ht="21" customHeight="1" x14ac:dyDescent="0.2">
      <c r="A37" s="255" t="s">
        <v>42</v>
      </c>
      <c r="B37" s="96">
        <f>'Tur U'!B34+Urad!C75+'OKP U'!C107</f>
        <v>2.5559999999999996</v>
      </c>
      <c r="C37" s="96">
        <f>'Tur U'!C34+Urad!D75+'OKP U'!D107</f>
        <v>2.456</v>
      </c>
      <c r="D37" s="96">
        <f>'Tur U'!D34+Urad!E75+'OKP U'!E107</f>
        <v>2.65</v>
      </c>
      <c r="E37" s="96">
        <f>'Tur U'!E34+Urad!F75+'OKP U'!F107</f>
        <v>2.3059999999999996</v>
      </c>
      <c r="F37" s="96">
        <f>'Tur U'!F34+Urad!G75+'OKP U'!G107</f>
        <v>0</v>
      </c>
      <c r="G37" s="96">
        <f>'Tur U'!G34+Urad!H75+'OKP U'!H107</f>
        <v>5.4992000000000001</v>
      </c>
      <c r="H37" s="96">
        <f>'Tur U'!H34+Urad!I75+'OKP U'!I107</f>
        <v>2.4572000000000003</v>
      </c>
      <c r="I37" s="96">
        <f>'Tur U'!I34+Urad!J75+'OKP U'!J107</f>
        <v>3.0484599999999995</v>
      </c>
      <c r="J37" s="96">
        <f>'Tur U'!J34+Urad!K75+'OKP U'!K107</f>
        <v>2.2711999999999999</v>
      </c>
      <c r="K37" s="96">
        <f>'Tur U'!K34+Urad!L75+'OKP U'!L107</f>
        <v>0</v>
      </c>
      <c r="L37" s="106">
        <f t="shared" si="1"/>
        <v>2151.4866979655717</v>
      </c>
      <c r="M37" s="106">
        <f t="shared" si="2"/>
        <v>1000.4885993485344</v>
      </c>
      <c r="N37" s="106">
        <f t="shared" si="3"/>
        <v>1150.3622641509432</v>
      </c>
      <c r="O37" s="106">
        <f t="shared" si="4"/>
        <v>984.90893321769317</v>
      </c>
      <c r="P37" s="106" t="e">
        <f t="shared" si="5"/>
        <v>#DIV/0!</v>
      </c>
      <c r="Q37" s="19"/>
      <c r="R37" s="19"/>
      <c r="S37" s="19"/>
      <c r="T37" s="19"/>
      <c r="U37" s="19"/>
      <c r="V37" s="19"/>
    </row>
    <row r="38" spans="1:22" ht="21" customHeight="1" x14ac:dyDescent="0.2">
      <c r="A38" s="255" t="s">
        <v>86</v>
      </c>
      <c r="B38" s="96">
        <f>'Tur U'!B35+Urad!C76</f>
        <v>0</v>
      </c>
      <c r="C38" s="96">
        <f>'Tur U'!C35+Urad!D76</f>
        <v>0</v>
      </c>
      <c r="D38" s="96">
        <f>'Tur U'!D35+Urad!E76</f>
        <v>0</v>
      </c>
      <c r="E38" s="96">
        <f>'Tur U'!E35+Urad!F76</f>
        <v>0.185</v>
      </c>
      <c r="F38" s="96">
        <f>'Tur U'!F35+Urad!G76</f>
        <v>0</v>
      </c>
      <c r="G38" s="96">
        <f>'Tur U'!G35+Urad!H76</f>
        <v>0</v>
      </c>
      <c r="H38" s="96">
        <f>'Tur U'!H35+Urad!I76</f>
        <v>0</v>
      </c>
      <c r="I38" s="96">
        <f>'Tur U'!I35+Urad!J76</f>
        <v>0</v>
      </c>
      <c r="J38" s="96">
        <f>'Tur U'!J35+Urad!K76</f>
        <v>0.2</v>
      </c>
      <c r="K38" s="96">
        <f>'Tur U'!K35+Urad!L76</f>
        <v>0</v>
      </c>
      <c r="L38" s="106" t="e">
        <f t="shared" si="1"/>
        <v>#DIV/0!</v>
      </c>
      <c r="M38" s="106" t="e">
        <f t="shared" si="2"/>
        <v>#DIV/0!</v>
      </c>
      <c r="N38" s="106" t="e">
        <f t="shared" si="3"/>
        <v>#DIV/0!</v>
      </c>
      <c r="O38" s="106">
        <f t="shared" si="4"/>
        <v>1081.081081081081</v>
      </c>
      <c r="P38" s="106" t="e">
        <f t="shared" si="5"/>
        <v>#DIV/0!</v>
      </c>
      <c r="Q38" s="19"/>
      <c r="R38" s="19"/>
      <c r="S38" s="19"/>
      <c r="T38" s="19"/>
      <c r="U38" s="19"/>
      <c r="V38" s="19"/>
    </row>
    <row r="39" spans="1:22" ht="21" customHeight="1" x14ac:dyDescent="0.2">
      <c r="A39" s="263" t="s">
        <v>205</v>
      </c>
      <c r="B39" s="96">
        <f>'OKP U'!C108</f>
        <v>0</v>
      </c>
      <c r="C39" s="96">
        <f>'OKP U'!D108</f>
        <v>0</v>
      </c>
      <c r="D39" s="96">
        <f>'OKP U'!E108</f>
        <v>0</v>
      </c>
      <c r="E39" s="96">
        <f>'OKP U'!F108</f>
        <v>0</v>
      </c>
      <c r="F39" s="96">
        <f>'OKP U'!G108</f>
        <v>1.22</v>
      </c>
      <c r="G39" s="96">
        <f>'OKP U'!H108</f>
        <v>0</v>
      </c>
      <c r="H39" s="96">
        <f>'OKP U'!I108</f>
        <v>0</v>
      </c>
      <c r="I39" s="96">
        <f>'OKP U'!J108</f>
        <v>0</v>
      </c>
      <c r="J39" s="96">
        <f>'OKP U'!K108</f>
        <v>0</v>
      </c>
      <c r="K39" s="96">
        <f>'OKP U'!L108</f>
        <v>1.095</v>
      </c>
      <c r="L39" s="106" t="e">
        <f t="shared" ref="L39" si="6">G39/B39*1000</f>
        <v>#DIV/0!</v>
      </c>
      <c r="M39" s="106" t="e">
        <f t="shared" ref="M39" si="7">H39/C39*1000</f>
        <v>#DIV/0!</v>
      </c>
      <c r="N39" s="106" t="e">
        <f t="shared" ref="N39" si="8">I39/D39*1000</f>
        <v>#DIV/0!</v>
      </c>
      <c r="O39" s="106" t="e">
        <f t="shared" ref="O39" si="9">J39/E39*1000</f>
        <v>#DIV/0!</v>
      </c>
      <c r="P39" s="106">
        <f t="shared" ref="P39" si="10">K39/F39*1000</f>
        <v>897.54098360655746</v>
      </c>
      <c r="Q39" s="19"/>
      <c r="R39" s="19"/>
      <c r="S39" s="19"/>
      <c r="T39" s="19"/>
      <c r="U39" s="19"/>
      <c r="V39" s="19"/>
    </row>
    <row r="40" spans="1:22" ht="21" customHeight="1" x14ac:dyDescent="0.2">
      <c r="A40" s="255" t="s">
        <v>23</v>
      </c>
      <c r="B40" s="96">
        <f>'OKP U'!C109</f>
        <v>0</v>
      </c>
      <c r="C40" s="96">
        <f>'OKP U'!D109</f>
        <v>0</v>
      </c>
      <c r="D40" s="96">
        <f>'OKP U'!E109</f>
        <v>0</v>
      </c>
      <c r="E40" s="96">
        <f>'OKP U'!F109</f>
        <v>0</v>
      </c>
      <c r="F40" s="96">
        <f>'OKP U'!G109</f>
        <v>0</v>
      </c>
      <c r="G40" s="96">
        <f>'OKP U'!H109</f>
        <v>0</v>
      </c>
      <c r="H40" s="96">
        <f>'OKP U'!I109</f>
        <v>0</v>
      </c>
      <c r="I40" s="96">
        <f>'OKP U'!J109</f>
        <v>0</v>
      </c>
      <c r="J40" s="96">
        <f>'OKP U'!K109</f>
        <v>0</v>
      </c>
      <c r="K40" s="96">
        <f>'OKP U'!L109</f>
        <v>0</v>
      </c>
      <c r="L40" s="106" t="e">
        <f t="shared" si="1"/>
        <v>#DIV/0!</v>
      </c>
      <c r="M40" s="106" t="e">
        <f t="shared" si="2"/>
        <v>#DIV/0!</v>
      </c>
      <c r="N40" s="106" t="e">
        <f t="shared" si="3"/>
        <v>#DIV/0!</v>
      </c>
      <c r="O40" s="106" t="e">
        <f t="shared" si="4"/>
        <v>#DIV/0!</v>
      </c>
      <c r="P40" s="106" t="e">
        <f t="shared" si="5"/>
        <v>#DIV/0!</v>
      </c>
      <c r="Q40" s="19"/>
      <c r="R40" s="19"/>
      <c r="S40" s="19"/>
      <c r="T40" s="19"/>
      <c r="U40" s="19"/>
      <c r="V40" s="19"/>
    </row>
    <row r="41" spans="1:22" ht="21" customHeight="1" x14ac:dyDescent="0.2">
      <c r="A41" s="255" t="s">
        <v>113</v>
      </c>
      <c r="B41" s="96">
        <f>Urad!C77+Moong!C72+'OKP U'!C110</f>
        <v>0.40400000000000003</v>
      </c>
      <c r="C41" s="96">
        <f>Urad!D77+Moong!D72+'OKP U'!D110</f>
        <v>0.34600000000000003</v>
      </c>
      <c r="D41" s="96">
        <f>Urad!E77+Moong!E72+'OKP U'!E110</f>
        <v>0.23</v>
      </c>
      <c r="E41" s="96">
        <f>Urad!F77+Moong!F72+'OKP U'!F110</f>
        <v>0.22719999999999999</v>
      </c>
      <c r="F41" s="96">
        <f>Urad!G77+Moong!G72+'OKP U'!G110</f>
        <v>1.0999999999999999E-2</v>
      </c>
      <c r="G41" s="96">
        <f>Urad!H77+Moong!H72+'OKP U'!H110</f>
        <v>0.38900000000000001</v>
      </c>
      <c r="H41" s="96">
        <f>Urad!I77+Moong!I72+'OKP U'!I110</f>
        <v>0.49199999999999999</v>
      </c>
      <c r="I41" s="96">
        <f>Urad!J77+Moong!J72+'OKP U'!J110</f>
        <v>0.22700000000000001</v>
      </c>
      <c r="J41" s="96">
        <f>Urad!K77+Moong!K72+'OKP U'!K110</f>
        <v>0.20989999999999998</v>
      </c>
      <c r="K41" s="96">
        <f>Urad!L77+Moong!L72+'OKP U'!L110</f>
        <v>1.0999999999999999E-2</v>
      </c>
      <c r="L41" s="106">
        <f t="shared" si="1"/>
        <v>962.87128712871288</v>
      </c>
      <c r="M41" s="106">
        <f t="shared" si="2"/>
        <v>1421.965317919075</v>
      </c>
      <c r="N41" s="106">
        <f t="shared" si="3"/>
        <v>986.95652173913038</v>
      </c>
      <c r="O41" s="106">
        <f t="shared" si="4"/>
        <v>923.8556338028169</v>
      </c>
      <c r="P41" s="106">
        <f t="shared" si="5"/>
        <v>1000</v>
      </c>
      <c r="Q41" s="19"/>
      <c r="R41" s="19"/>
      <c r="S41" s="19"/>
      <c r="T41" s="19"/>
      <c r="U41" s="19"/>
      <c r="V41" s="19"/>
    </row>
    <row r="42" spans="1:22" s="8" customFormat="1" ht="21" customHeight="1" x14ac:dyDescent="0.2">
      <c r="A42" s="255" t="s">
        <v>46</v>
      </c>
      <c r="B42" s="103">
        <f>'Tur U'!B37+Urad!C80+Moong!C75+'OKP U'!C116</f>
        <v>14363.298000000003</v>
      </c>
      <c r="C42" s="103">
        <f>'Tur U'!C37+Urad!D80+Moong!D75+'OKP U'!D116</f>
        <v>13933.302499999996</v>
      </c>
      <c r="D42" s="103">
        <f>'Tur U'!D37+Urad!E80+Moong!E75+'OKP U'!E116</f>
        <v>14829.673499999999</v>
      </c>
      <c r="E42" s="103">
        <f>'Tur U'!E37+Urad!F80+Moong!F75+'OKP U'!F116</f>
        <v>13535.460200000001</v>
      </c>
      <c r="F42" s="103">
        <f>'Tur U'!F37+Urad!G80+Moong!G75+'OKP U'!G116</f>
        <v>13430.3411</v>
      </c>
      <c r="G42" s="103">
        <f>'Tur U'!G37+Urad!H80+Moong!H75+'OKP U'!H116</f>
        <v>9584.524072000002</v>
      </c>
      <c r="H42" s="103">
        <f>'Tur U'!H37+Urad!I80+Moong!I75+'OKP U'!I116</f>
        <v>9305.7636740000034</v>
      </c>
      <c r="I42" s="103">
        <f>'Tur U'!I37+Urad!J80+Moong!J75+'OKP U'!J116</f>
        <v>8091.3548632000002</v>
      </c>
      <c r="J42" s="103">
        <f>'Tur U'!J37+Urad!K80+Moong!K75+'OKP U'!K116</f>
        <v>7920.8810730000005</v>
      </c>
      <c r="K42" s="103">
        <f>'Tur U'!K37+Urad!L80+Moong!L75+'OKP U'!L116</f>
        <v>8618.2241694000004</v>
      </c>
      <c r="L42" s="107">
        <f t="shared" si="1"/>
        <v>667.29271174350072</v>
      </c>
      <c r="M42" s="107">
        <f t="shared" si="2"/>
        <v>667.87925360839665</v>
      </c>
      <c r="N42" s="107">
        <f t="shared" si="3"/>
        <v>545.61921833275699</v>
      </c>
      <c r="O42" s="107">
        <f t="shared" si="4"/>
        <v>585.19481096032473</v>
      </c>
      <c r="P42" s="107">
        <f t="shared" si="5"/>
        <v>641.69808534498065</v>
      </c>
      <c r="Q42" s="19"/>
      <c r="R42" s="19"/>
      <c r="S42" s="19"/>
      <c r="T42" s="19"/>
      <c r="U42" s="19"/>
      <c r="V42" s="19"/>
    </row>
    <row r="43" spans="1:22" x14ac:dyDescent="0.2"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22" x14ac:dyDescent="0.2"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22" x14ac:dyDescent="0.2"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22" x14ac:dyDescent="0.2"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22" x14ac:dyDescent="0.2"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22" x14ac:dyDescent="0.2"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2:11" x14ac:dyDescent="0.2"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2:11" x14ac:dyDescent="0.2"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2:11" x14ac:dyDescent="0.2"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2:11" x14ac:dyDescent="0.2"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2:11" x14ac:dyDescent="0.2"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2:11" x14ac:dyDescent="0.2"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2:1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2:11" x14ac:dyDescent="0.2"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2:11" x14ac:dyDescent="0.2"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2:11" x14ac:dyDescent="0.2"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2:11" x14ac:dyDescent="0.2"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2:11" x14ac:dyDescent="0.2"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2:11" x14ac:dyDescent="0.2"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2:11" x14ac:dyDescent="0.2"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2:11" x14ac:dyDescent="0.2"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2:1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2:11" x14ac:dyDescent="0.2"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2:11" x14ac:dyDescent="0.2"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2:11" x14ac:dyDescent="0.2"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2:11" x14ac:dyDescent="0.2"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2:1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2:11" x14ac:dyDescent="0.2"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2:11" x14ac:dyDescent="0.2"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2:11" x14ac:dyDescent="0.2"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2:1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2:11" x14ac:dyDescent="0.2"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2:11" x14ac:dyDescent="0.2"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2:11" x14ac:dyDescent="0.2">
      <c r="B76" s="9"/>
      <c r="C76" s="9"/>
      <c r="D76" s="9"/>
      <c r="E76" s="9"/>
      <c r="F76" s="9"/>
      <c r="G76" s="9"/>
      <c r="H76" s="9"/>
      <c r="I76" s="9"/>
      <c r="J76" s="9"/>
      <c r="K76" s="9"/>
    </row>
    <row r="77" spans="2:11" x14ac:dyDescent="0.2"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2:11" x14ac:dyDescent="0.2"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2:11" x14ac:dyDescent="0.2"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2:11" x14ac:dyDescent="0.2"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2:11" x14ac:dyDescent="0.2"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2:1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2:11" x14ac:dyDescent="0.2"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2:11" x14ac:dyDescent="0.2"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2:11" x14ac:dyDescent="0.2"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2:11" x14ac:dyDescent="0.2"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2:1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2:11" x14ac:dyDescent="0.2"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2:11" x14ac:dyDescent="0.2"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2:11" x14ac:dyDescent="0.2"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2:1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2:1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2:11" x14ac:dyDescent="0.2"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2:11" x14ac:dyDescent="0.2"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2:11" x14ac:dyDescent="0.2"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2:11" x14ac:dyDescent="0.2"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2:11" x14ac:dyDescent="0.2"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2:11" x14ac:dyDescent="0.2"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2:11" x14ac:dyDescent="0.2"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2:11" x14ac:dyDescent="0.2"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2:11" x14ac:dyDescent="0.2"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2:11" x14ac:dyDescent="0.2"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2:11" x14ac:dyDescent="0.2"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2:11" x14ac:dyDescent="0.2"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2:11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2:11" x14ac:dyDescent="0.2"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2:11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spans="2:11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2:1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2:11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2:11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2:11" x14ac:dyDescent="0.2"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2:11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2:11" x14ac:dyDescent="0.2"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2:11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2:11" x14ac:dyDescent="0.2"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2:11" x14ac:dyDescent="0.2"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2:11" x14ac:dyDescent="0.2"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2:11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2:11" x14ac:dyDescent="0.2"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2:11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2:11" x14ac:dyDescent="0.2"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2:11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2:11" x14ac:dyDescent="0.2"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2:11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2:11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2:1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2:11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2:11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2:11" x14ac:dyDescent="0.2"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2:11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2:1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2:11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2:11" x14ac:dyDescent="0.2"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2:11" x14ac:dyDescent="0.2"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2:1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2:1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2:11" x14ac:dyDescent="0.2"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2:11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2:11" x14ac:dyDescent="0.2"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2:11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2:11" x14ac:dyDescent="0.2"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2:11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2:11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2:1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2:11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2:11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2:11" x14ac:dyDescent="0.2"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2:11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2:11" x14ac:dyDescent="0.2"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2:11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2:11" x14ac:dyDescent="0.2"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2:11" x14ac:dyDescent="0.2"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2:11" x14ac:dyDescent="0.2"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2:1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2:11" x14ac:dyDescent="0.2"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2:11" x14ac:dyDescent="0.2"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2:11" x14ac:dyDescent="0.2"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2:1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2:1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2:11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2:11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2:1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2:11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2:11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2:11" x14ac:dyDescent="0.2"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2:11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spans="2:11" x14ac:dyDescent="0.2"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2:11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spans="2:11" x14ac:dyDescent="0.2"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2:11" x14ac:dyDescent="0.2"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spans="2:11" x14ac:dyDescent="0.2"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2:11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spans="2:11" x14ac:dyDescent="0.2"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2:11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 spans="2:11" x14ac:dyDescent="0.2"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2:11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 spans="2:11" x14ac:dyDescent="0.2"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2:11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 spans="2:11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2:1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spans="2:11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2:1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spans="2:11" x14ac:dyDescent="0.2"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2:1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 spans="2:11" x14ac:dyDescent="0.2"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2:11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 spans="2:11" x14ac:dyDescent="0.2"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2:11" x14ac:dyDescent="0.2"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 spans="2:11" x14ac:dyDescent="0.2"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2:11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 spans="2:11" x14ac:dyDescent="0.2"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2:11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 spans="2:11" x14ac:dyDescent="0.2"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2:11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spans="2:11" x14ac:dyDescent="0.2"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2:11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spans="2:11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2:1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 spans="2:11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2:11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 spans="2:11" x14ac:dyDescent="0.2"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2:11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 spans="2:11" x14ac:dyDescent="0.2"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2:11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 spans="2:11" x14ac:dyDescent="0.2"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2:11" x14ac:dyDescent="0.2"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 spans="2:11" x14ac:dyDescent="0.2"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2:11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 spans="2:11" x14ac:dyDescent="0.2"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2:11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 spans="2:11" x14ac:dyDescent="0.2"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2:11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 spans="2:11" x14ac:dyDescent="0.2"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2:11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spans="2:11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2:1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 spans="2:11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2:11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 spans="2:11" x14ac:dyDescent="0.2"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2:11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 spans="2:11" x14ac:dyDescent="0.2"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2:11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 spans="2:11" x14ac:dyDescent="0.2"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2:11" x14ac:dyDescent="0.2"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 spans="2:11" x14ac:dyDescent="0.2"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2:11" x14ac:dyDescent="0.2"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 spans="2:11" x14ac:dyDescent="0.2"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2:11" x14ac:dyDescent="0.2"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 spans="2:11" x14ac:dyDescent="0.2"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2:11" x14ac:dyDescent="0.2">
      <c r="B231" s="9"/>
      <c r="C231" s="9"/>
      <c r="D231" s="9"/>
      <c r="E231" s="9"/>
      <c r="F231" s="9"/>
      <c r="G231" s="9"/>
      <c r="H231" s="9"/>
      <c r="I231" s="9"/>
      <c r="J231" s="9"/>
      <c r="K231" s="9"/>
    </row>
    <row r="232" spans="2:11" x14ac:dyDescent="0.2"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spans="2:11" x14ac:dyDescent="0.2"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 spans="2:11" x14ac:dyDescent="0.2"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spans="2:1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</row>
    <row r="236" spans="2:11" x14ac:dyDescent="0.2"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spans="2:11" x14ac:dyDescent="0.2"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spans="2:11" x14ac:dyDescent="0.2"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2:11" x14ac:dyDescent="0.2"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 spans="2:11" x14ac:dyDescent="0.2"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2:11" x14ac:dyDescent="0.2">
      <c r="B241" s="9"/>
      <c r="C241" s="9"/>
      <c r="D241" s="9"/>
      <c r="E241" s="9"/>
      <c r="F241" s="9"/>
      <c r="G241" s="9"/>
      <c r="H241" s="9"/>
      <c r="I241" s="9"/>
      <c r="J241" s="9"/>
      <c r="K241" s="9"/>
    </row>
    <row r="242" spans="2:11" x14ac:dyDescent="0.2"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2:11" x14ac:dyDescent="0.2">
      <c r="B243" s="9"/>
      <c r="C243" s="9"/>
      <c r="D243" s="9"/>
      <c r="E243" s="9"/>
      <c r="F243" s="9"/>
      <c r="G243" s="9"/>
      <c r="H243" s="9"/>
      <c r="I243" s="9"/>
      <c r="J243" s="9"/>
      <c r="K243" s="9"/>
    </row>
    <row r="244" spans="2:11" x14ac:dyDescent="0.2"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spans="2:11" x14ac:dyDescent="0.2">
      <c r="B245" s="9"/>
      <c r="C245" s="9"/>
      <c r="D245" s="9"/>
      <c r="E245" s="9"/>
      <c r="F245" s="9"/>
      <c r="G245" s="9"/>
      <c r="H245" s="9"/>
      <c r="I245" s="9"/>
      <c r="J245" s="9"/>
      <c r="K245" s="9"/>
    </row>
    <row r="246" spans="2:11" x14ac:dyDescent="0.2"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spans="2:11" x14ac:dyDescent="0.2">
      <c r="B247" s="9"/>
      <c r="C247" s="9"/>
      <c r="D247" s="9"/>
      <c r="E247" s="9"/>
      <c r="F247" s="9"/>
      <c r="G247" s="9"/>
      <c r="H247" s="9"/>
      <c r="I247" s="9"/>
      <c r="J247" s="9"/>
      <c r="K247" s="9"/>
    </row>
    <row r="248" spans="2:11" x14ac:dyDescent="0.2"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2:11" x14ac:dyDescent="0.2">
      <c r="B249" s="9"/>
      <c r="C249" s="9"/>
      <c r="D249" s="9"/>
      <c r="E249" s="9"/>
      <c r="F249" s="9"/>
      <c r="G249" s="9"/>
      <c r="H249" s="9"/>
      <c r="I249" s="9"/>
      <c r="J249" s="9"/>
      <c r="K249" s="9"/>
    </row>
    <row r="250" spans="2:11" x14ac:dyDescent="0.2"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spans="2:11" x14ac:dyDescent="0.2"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spans="2:11" x14ac:dyDescent="0.2"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spans="2:1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</row>
    <row r="254" spans="2:11" x14ac:dyDescent="0.2"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spans="2:11" x14ac:dyDescent="0.2">
      <c r="B255" s="9"/>
      <c r="C255" s="9"/>
      <c r="D255" s="9"/>
      <c r="E255" s="9"/>
      <c r="F255" s="9"/>
      <c r="G255" s="9"/>
      <c r="H255" s="9"/>
      <c r="I255" s="9"/>
      <c r="J255" s="9"/>
      <c r="K255" s="9"/>
    </row>
    <row r="256" spans="2:11" x14ac:dyDescent="0.2"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spans="2:11" x14ac:dyDescent="0.2">
      <c r="B257" s="9"/>
      <c r="C257" s="9"/>
      <c r="D257" s="9"/>
      <c r="E257" s="9"/>
      <c r="F257" s="9"/>
      <c r="G257" s="9"/>
      <c r="H257" s="9"/>
      <c r="I257" s="9"/>
      <c r="J257" s="9"/>
      <c r="K257" s="9"/>
    </row>
    <row r="258" spans="2:11" x14ac:dyDescent="0.2"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2:11" x14ac:dyDescent="0.2">
      <c r="B259" s="9"/>
      <c r="C259" s="9"/>
      <c r="D259" s="9"/>
      <c r="E259" s="9"/>
      <c r="F259" s="9"/>
      <c r="G259" s="9"/>
      <c r="H259" s="9"/>
      <c r="I259" s="9"/>
      <c r="J259" s="9"/>
      <c r="K259" s="9"/>
    </row>
    <row r="260" spans="2:11" x14ac:dyDescent="0.2"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2:11" x14ac:dyDescent="0.2">
      <c r="B261" s="9"/>
      <c r="C261" s="9"/>
      <c r="D261" s="9"/>
      <c r="E261" s="9"/>
      <c r="F261" s="9"/>
      <c r="G261" s="9"/>
      <c r="H261" s="9"/>
      <c r="I261" s="9"/>
      <c r="J261" s="9"/>
      <c r="K261" s="9"/>
    </row>
    <row r="262" spans="2:11" x14ac:dyDescent="0.2"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spans="2:11" x14ac:dyDescent="0.2">
      <c r="B263" s="9"/>
      <c r="C263" s="9"/>
      <c r="D263" s="9"/>
      <c r="E263" s="9"/>
      <c r="F263" s="9"/>
      <c r="G263" s="9"/>
      <c r="H263" s="9"/>
      <c r="I263" s="9"/>
      <c r="J263" s="9"/>
      <c r="K263" s="9"/>
    </row>
    <row r="264" spans="2:11" x14ac:dyDescent="0.2"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spans="2:11" x14ac:dyDescent="0.2">
      <c r="B265" s="9"/>
      <c r="C265" s="9"/>
      <c r="D265" s="9"/>
      <c r="E265" s="9"/>
      <c r="F265" s="9"/>
      <c r="G265" s="9"/>
      <c r="H265" s="9"/>
      <c r="I265" s="9"/>
      <c r="J265" s="9"/>
      <c r="K265" s="9"/>
    </row>
    <row r="266" spans="2:11" x14ac:dyDescent="0.2"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spans="2:11" x14ac:dyDescent="0.2">
      <c r="B267" s="9"/>
      <c r="C267" s="9"/>
      <c r="D267" s="9"/>
      <c r="E267" s="9"/>
      <c r="F267" s="9"/>
      <c r="G267" s="9"/>
      <c r="H267" s="9"/>
      <c r="I267" s="9"/>
      <c r="J267" s="9"/>
      <c r="K267" s="9"/>
    </row>
    <row r="268" spans="2:11" x14ac:dyDescent="0.2"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2:11" x14ac:dyDescent="0.2"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 spans="2:11" x14ac:dyDescent="0.2"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spans="2:1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</row>
    <row r="272" spans="2:11" x14ac:dyDescent="0.2"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spans="2:11" x14ac:dyDescent="0.2">
      <c r="B273" s="9"/>
      <c r="C273" s="9"/>
      <c r="D273" s="9"/>
      <c r="E273" s="9"/>
      <c r="F273" s="9"/>
      <c r="G273" s="9"/>
      <c r="H273" s="9"/>
      <c r="I273" s="9"/>
      <c r="J273" s="9"/>
      <c r="K273" s="9"/>
    </row>
    <row r="274" spans="2:11" x14ac:dyDescent="0.2"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spans="2:11" x14ac:dyDescent="0.2">
      <c r="B275" s="9"/>
      <c r="C275" s="9"/>
      <c r="D275" s="9"/>
      <c r="E275" s="9"/>
      <c r="F275" s="9"/>
      <c r="G275" s="9"/>
      <c r="H275" s="9"/>
      <c r="I275" s="9"/>
      <c r="J275" s="9"/>
      <c r="K275" s="9"/>
    </row>
    <row r="276" spans="2:11" x14ac:dyDescent="0.2"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spans="2:11" x14ac:dyDescent="0.2">
      <c r="B277" s="9"/>
      <c r="C277" s="9"/>
      <c r="D277" s="9"/>
      <c r="E277" s="9"/>
      <c r="F277" s="9"/>
      <c r="G277" s="9"/>
      <c r="H277" s="9"/>
      <c r="I277" s="9"/>
      <c r="J277" s="9"/>
      <c r="K277" s="9"/>
    </row>
    <row r="278" spans="2:11" x14ac:dyDescent="0.2"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2:11" x14ac:dyDescent="0.2">
      <c r="B279" s="9"/>
      <c r="C279" s="9"/>
      <c r="D279" s="9"/>
      <c r="E279" s="9"/>
      <c r="F279" s="9"/>
      <c r="G279" s="9"/>
      <c r="H279" s="9"/>
      <c r="I279" s="9"/>
      <c r="J279" s="9"/>
      <c r="K279" s="9"/>
    </row>
    <row r="280" spans="2:11" x14ac:dyDescent="0.2"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spans="2:11" x14ac:dyDescent="0.2">
      <c r="B281" s="9"/>
      <c r="C281" s="9"/>
      <c r="D281" s="9"/>
      <c r="E281" s="9"/>
      <c r="F281" s="9"/>
      <c r="G281" s="9"/>
      <c r="H281" s="9"/>
      <c r="I281" s="9"/>
      <c r="J281" s="9"/>
      <c r="K281" s="9"/>
    </row>
    <row r="282" spans="2:11" x14ac:dyDescent="0.2"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spans="2:11" x14ac:dyDescent="0.2">
      <c r="B283" s="9"/>
      <c r="C283" s="9"/>
      <c r="D283" s="9"/>
      <c r="E283" s="9"/>
      <c r="F283" s="9"/>
      <c r="G283" s="9"/>
      <c r="H283" s="9"/>
      <c r="I283" s="9"/>
      <c r="J283" s="9"/>
      <c r="K283" s="9"/>
    </row>
    <row r="284" spans="2:11" x14ac:dyDescent="0.2"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 spans="2:11" x14ac:dyDescent="0.2">
      <c r="B285" s="9"/>
      <c r="C285" s="9"/>
      <c r="D285" s="9"/>
      <c r="E285" s="9"/>
      <c r="F285" s="9"/>
      <c r="G285" s="9"/>
      <c r="H285" s="9"/>
      <c r="I285" s="9"/>
      <c r="J285" s="9"/>
      <c r="K285" s="9"/>
    </row>
    <row r="286" spans="2:11" x14ac:dyDescent="0.2"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 spans="2:11" x14ac:dyDescent="0.2">
      <c r="B287" s="9"/>
      <c r="C287" s="9"/>
      <c r="D287" s="9"/>
      <c r="E287" s="9"/>
      <c r="F287" s="9"/>
      <c r="G287" s="9"/>
      <c r="H287" s="9"/>
      <c r="I287" s="9"/>
      <c r="J287" s="9"/>
      <c r="K287" s="9"/>
    </row>
    <row r="288" spans="2:11" x14ac:dyDescent="0.2"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 spans="2:1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 spans="2:11" x14ac:dyDescent="0.2"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2:11" x14ac:dyDescent="0.2">
      <c r="B291" s="9"/>
      <c r="C291" s="9"/>
      <c r="D291" s="9"/>
      <c r="E291" s="9"/>
      <c r="F291" s="9"/>
      <c r="G291" s="9"/>
      <c r="H291" s="9"/>
      <c r="I291" s="9"/>
      <c r="J291" s="9"/>
      <c r="K291" s="9"/>
    </row>
    <row r="292" spans="2:11" x14ac:dyDescent="0.2"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2:11" x14ac:dyDescent="0.2">
      <c r="B293" s="9"/>
      <c r="C293" s="9"/>
      <c r="D293" s="9"/>
      <c r="E293" s="9"/>
      <c r="F293" s="9"/>
      <c r="G293" s="9"/>
      <c r="H293" s="9"/>
      <c r="I293" s="9"/>
      <c r="J293" s="9"/>
      <c r="K293" s="9"/>
    </row>
    <row r="294" spans="2:11" x14ac:dyDescent="0.2"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 spans="2:11" x14ac:dyDescent="0.2">
      <c r="B295" s="9"/>
      <c r="C295" s="9"/>
      <c r="D295" s="9"/>
      <c r="E295" s="9"/>
      <c r="F295" s="9"/>
      <c r="G295" s="9"/>
      <c r="H295" s="9"/>
      <c r="I295" s="9"/>
      <c r="J295" s="9"/>
      <c r="K295" s="9"/>
    </row>
    <row r="296" spans="2:11" x14ac:dyDescent="0.2"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 spans="2:11" x14ac:dyDescent="0.2">
      <c r="B297" s="9"/>
      <c r="C297" s="9"/>
      <c r="D297" s="9"/>
      <c r="E297" s="9"/>
      <c r="F297" s="9"/>
      <c r="G297" s="9"/>
      <c r="H297" s="9"/>
      <c r="I297" s="9"/>
      <c r="J297" s="9"/>
      <c r="K297" s="9"/>
    </row>
    <row r="298" spans="2:11" x14ac:dyDescent="0.2"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spans="2:11" x14ac:dyDescent="0.2">
      <c r="B299" s="9"/>
      <c r="C299" s="9"/>
      <c r="D299" s="9"/>
      <c r="E299" s="9"/>
      <c r="F299" s="9"/>
      <c r="G299" s="9"/>
      <c r="H299" s="9"/>
      <c r="I299" s="9"/>
      <c r="J299" s="9"/>
      <c r="K299" s="9"/>
    </row>
    <row r="300" spans="2:11" x14ac:dyDescent="0.2"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 spans="2:11" x14ac:dyDescent="0.2"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 spans="2:11" x14ac:dyDescent="0.2"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 spans="2:11" x14ac:dyDescent="0.2">
      <c r="B303" s="9"/>
      <c r="C303" s="9"/>
      <c r="D303" s="9"/>
      <c r="E303" s="9"/>
      <c r="F303" s="9"/>
      <c r="G303" s="9"/>
      <c r="H303" s="9"/>
      <c r="I303" s="9"/>
      <c r="J303" s="9"/>
      <c r="K303" s="9"/>
    </row>
    <row r="304" spans="2:11" x14ac:dyDescent="0.2"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 spans="2:11" x14ac:dyDescent="0.2">
      <c r="B305" s="9"/>
      <c r="C305" s="9"/>
      <c r="D305" s="9"/>
      <c r="E305" s="9"/>
      <c r="F305" s="9"/>
      <c r="G305" s="9"/>
      <c r="H305" s="9"/>
      <c r="I305" s="9"/>
      <c r="J305" s="9"/>
      <c r="K305" s="9"/>
    </row>
    <row r="306" spans="2:11" x14ac:dyDescent="0.2"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 spans="2:1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</row>
    <row r="308" spans="2:11" x14ac:dyDescent="0.2"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 spans="2:11" x14ac:dyDescent="0.2">
      <c r="B309" s="9"/>
      <c r="C309" s="9"/>
      <c r="D309" s="9"/>
      <c r="E309" s="9"/>
      <c r="F309" s="9"/>
      <c r="G309" s="9"/>
      <c r="H309" s="9"/>
      <c r="I309" s="9"/>
      <c r="J309" s="9"/>
      <c r="K309" s="9"/>
    </row>
    <row r="310" spans="2:11" x14ac:dyDescent="0.2"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2:11" x14ac:dyDescent="0.2">
      <c r="B311" s="9"/>
      <c r="C311" s="9"/>
      <c r="D311" s="9"/>
      <c r="E311" s="9"/>
      <c r="F311" s="9"/>
      <c r="G311" s="9"/>
      <c r="H311" s="9"/>
      <c r="I311" s="9"/>
      <c r="J311" s="9"/>
      <c r="K311" s="9"/>
    </row>
    <row r="312" spans="2:11" x14ac:dyDescent="0.2"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 spans="2:11" x14ac:dyDescent="0.2">
      <c r="B313" s="9"/>
      <c r="C313" s="9"/>
      <c r="D313" s="9"/>
      <c r="E313" s="9"/>
      <c r="F313" s="9"/>
      <c r="G313" s="9"/>
      <c r="H313" s="9"/>
      <c r="I313" s="9"/>
      <c r="J313" s="9"/>
      <c r="K313" s="9"/>
    </row>
    <row r="314" spans="2:11" x14ac:dyDescent="0.2"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 spans="2:11" x14ac:dyDescent="0.2">
      <c r="B315" s="9"/>
      <c r="C315" s="9"/>
      <c r="D315" s="9"/>
      <c r="E315" s="9"/>
      <c r="F315" s="9"/>
      <c r="G315" s="9"/>
      <c r="H315" s="9"/>
      <c r="I315" s="9"/>
      <c r="J315" s="9"/>
      <c r="K315" s="9"/>
    </row>
    <row r="316" spans="2:11" x14ac:dyDescent="0.2"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 spans="2:11" x14ac:dyDescent="0.2">
      <c r="B317" s="9"/>
      <c r="C317" s="9"/>
      <c r="D317" s="9"/>
      <c r="E317" s="9"/>
      <c r="F317" s="9"/>
      <c r="G317" s="9"/>
      <c r="H317" s="9"/>
      <c r="I317" s="9"/>
      <c r="J317" s="9"/>
      <c r="K317" s="9"/>
    </row>
    <row r="318" spans="2:11" x14ac:dyDescent="0.2"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 spans="2:11" x14ac:dyDescent="0.2"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 spans="2:11" x14ac:dyDescent="0.2"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 spans="2:11" x14ac:dyDescent="0.2">
      <c r="B321" s="9"/>
      <c r="C321" s="9"/>
      <c r="D321" s="9"/>
      <c r="E321" s="9"/>
      <c r="F321" s="9"/>
      <c r="G321" s="9"/>
      <c r="H321" s="9"/>
      <c r="I321" s="9"/>
      <c r="J321" s="9"/>
      <c r="K321" s="9"/>
    </row>
    <row r="322" spans="2:11" x14ac:dyDescent="0.2"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 spans="2:11" x14ac:dyDescent="0.2">
      <c r="B323" s="9"/>
      <c r="C323" s="9"/>
      <c r="D323" s="9"/>
      <c r="E323" s="9"/>
      <c r="F323" s="9"/>
      <c r="G323" s="9"/>
      <c r="H323" s="9"/>
      <c r="I323" s="9"/>
      <c r="J323" s="9"/>
      <c r="K323" s="9"/>
    </row>
    <row r="324" spans="2:11" x14ac:dyDescent="0.2"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 spans="2:1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</row>
    <row r="326" spans="2:11" x14ac:dyDescent="0.2"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 spans="2:11" x14ac:dyDescent="0.2">
      <c r="B327" s="9"/>
      <c r="C327" s="9"/>
      <c r="D327" s="9"/>
      <c r="E327" s="9"/>
      <c r="F327" s="9"/>
      <c r="G327" s="9"/>
      <c r="H327" s="9"/>
      <c r="I327" s="9"/>
      <c r="J327" s="9"/>
      <c r="K327" s="9"/>
    </row>
    <row r="328" spans="2:11" x14ac:dyDescent="0.2"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2:11" x14ac:dyDescent="0.2">
      <c r="B329" s="9"/>
      <c r="C329" s="9"/>
      <c r="D329" s="9"/>
      <c r="E329" s="9"/>
      <c r="F329" s="9"/>
      <c r="G329" s="9"/>
      <c r="H329" s="9"/>
      <c r="I329" s="9"/>
      <c r="J329" s="9"/>
      <c r="K329" s="9"/>
    </row>
    <row r="330" spans="2:11" x14ac:dyDescent="0.2"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 spans="2:11" x14ac:dyDescent="0.2">
      <c r="B331" s="9"/>
      <c r="C331" s="9"/>
      <c r="D331" s="9"/>
      <c r="E331" s="9"/>
      <c r="F331" s="9"/>
      <c r="G331" s="9"/>
      <c r="H331" s="9"/>
      <c r="I331" s="9"/>
      <c r="J331" s="9"/>
      <c r="K331" s="9"/>
    </row>
    <row r="332" spans="2:11" x14ac:dyDescent="0.2"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 spans="2:11" x14ac:dyDescent="0.2">
      <c r="B333" s="9"/>
      <c r="C333" s="9"/>
      <c r="D333" s="9"/>
      <c r="E333" s="9"/>
      <c r="F333" s="9"/>
      <c r="G333" s="9"/>
      <c r="H333" s="9"/>
      <c r="I333" s="9"/>
      <c r="J333" s="9"/>
      <c r="K333" s="9"/>
    </row>
    <row r="334" spans="2:11" x14ac:dyDescent="0.2"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 spans="2:11" x14ac:dyDescent="0.2">
      <c r="B335" s="9"/>
      <c r="C335" s="9"/>
      <c r="D335" s="9"/>
      <c r="E335" s="9"/>
      <c r="F335" s="9"/>
      <c r="G335" s="9"/>
      <c r="H335" s="9"/>
      <c r="I335" s="9"/>
      <c r="J335" s="9"/>
      <c r="K335" s="9"/>
    </row>
    <row r="336" spans="2:11" x14ac:dyDescent="0.2"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 spans="2:11" x14ac:dyDescent="0.2"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 spans="2:11" x14ac:dyDescent="0.2"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 spans="2:11" x14ac:dyDescent="0.2">
      <c r="B339" s="9"/>
      <c r="C339" s="9"/>
      <c r="D339" s="9"/>
      <c r="E339" s="9"/>
      <c r="F339" s="9"/>
      <c r="G339" s="9"/>
      <c r="H339" s="9"/>
      <c r="I339" s="9"/>
      <c r="J339" s="9"/>
      <c r="K339" s="9"/>
    </row>
    <row r="340" spans="2:11" x14ac:dyDescent="0.2"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 spans="2:11" x14ac:dyDescent="0.2">
      <c r="B341" s="9"/>
      <c r="C341" s="9"/>
      <c r="D341" s="9"/>
      <c r="E341" s="9"/>
      <c r="F341" s="9"/>
      <c r="G341" s="9"/>
      <c r="H341" s="9"/>
      <c r="I341" s="9"/>
      <c r="J341" s="9"/>
      <c r="K341" s="9"/>
    </row>
    <row r="342" spans="2:11" x14ac:dyDescent="0.2"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 spans="2:1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</row>
    <row r="344" spans="2:11" x14ac:dyDescent="0.2"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 spans="2:11" x14ac:dyDescent="0.2">
      <c r="B345" s="9"/>
      <c r="C345" s="9"/>
      <c r="D345" s="9"/>
      <c r="E345" s="9"/>
      <c r="F345" s="9"/>
      <c r="G345" s="9"/>
      <c r="H345" s="9"/>
      <c r="I345" s="9"/>
      <c r="J345" s="9"/>
      <c r="K345" s="9"/>
    </row>
    <row r="346" spans="2:11" x14ac:dyDescent="0.2"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2:11" x14ac:dyDescent="0.2">
      <c r="B347" s="9"/>
      <c r="C347" s="9"/>
      <c r="D347" s="9"/>
      <c r="E347" s="9"/>
      <c r="F347" s="9"/>
      <c r="G347" s="9"/>
      <c r="H347" s="9"/>
      <c r="I347" s="9"/>
      <c r="J347" s="9"/>
      <c r="K347" s="9"/>
    </row>
    <row r="348" spans="2:11" x14ac:dyDescent="0.2"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 spans="2:11" x14ac:dyDescent="0.2">
      <c r="B349" s="9"/>
      <c r="C349" s="9"/>
      <c r="D349" s="9"/>
      <c r="E349" s="9"/>
      <c r="F349" s="9"/>
      <c r="G349" s="9"/>
      <c r="H349" s="9"/>
      <c r="I349" s="9"/>
      <c r="J349" s="9"/>
      <c r="K349" s="9"/>
    </row>
    <row r="350" spans="2:11" x14ac:dyDescent="0.2"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 spans="2:11" x14ac:dyDescent="0.2">
      <c r="B351" s="9"/>
      <c r="C351" s="9"/>
      <c r="D351" s="9"/>
      <c r="E351" s="9"/>
      <c r="F351" s="9"/>
      <c r="G351" s="9"/>
      <c r="H351" s="9"/>
      <c r="I351" s="9"/>
      <c r="J351" s="9"/>
      <c r="K351" s="9"/>
    </row>
    <row r="352" spans="2:11" x14ac:dyDescent="0.2"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 spans="2:11" x14ac:dyDescent="0.2">
      <c r="B353" s="9"/>
      <c r="C353" s="9"/>
      <c r="D353" s="9"/>
      <c r="E353" s="9"/>
      <c r="F353" s="9"/>
      <c r="G353" s="9"/>
      <c r="H353" s="9"/>
      <c r="I353" s="9"/>
      <c r="J353" s="9"/>
      <c r="K353" s="9"/>
    </row>
    <row r="354" spans="2:11" x14ac:dyDescent="0.2"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 spans="2:11" x14ac:dyDescent="0.2"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 spans="2:11" x14ac:dyDescent="0.2"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 spans="2:11" x14ac:dyDescent="0.2">
      <c r="B357" s="9"/>
      <c r="C357" s="9"/>
      <c r="D357" s="9"/>
      <c r="E357" s="9"/>
      <c r="F357" s="9"/>
      <c r="G357" s="9"/>
      <c r="H357" s="9"/>
      <c r="I357" s="9"/>
      <c r="J357" s="9"/>
      <c r="K357" s="9"/>
    </row>
    <row r="358" spans="2:11" x14ac:dyDescent="0.2"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 spans="2:11" x14ac:dyDescent="0.2">
      <c r="B359" s="9"/>
      <c r="C359" s="9"/>
      <c r="D359" s="9"/>
      <c r="E359" s="9"/>
      <c r="F359" s="9"/>
      <c r="G359" s="9"/>
      <c r="H359" s="9"/>
      <c r="I359" s="9"/>
      <c r="J359" s="9"/>
      <c r="K359" s="9"/>
    </row>
    <row r="360" spans="2:11" x14ac:dyDescent="0.2"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 spans="2:1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</row>
    <row r="362" spans="2:11" x14ac:dyDescent="0.2"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 spans="2:11" x14ac:dyDescent="0.2">
      <c r="B363" s="9"/>
      <c r="C363" s="9"/>
      <c r="D363" s="9"/>
      <c r="E363" s="9"/>
      <c r="F363" s="9"/>
      <c r="G363" s="9"/>
      <c r="H363" s="9"/>
      <c r="I363" s="9"/>
      <c r="J363" s="9"/>
      <c r="K363" s="9"/>
    </row>
    <row r="364" spans="2:11" x14ac:dyDescent="0.2"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2:11" x14ac:dyDescent="0.2">
      <c r="B365" s="9"/>
      <c r="C365" s="9"/>
      <c r="D365" s="9"/>
      <c r="E365" s="9"/>
      <c r="F365" s="9"/>
      <c r="G365" s="9"/>
      <c r="H365" s="9"/>
      <c r="I365" s="9"/>
      <c r="J365" s="9"/>
      <c r="K365" s="9"/>
    </row>
    <row r="366" spans="2:11" x14ac:dyDescent="0.2"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 spans="2:11" x14ac:dyDescent="0.2">
      <c r="B367" s="9"/>
      <c r="C367" s="9"/>
      <c r="D367" s="9"/>
      <c r="E367" s="9"/>
      <c r="F367" s="9"/>
      <c r="G367" s="9"/>
      <c r="H367" s="9"/>
      <c r="I367" s="9"/>
      <c r="J367" s="9"/>
      <c r="K367" s="9"/>
    </row>
    <row r="368" spans="2:11" x14ac:dyDescent="0.2"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 spans="2:11" x14ac:dyDescent="0.2">
      <c r="B369" s="9"/>
      <c r="C369" s="9"/>
      <c r="D369" s="9"/>
      <c r="E369" s="9"/>
      <c r="F369" s="9"/>
      <c r="G369" s="9"/>
      <c r="H369" s="9"/>
      <c r="I369" s="9"/>
      <c r="J369" s="9"/>
      <c r="K369" s="9"/>
    </row>
    <row r="370" spans="2:11" x14ac:dyDescent="0.2"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 spans="2:11" x14ac:dyDescent="0.2">
      <c r="B371" s="9"/>
      <c r="C371" s="9"/>
      <c r="D371" s="9"/>
      <c r="E371" s="9"/>
      <c r="F371" s="9"/>
      <c r="G371" s="9"/>
      <c r="H371" s="9"/>
      <c r="I371" s="9"/>
      <c r="J371" s="9"/>
      <c r="K371" s="9"/>
    </row>
    <row r="372" spans="2:11" x14ac:dyDescent="0.2"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 spans="2:11" x14ac:dyDescent="0.2"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 spans="2:11" x14ac:dyDescent="0.2"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 spans="2:11" x14ac:dyDescent="0.2">
      <c r="B375" s="9"/>
      <c r="C375" s="9"/>
      <c r="D375" s="9"/>
      <c r="E375" s="9"/>
      <c r="F375" s="9"/>
      <c r="G375" s="9"/>
      <c r="H375" s="9"/>
      <c r="I375" s="9"/>
      <c r="J375" s="9"/>
      <c r="K375" s="9"/>
    </row>
    <row r="376" spans="2:11" x14ac:dyDescent="0.2"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 spans="2:11" x14ac:dyDescent="0.2">
      <c r="B377" s="9"/>
      <c r="C377" s="9"/>
      <c r="D377" s="9"/>
      <c r="E377" s="9"/>
      <c r="F377" s="9"/>
      <c r="G377" s="9"/>
      <c r="H377" s="9"/>
      <c r="I377" s="9"/>
      <c r="J377" s="9"/>
      <c r="K377" s="9"/>
    </row>
    <row r="378" spans="2:11" x14ac:dyDescent="0.2"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 spans="2:11" x14ac:dyDescent="0.2">
      <c r="B379" s="9"/>
      <c r="C379" s="9"/>
      <c r="D379" s="9"/>
      <c r="E379" s="9"/>
      <c r="F379" s="9"/>
      <c r="G379" s="9"/>
      <c r="H379" s="9"/>
      <c r="I379" s="9"/>
      <c r="J379" s="9"/>
      <c r="K379" s="9"/>
    </row>
    <row r="380" spans="2:11" x14ac:dyDescent="0.2"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 spans="2:11" x14ac:dyDescent="0.2">
      <c r="B381" s="9"/>
      <c r="C381" s="9"/>
      <c r="D381" s="9"/>
      <c r="E381" s="9"/>
      <c r="F381" s="9"/>
      <c r="G381" s="9"/>
      <c r="H381" s="9"/>
      <c r="I381" s="9"/>
      <c r="J381" s="9"/>
      <c r="K381" s="9"/>
    </row>
    <row r="382" spans="2:11" x14ac:dyDescent="0.2"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spans="2:11" x14ac:dyDescent="0.2">
      <c r="B383" s="9"/>
      <c r="C383" s="9"/>
      <c r="D383" s="9"/>
      <c r="E383" s="9"/>
      <c r="F383" s="9"/>
      <c r="G383" s="9"/>
      <c r="H383" s="9"/>
      <c r="I383" s="9"/>
      <c r="J383" s="9"/>
      <c r="K383" s="9"/>
    </row>
    <row r="384" spans="2:11" x14ac:dyDescent="0.2"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2:11" x14ac:dyDescent="0.2"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spans="2:11" x14ac:dyDescent="0.2"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spans="2:11" x14ac:dyDescent="0.2"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spans="2:11" x14ac:dyDescent="0.2"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spans="2:11" x14ac:dyDescent="0.2">
      <c r="B389" s="9"/>
      <c r="C389" s="9"/>
      <c r="D389" s="9"/>
      <c r="E389" s="9"/>
      <c r="F389" s="9"/>
      <c r="G389" s="9"/>
      <c r="H389" s="9"/>
      <c r="I389" s="9"/>
      <c r="J389" s="9"/>
      <c r="K389" s="9"/>
    </row>
    <row r="390" spans="2:11" x14ac:dyDescent="0.2"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spans="2:11" x14ac:dyDescent="0.2">
      <c r="B391" s="9"/>
      <c r="C391" s="9"/>
      <c r="D391" s="9"/>
      <c r="E391" s="9"/>
      <c r="F391" s="9"/>
      <c r="G391" s="9"/>
      <c r="H391" s="9"/>
      <c r="I391" s="9"/>
      <c r="J391" s="9"/>
      <c r="K391" s="9"/>
    </row>
    <row r="392" spans="2:11" x14ac:dyDescent="0.2"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spans="2:11" x14ac:dyDescent="0.2">
      <c r="B393" s="9"/>
      <c r="C393" s="9"/>
      <c r="D393" s="9"/>
      <c r="E393" s="9"/>
      <c r="F393" s="9"/>
      <c r="G393" s="9"/>
      <c r="H393" s="9"/>
      <c r="I393" s="9"/>
      <c r="J393" s="9"/>
      <c r="K393" s="9"/>
    </row>
    <row r="394" spans="2:11" x14ac:dyDescent="0.2"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spans="2:11" x14ac:dyDescent="0.2">
      <c r="B395" s="9"/>
      <c r="C395" s="9"/>
      <c r="D395" s="9"/>
      <c r="E395" s="9"/>
      <c r="F395" s="9"/>
      <c r="G395" s="9"/>
      <c r="H395" s="9"/>
      <c r="I395" s="9"/>
      <c r="J395" s="9"/>
      <c r="K395" s="9"/>
    </row>
    <row r="396" spans="2:11" x14ac:dyDescent="0.2"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2:11" x14ac:dyDescent="0.2">
      <c r="B397" s="9"/>
      <c r="C397" s="9"/>
      <c r="D397" s="9"/>
      <c r="E397" s="9"/>
      <c r="F397" s="9"/>
      <c r="G397" s="9"/>
      <c r="H397" s="9"/>
      <c r="I397" s="9"/>
      <c r="J397" s="9"/>
      <c r="K397" s="9"/>
    </row>
    <row r="398" spans="2:11" x14ac:dyDescent="0.2"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2:11" x14ac:dyDescent="0.2">
      <c r="B399" s="9"/>
      <c r="C399" s="9"/>
      <c r="D399" s="9"/>
      <c r="E399" s="9"/>
      <c r="F399" s="9"/>
      <c r="G399" s="9"/>
      <c r="H399" s="9"/>
      <c r="I399" s="9"/>
      <c r="J399" s="9"/>
      <c r="K399" s="9"/>
    </row>
    <row r="400" spans="2:11" x14ac:dyDescent="0.2"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2:11" x14ac:dyDescent="0.2">
      <c r="B401" s="9"/>
      <c r="C401" s="9"/>
      <c r="D401" s="9"/>
      <c r="E401" s="9"/>
      <c r="F401" s="9"/>
      <c r="G401" s="9"/>
      <c r="H401" s="9"/>
      <c r="I401" s="9"/>
      <c r="J401" s="9"/>
      <c r="K401" s="9"/>
    </row>
    <row r="402" spans="2:11" x14ac:dyDescent="0.2"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2:11" x14ac:dyDescent="0.2">
      <c r="B403" s="9"/>
      <c r="C403" s="9"/>
      <c r="D403" s="9"/>
      <c r="E403" s="9"/>
      <c r="F403" s="9"/>
      <c r="G403" s="9"/>
      <c r="H403" s="9"/>
      <c r="I403" s="9"/>
      <c r="J403" s="9"/>
      <c r="K403" s="9"/>
    </row>
    <row r="404" spans="2:11" x14ac:dyDescent="0.2"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2:11" x14ac:dyDescent="0.2"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spans="2:11" x14ac:dyDescent="0.2"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2:11" x14ac:dyDescent="0.2">
      <c r="B407" s="9"/>
      <c r="C407" s="9"/>
      <c r="D407" s="9"/>
      <c r="E407" s="9"/>
      <c r="F407" s="9"/>
      <c r="G407" s="9"/>
      <c r="H407" s="9"/>
      <c r="I407" s="9"/>
      <c r="J407" s="9"/>
      <c r="K407" s="9"/>
    </row>
    <row r="408" spans="2:11" x14ac:dyDescent="0.2"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spans="2:11" x14ac:dyDescent="0.2">
      <c r="B409" s="9"/>
      <c r="C409" s="9"/>
      <c r="D409" s="9"/>
      <c r="E409" s="9"/>
      <c r="F409" s="9"/>
      <c r="G409" s="9"/>
      <c r="H409" s="9"/>
      <c r="I409" s="9"/>
      <c r="J409" s="9"/>
      <c r="K409" s="9"/>
    </row>
    <row r="410" spans="2:11" x14ac:dyDescent="0.2"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spans="2:11" x14ac:dyDescent="0.2">
      <c r="B411" s="9"/>
      <c r="C411" s="9"/>
      <c r="D411" s="9"/>
      <c r="E411" s="9"/>
      <c r="F411" s="9"/>
      <c r="G411" s="9"/>
      <c r="H411" s="9"/>
      <c r="I411" s="9"/>
      <c r="J411" s="9"/>
      <c r="K411" s="9"/>
    </row>
    <row r="412" spans="2:11" x14ac:dyDescent="0.2"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 spans="2:11" x14ac:dyDescent="0.2">
      <c r="B413" s="9"/>
      <c r="C413" s="9"/>
      <c r="D413" s="9"/>
      <c r="E413" s="9"/>
      <c r="F413" s="9"/>
      <c r="G413" s="9"/>
      <c r="H413" s="9"/>
      <c r="I413" s="9"/>
      <c r="J413" s="9"/>
      <c r="K413" s="9"/>
    </row>
    <row r="414" spans="2:11" x14ac:dyDescent="0.2"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2:11" x14ac:dyDescent="0.2">
      <c r="B415" s="9"/>
      <c r="C415" s="9"/>
      <c r="D415" s="9"/>
      <c r="E415" s="9"/>
      <c r="F415" s="9"/>
      <c r="G415" s="9"/>
      <c r="H415" s="9"/>
      <c r="I415" s="9"/>
      <c r="J415" s="9"/>
      <c r="K415" s="9"/>
    </row>
    <row r="416" spans="2:11" x14ac:dyDescent="0.2"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 spans="2:11" x14ac:dyDescent="0.2">
      <c r="B417" s="9"/>
      <c r="C417" s="9"/>
      <c r="D417" s="9"/>
      <c r="E417" s="9"/>
      <c r="F417" s="9"/>
      <c r="G417" s="9"/>
      <c r="H417" s="9"/>
      <c r="I417" s="9"/>
      <c r="J417" s="9"/>
      <c r="K417" s="9"/>
    </row>
    <row r="418" spans="2:11" x14ac:dyDescent="0.2"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 spans="2:11" x14ac:dyDescent="0.2">
      <c r="B419" s="9"/>
      <c r="C419" s="9"/>
      <c r="D419" s="9"/>
      <c r="E419" s="9"/>
      <c r="F419" s="9"/>
      <c r="G419" s="9"/>
      <c r="H419" s="9"/>
      <c r="I419" s="9"/>
      <c r="J419" s="9"/>
      <c r="K419" s="9"/>
    </row>
    <row r="420" spans="2:11" x14ac:dyDescent="0.2"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 spans="2:11" x14ac:dyDescent="0.2">
      <c r="B421" s="9"/>
      <c r="C421" s="9"/>
      <c r="D421" s="9"/>
      <c r="E421" s="9"/>
      <c r="F421" s="9"/>
      <c r="G421" s="9"/>
      <c r="H421" s="9"/>
      <c r="I421" s="9"/>
      <c r="J421" s="9"/>
      <c r="K421" s="9"/>
    </row>
    <row r="422" spans="2:11" x14ac:dyDescent="0.2"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 spans="2:11" x14ac:dyDescent="0.2"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 spans="2:11" x14ac:dyDescent="0.2"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 spans="2:11" x14ac:dyDescent="0.2">
      <c r="B425" s="9"/>
      <c r="C425" s="9"/>
      <c r="D425" s="9"/>
      <c r="E425" s="9"/>
      <c r="F425" s="9"/>
      <c r="G425" s="9"/>
      <c r="H425" s="9"/>
      <c r="I425" s="9"/>
      <c r="J425" s="9"/>
      <c r="K425" s="9"/>
    </row>
    <row r="426" spans="2:11" x14ac:dyDescent="0.2"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 spans="2:11" x14ac:dyDescent="0.2">
      <c r="B427" s="9"/>
      <c r="C427" s="9"/>
      <c r="D427" s="9"/>
      <c r="E427" s="9"/>
      <c r="F427" s="9"/>
      <c r="G427" s="9"/>
      <c r="H427" s="9"/>
      <c r="I427" s="9"/>
      <c r="J427" s="9"/>
      <c r="K427" s="9"/>
    </row>
    <row r="428" spans="2:11" x14ac:dyDescent="0.2"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 spans="2:11" x14ac:dyDescent="0.2">
      <c r="B429" s="9"/>
      <c r="C429" s="9"/>
      <c r="D429" s="9"/>
      <c r="E429" s="9"/>
      <c r="F429" s="9"/>
      <c r="G429" s="9"/>
      <c r="H429" s="9"/>
      <c r="I429" s="9"/>
      <c r="J429" s="9"/>
      <c r="K429" s="9"/>
    </row>
    <row r="430" spans="2:11" x14ac:dyDescent="0.2"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 spans="2:11" x14ac:dyDescent="0.2">
      <c r="B431" s="9"/>
      <c r="C431" s="9"/>
      <c r="D431" s="9"/>
      <c r="E431" s="9"/>
      <c r="F431" s="9"/>
      <c r="G431" s="9"/>
      <c r="H431" s="9"/>
      <c r="I431" s="9"/>
      <c r="J431" s="9"/>
      <c r="K431" s="9"/>
    </row>
    <row r="432" spans="2:11" x14ac:dyDescent="0.2"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2:11" x14ac:dyDescent="0.2">
      <c r="B433" s="9"/>
      <c r="C433" s="9"/>
      <c r="D433" s="9"/>
      <c r="E433" s="9"/>
      <c r="F433" s="9"/>
      <c r="G433" s="9"/>
      <c r="H433" s="9"/>
      <c r="I433" s="9"/>
      <c r="J433" s="9"/>
      <c r="K433" s="9"/>
    </row>
    <row r="434" spans="2:11" x14ac:dyDescent="0.2"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 spans="2:11" x14ac:dyDescent="0.2">
      <c r="B435" s="9"/>
      <c r="C435" s="9"/>
      <c r="D435" s="9"/>
      <c r="E435" s="9"/>
      <c r="F435" s="9"/>
      <c r="G435" s="9"/>
      <c r="H435" s="9"/>
      <c r="I435" s="9"/>
      <c r="J435" s="9"/>
      <c r="K435" s="9"/>
    </row>
    <row r="436" spans="2:11" x14ac:dyDescent="0.2"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 spans="2:11" x14ac:dyDescent="0.2">
      <c r="B437" s="9"/>
      <c r="C437" s="9"/>
      <c r="D437" s="9"/>
      <c r="E437" s="9"/>
      <c r="F437" s="9"/>
      <c r="G437" s="9"/>
      <c r="H437" s="9"/>
      <c r="I437" s="9"/>
      <c r="J437" s="9"/>
      <c r="K437" s="9"/>
    </row>
    <row r="438" spans="2:11" x14ac:dyDescent="0.2"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 spans="2:11" x14ac:dyDescent="0.2">
      <c r="B439" s="9"/>
      <c r="C439" s="9"/>
      <c r="D439" s="9"/>
      <c r="E439" s="9"/>
      <c r="F439" s="9"/>
      <c r="G439" s="9"/>
      <c r="H439" s="9"/>
      <c r="I439" s="9"/>
      <c r="J439" s="9"/>
      <c r="K439" s="9"/>
    </row>
    <row r="440" spans="2:11" x14ac:dyDescent="0.2"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 spans="2:11" x14ac:dyDescent="0.2"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 spans="2:11" x14ac:dyDescent="0.2"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 spans="2:11" x14ac:dyDescent="0.2">
      <c r="B443" s="9"/>
      <c r="C443" s="9"/>
      <c r="D443" s="9"/>
      <c r="E443" s="9"/>
      <c r="F443" s="9"/>
      <c r="G443" s="9"/>
      <c r="H443" s="9"/>
      <c r="I443" s="9"/>
      <c r="J443" s="9"/>
      <c r="K443" s="9"/>
    </row>
    <row r="444" spans="2:11" x14ac:dyDescent="0.2"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 spans="2:11" x14ac:dyDescent="0.2">
      <c r="B445" s="9"/>
      <c r="C445" s="9"/>
      <c r="D445" s="9"/>
      <c r="E445" s="9"/>
      <c r="F445" s="9"/>
      <c r="G445" s="9"/>
      <c r="H445" s="9"/>
      <c r="I445" s="9"/>
      <c r="J445" s="9"/>
      <c r="K445" s="9"/>
    </row>
    <row r="446" spans="2:11" x14ac:dyDescent="0.2"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 spans="2:11" x14ac:dyDescent="0.2">
      <c r="B447" s="9"/>
      <c r="C447" s="9"/>
      <c r="D447" s="9"/>
      <c r="E447" s="9"/>
      <c r="F447" s="9"/>
      <c r="G447" s="9"/>
      <c r="H447" s="9"/>
      <c r="I447" s="9"/>
      <c r="J447" s="9"/>
      <c r="K447" s="9"/>
    </row>
    <row r="448" spans="2:11" x14ac:dyDescent="0.2"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 spans="2:11" x14ac:dyDescent="0.2">
      <c r="B449" s="9"/>
      <c r="C449" s="9"/>
      <c r="D449" s="9"/>
      <c r="E449" s="9"/>
      <c r="F449" s="9"/>
      <c r="G449" s="9"/>
      <c r="H449" s="9"/>
      <c r="I449" s="9"/>
      <c r="J449" s="9"/>
      <c r="K449" s="9"/>
    </row>
    <row r="450" spans="2:11" x14ac:dyDescent="0.2"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2:11" x14ac:dyDescent="0.2">
      <c r="B451" s="9"/>
      <c r="C451" s="9"/>
      <c r="D451" s="9"/>
      <c r="E451" s="9"/>
      <c r="F451" s="9"/>
      <c r="G451" s="9"/>
      <c r="H451" s="9"/>
      <c r="I451" s="9"/>
      <c r="J451" s="9"/>
      <c r="K451" s="9"/>
    </row>
    <row r="452" spans="2:11" x14ac:dyDescent="0.2"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 spans="2:11" x14ac:dyDescent="0.2">
      <c r="B453" s="9"/>
      <c r="C453" s="9"/>
      <c r="D453" s="9"/>
      <c r="E453" s="9"/>
      <c r="F453" s="9"/>
      <c r="G453" s="9"/>
      <c r="H453" s="9"/>
      <c r="I453" s="9"/>
      <c r="J453" s="9"/>
      <c r="K453" s="9"/>
    </row>
    <row r="454" spans="2:11" x14ac:dyDescent="0.2"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 spans="2:11" x14ac:dyDescent="0.2">
      <c r="B455" s="9"/>
      <c r="C455" s="9"/>
      <c r="D455" s="9"/>
      <c r="E455" s="9"/>
      <c r="F455" s="9"/>
      <c r="G455" s="9"/>
      <c r="H455" s="9"/>
      <c r="I455" s="9"/>
      <c r="J455" s="9"/>
      <c r="K455" s="9"/>
    </row>
    <row r="456" spans="2:11" x14ac:dyDescent="0.2"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 spans="2:11" x14ac:dyDescent="0.2">
      <c r="B457" s="9"/>
      <c r="C457" s="9"/>
      <c r="D457" s="9"/>
      <c r="E457" s="9"/>
      <c r="F457" s="9"/>
      <c r="G457" s="9"/>
      <c r="H457" s="9"/>
      <c r="I457" s="9"/>
      <c r="J457" s="9"/>
      <c r="K457" s="9"/>
    </row>
    <row r="458" spans="2:11" x14ac:dyDescent="0.2"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 spans="2:11" x14ac:dyDescent="0.2"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 spans="2:11" x14ac:dyDescent="0.2"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 spans="2:11" x14ac:dyDescent="0.2">
      <c r="B461" s="9"/>
      <c r="C461" s="9"/>
      <c r="D461" s="9"/>
      <c r="E461" s="9"/>
      <c r="F461" s="9"/>
      <c r="G461" s="9"/>
      <c r="H461" s="9"/>
      <c r="I461" s="9"/>
      <c r="J461" s="9"/>
      <c r="K461" s="9"/>
    </row>
    <row r="462" spans="2:11" x14ac:dyDescent="0.2"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 spans="2:11" x14ac:dyDescent="0.2">
      <c r="B463" s="9"/>
      <c r="C463" s="9"/>
      <c r="D463" s="9"/>
      <c r="E463" s="9"/>
      <c r="F463" s="9"/>
      <c r="G463" s="9"/>
      <c r="H463" s="9"/>
      <c r="I463" s="9"/>
      <c r="J463" s="9"/>
      <c r="K463" s="9"/>
    </row>
    <row r="464" spans="2:11" x14ac:dyDescent="0.2"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 spans="2:11" x14ac:dyDescent="0.2">
      <c r="B465" s="9"/>
      <c r="C465" s="9"/>
      <c r="D465" s="9"/>
      <c r="E465" s="9"/>
      <c r="F465" s="9"/>
      <c r="G465" s="9"/>
      <c r="H465" s="9"/>
      <c r="I465" s="9"/>
      <c r="J465" s="9"/>
      <c r="K465" s="9"/>
    </row>
    <row r="466" spans="2:11" x14ac:dyDescent="0.2"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 spans="2:11" x14ac:dyDescent="0.2">
      <c r="B467" s="9"/>
      <c r="C467" s="9"/>
      <c r="D467" s="9"/>
      <c r="E467" s="9"/>
      <c r="F467" s="9"/>
      <c r="G467" s="9"/>
      <c r="H467" s="9"/>
      <c r="I467" s="9"/>
      <c r="J467" s="9"/>
      <c r="K467" s="9"/>
    </row>
    <row r="468" spans="2:11" x14ac:dyDescent="0.2"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2:11" x14ac:dyDescent="0.2">
      <c r="B469" s="9"/>
      <c r="C469" s="9"/>
      <c r="D469" s="9"/>
      <c r="E469" s="9"/>
      <c r="F469" s="9"/>
      <c r="G469" s="9"/>
      <c r="H469" s="9"/>
      <c r="I469" s="9"/>
      <c r="J469" s="9"/>
      <c r="K469" s="9"/>
    </row>
    <row r="470" spans="2:11" x14ac:dyDescent="0.2"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 spans="2:11" x14ac:dyDescent="0.2">
      <c r="B471" s="9"/>
      <c r="C471" s="9"/>
      <c r="D471" s="9"/>
      <c r="E471" s="9"/>
      <c r="F471" s="9"/>
      <c r="G471" s="9"/>
      <c r="H471" s="9"/>
      <c r="I471" s="9"/>
      <c r="J471" s="9"/>
      <c r="K471" s="9"/>
    </row>
    <row r="472" spans="2:11" x14ac:dyDescent="0.2"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 spans="2:11" x14ac:dyDescent="0.2">
      <c r="B473" s="9"/>
      <c r="C473" s="9"/>
      <c r="D473" s="9"/>
      <c r="E473" s="9"/>
      <c r="F473" s="9"/>
      <c r="G473" s="9"/>
      <c r="H473" s="9"/>
      <c r="I473" s="9"/>
      <c r="J473" s="9"/>
      <c r="K473" s="9"/>
    </row>
    <row r="474" spans="2:11" x14ac:dyDescent="0.2"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 spans="2:11" x14ac:dyDescent="0.2">
      <c r="B475" s="9"/>
      <c r="C475" s="9"/>
      <c r="D475" s="9"/>
      <c r="E475" s="9"/>
      <c r="F475" s="9"/>
      <c r="G475" s="9"/>
      <c r="H475" s="9"/>
      <c r="I475" s="9"/>
      <c r="J475" s="9"/>
      <c r="K475" s="9"/>
    </row>
    <row r="476" spans="2:11" x14ac:dyDescent="0.2"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 spans="2:11" x14ac:dyDescent="0.2">
      <c r="B477" s="9"/>
      <c r="C477" s="9"/>
      <c r="D477" s="9"/>
      <c r="E477" s="9"/>
      <c r="F477" s="9"/>
      <c r="G477" s="9"/>
      <c r="H477" s="9"/>
      <c r="I477" s="9"/>
      <c r="J477" s="9"/>
      <c r="K477" s="9"/>
    </row>
  </sheetData>
  <mergeCells count="20">
    <mergeCell ref="P4:P5"/>
    <mergeCell ref="B3:F3"/>
    <mergeCell ref="G3:K3"/>
    <mergeCell ref="L3:P3"/>
    <mergeCell ref="A1:M1"/>
    <mergeCell ref="A3:A5"/>
    <mergeCell ref="D4:D5"/>
    <mergeCell ref="C4:C5"/>
    <mergeCell ref="B4:B5"/>
    <mergeCell ref="I4:I5"/>
    <mergeCell ref="N4:N5"/>
    <mergeCell ref="G4:G5"/>
    <mergeCell ref="E4:E5"/>
    <mergeCell ref="J4:J5"/>
    <mergeCell ref="O4:O5"/>
    <mergeCell ref="F4:F5"/>
    <mergeCell ref="K4:K5"/>
    <mergeCell ref="L4:L5"/>
    <mergeCell ref="H4:H5"/>
    <mergeCell ref="M4:M5"/>
  </mergeCells>
  <phoneticPr fontId="0" type="noConversion"/>
  <printOptions horizontalCentered="1" verticalCentered="1"/>
  <pageMargins left="0.23622047244094499" right="0.23622047244094499" top="0.23622047244094499" bottom="0.23622047244094499" header="0.511811023622047" footer="0.511811023622047"/>
  <pageSetup paperSize="9" scale="67" orientation="landscape" r:id="rId1"/>
  <headerFooter alignWithMargins="0"/>
  <rowBreaks count="1" manualBreakCount="1">
    <brk id="52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Y41"/>
  <sheetViews>
    <sheetView tabSelected="1" view="pageBreakPreview" zoomScale="70" zoomScaleNormal="75" zoomScaleSheetLayoutView="70" workbookViewId="0">
      <pane xSplit="1" ySplit="6" topLeftCell="B36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5.7109375" style="4" customWidth="1"/>
    <col min="2" max="11" width="12.140625" style="4" customWidth="1"/>
    <col min="12" max="16" width="10.5703125" style="4" customWidth="1"/>
    <col min="17" max="16384" width="9.140625" style="4"/>
  </cols>
  <sheetData>
    <row r="1" spans="1:25" ht="18" x14ac:dyDescent="0.2">
      <c r="A1" s="344" t="s">
        <v>187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115"/>
      <c r="O1" s="115"/>
      <c r="P1" s="236"/>
    </row>
    <row r="2" spans="1:25" ht="18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6"/>
      <c r="M2" s="16"/>
      <c r="N2" s="16"/>
      <c r="O2" s="16"/>
      <c r="P2" s="16"/>
    </row>
    <row r="3" spans="1:25" ht="18" x14ac:dyDescent="0.2">
      <c r="A3" s="340" t="s">
        <v>88</v>
      </c>
      <c r="B3" s="342" t="s">
        <v>174</v>
      </c>
      <c r="C3" s="342"/>
      <c r="D3" s="342"/>
      <c r="E3" s="342"/>
      <c r="F3" s="342"/>
      <c r="G3" s="342" t="s">
        <v>68</v>
      </c>
      <c r="H3" s="342"/>
      <c r="I3" s="342"/>
      <c r="J3" s="342"/>
      <c r="K3" s="342"/>
      <c r="L3" s="342" t="s">
        <v>89</v>
      </c>
      <c r="M3" s="342"/>
      <c r="N3" s="342"/>
      <c r="O3" s="342"/>
      <c r="P3" s="342"/>
    </row>
    <row r="4" spans="1:25" ht="15" customHeight="1" x14ac:dyDescent="0.2">
      <c r="A4" s="340"/>
      <c r="B4" s="341" t="s">
        <v>112</v>
      </c>
      <c r="C4" s="341" t="s">
        <v>164</v>
      </c>
      <c r="D4" s="341" t="s">
        <v>199</v>
      </c>
      <c r="E4" s="341" t="s">
        <v>200</v>
      </c>
      <c r="F4" s="341" t="s">
        <v>202</v>
      </c>
      <c r="G4" s="341" t="s">
        <v>112</v>
      </c>
      <c r="H4" s="341" t="s">
        <v>164</v>
      </c>
      <c r="I4" s="341" t="s">
        <v>199</v>
      </c>
      <c r="J4" s="341" t="s">
        <v>200</v>
      </c>
      <c r="K4" s="341" t="s">
        <v>202</v>
      </c>
      <c r="L4" s="341" t="s">
        <v>112</v>
      </c>
      <c r="M4" s="341" t="s">
        <v>164</v>
      </c>
      <c r="N4" s="341" t="s">
        <v>199</v>
      </c>
      <c r="O4" s="341" t="s">
        <v>200</v>
      </c>
      <c r="P4" s="341" t="s">
        <v>202</v>
      </c>
    </row>
    <row r="5" spans="1:25" ht="11.25" customHeight="1" x14ac:dyDescent="0.2">
      <c r="A5" s="340"/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</row>
    <row r="6" spans="1:25" s="14" customFormat="1" ht="15.75" customHeight="1" x14ac:dyDescent="0.2">
      <c r="A6" s="268">
        <v>1</v>
      </c>
      <c r="B6" s="256">
        <v>2</v>
      </c>
      <c r="C6" s="256">
        <v>3</v>
      </c>
      <c r="D6" s="256">
        <v>4</v>
      </c>
      <c r="E6" s="256">
        <v>5</v>
      </c>
      <c r="F6" s="256">
        <v>6</v>
      </c>
      <c r="G6" s="256">
        <v>7</v>
      </c>
      <c r="H6" s="256">
        <v>8</v>
      </c>
      <c r="I6" s="256">
        <v>9</v>
      </c>
      <c r="J6" s="256">
        <v>10</v>
      </c>
      <c r="K6" s="256">
        <v>11</v>
      </c>
      <c r="L6" s="296">
        <v>12</v>
      </c>
      <c r="M6" s="296">
        <v>13</v>
      </c>
      <c r="N6" s="296">
        <v>14</v>
      </c>
      <c r="O6" s="296">
        <v>15</v>
      </c>
      <c r="P6" s="296">
        <v>16</v>
      </c>
    </row>
    <row r="7" spans="1:25" ht="21" customHeight="1" x14ac:dyDescent="0.2">
      <c r="A7" s="255" t="s">
        <v>2</v>
      </c>
      <c r="B7" s="76">
        <f>'Gram U'!B7+Urad!C7+Moong!C7+'ORP U'!C8</f>
        <v>962</v>
      </c>
      <c r="C7" s="76">
        <f>'Gram U'!C7+Urad!D7+Moong!D7+'ORP U'!D8</f>
        <v>1041</v>
      </c>
      <c r="D7" s="76">
        <f>'Gram U'!D7+Urad!E7+Moong!E7+'ORP U'!E8</f>
        <v>963</v>
      </c>
      <c r="E7" s="76">
        <f>'Gram U'!E7+Urad!F7+Moong!F7+'ORP U'!F8</f>
        <v>889</v>
      </c>
      <c r="F7" s="76">
        <f>'Gram U'!F7+Urad!G7+Moong!G7+'ORP U'!G8</f>
        <v>962</v>
      </c>
      <c r="G7" s="76">
        <f>'Gram U'!G7+Urad!H7+Moong!H7+'ORP U'!H8</f>
        <v>728</v>
      </c>
      <c r="H7" s="76">
        <f>'Gram U'!H7+Urad!I7+Moong!I7+'ORP U'!I8</f>
        <v>1036.912</v>
      </c>
      <c r="I7" s="76">
        <f>'Gram U'!I7+Urad!J7+Moong!J7+'ORP U'!J8</f>
        <v>657.98099999999999</v>
      </c>
      <c r="J7" s="76">
        <f>'Gram U'!J7+Urad!K7+Moong!K7+'ORP U'!K8</f>
        <v>986.63200000000006</v>
      </c>
      <c r="K7" s="76">
        <f>'Gram U'!K7+Urad!L7+Moong!L7+'ORP U'!L8</f>
        <v>977.00099999999998</v>
      </c>
      <c r="L7" s="106">
        <f>G7/B7*1000</f>
        <v>756.75675675675677</v>
      </c>
      <c r="M7" s="106">
        <f t="shared" ref="M7:P7" si="0">H7/C7*1000</f>
        <v>996.07300672430358</v>
      </c>
      <c r="N7" s="106">
        <f t="shared" si="0"/>
        <v>683.26168224299067</v>
      </c>
      <c r="O7" s="106">
        <f t="shared" si="0"/>
        <v>1109.8222722159733</v>
      </c>
      <c r="P7" s="106">
        <f t="shared" si="0"/>
        <v>1015.5935550935551</v>
      </c>
      <c r="Q7" s="19"/>
      <c r="R7" s="19"/>
      <c r="S7" s="19"/>
      <c r="T7" s="19"/>
      <c r="U7" s="19"/>
      <c r="V7" s="19"/>
      <c r="W7" s="19"/>
      <c r="X7" s="19"/>
      <c r="Y7" s="19"/>
    </row>
    <row r="8" spans="1:25" ht="21" customHeight="1" x14ac:dyDescent="0.2">
      <c r="A8" s="255" t="s">
        <v>24</v>
      </c>
      <c r="B8" s="76">
        <f>Urad!C10+Lentil!B6+'ORP U'!C10+'Gram U'!B8</f>
        <v>6.7089999999999996</v>
      </c>
      <c r="C8" s="76">
        <f>Urad!D10+Lentil!C6+'ORP U'!D10+'Gram U'!C8</f>
        <v>6.8089999999999993</v>
      </c>
      <c r="D8" s="76">
        <f>Urad!E10+Lentil!D6+'ORP U'!E10+'Gram U'!D8</f>
        <v>8.004999999999999</v>
      </c>
      <c r="E8" s="76">
        <f>Urad!F10+Lentil!E6+'ORP U'!F10+'Gram U'!E8</f>
        <v>6.8849999999999998</v>
      </c>
      <c r="F8" s="76">
        <f>Urad!G10+Lentil!F6+'ORP U'!G10+'Gram U'!F8</f>
        <v>6.891</v>
      </c>
      <c r="G8" s="76">
        <f>Urad!H10+Lentil!G6+'ORP U'!H10+'Gram U'!G8</f>
        <v>7.391</v>
      </c>
      <c r="H8" s="76">
        <f>Urad!I10+Lentil!H6+'ORP U'!I10+'Gram U'!H8</f>
        <v>7.5912509999999997</v>
      </c>
      <c r="I8" s="76">
        <f>Urad!J10+Lentil!I6+'ORP U'!J10+'Gram U'!I8</f>
        <v>6.9419810000000002</v>
      </c>
      <c r="J8" s="76">
        <f>Urad!K10+Lentil!J6+'ORP U'!K10+'Gram U'!J8</f>
        <v>8.0121380000000002</v>
      </c>
      <c r="K8" s="76">
        <f>Urad!L10+Lentil!K6+'ORP U'!L10+'Gram U'!K8</f>
        <v>8.0956220000000005</v>
      </c>
      <c r="L8" s="106">
        <f t="shared" ref="L8:L41" si="1">G8/B8*1000</f>
        <v>1101.6544939633329</v>
      </c>
      <c r="M8" s="106">
        <f t="shared" ref="M8:M41" si="2">H8/C8*1000</f>
        <v>1114.8848582758114</v>
      </c>
      <c r="N8" s="106">
        <f t="shared" ref="N8:N41" si="3">I8/D8*1000</f>
        <v>867.20562148657098</v>
      </c>
      <c r="O8" s="106">
        <f t="shared" ref="O8:O41" si="4">J8/E8*1000</f>
        <v>1163.7092229484388</v>
      </c>
      <c r="P8" s="106">
        <f t="shared" ref="P8:P41" si="5">K8/F8*1000</f>
        <v>1174.810912784792</v>
      </c>
    </row>
    <row r="9" spans="1:25" ht="21" customHeight="1" x14ac:dyDescent="0.2">
      <c r="A9" s="255" t="s">
        <v>25</v>
      </c>
      <c r="B9" s="76">
        <f>'Gram U'!B9+Urad!C12+Moong!C10+Lentil!B7+'ORP U'!C13</f>
        <v>140.63400000000001</v>
      </c>
      <c r="C9" s="76">
        <f>'Gram U'!C9+Urad!D12+Moong!D10+Lentil!C7+'ORP U'!D13</f>
        <v>149.09700000000001</v>
      </c>
      <c r="D9" s="76">
        <f>'Gram U'!D9+Urad!E12+Moong!E10+Lentil!D7+'ORP U'!E13</f>
        <v>144.679</v>
      </c>
      <c r="E9" s="76">
        <f>'Gram U'!E9+Urad!F12+Moong!F10+Lentil!E7+'ORP U'!F13</f>
        <v>138.13200000000001</v>
      </c>
      <c r="F9" s="76">
        <f>'Gram U'!F9+Urad!G12+Moong!G10+Lentil!F7+'ORP U'!G13</f>
        <v>136.26599999999999</v>
      </c>
      <c r="G9" s="76">
        <f>'Gram U'!G9+Urad!H12+Moong!H10+Lentil!G7+'ORP U'!H13</f>
        <v>102.619</v>
      </c>
      <c r="H9" s="76">
        <f>'Gram U'!H9+Urad!I12+Moong!I10+Lentil!H7+'ORP U'!I13</f>
        <v>111.092691</v>
      </c>
      <c r="I9" s="76">
        <f>'Gram U'!I9+Urad!J12+Moong!J10+Lentil!I7+'ORP U'!J13</f>
        <v>108.876847</v>
      </c>
      <c r="J9" s="76">
        <f>'Gram U'!J9+Urad!K12+Moong!K10+Lentil!J7+'ORP U'!K13</f>
        <v>101.031659</v>
      </c>
      <c r="K9" s="76">
        <f>'Gram U'!K9+Urad!L12+Moong!L10+Lentil!K7+'ORP U'!L13</f>
        <v>103.52941699999998</v>
      </c>
      <c r="L9" s="106">
        <f t="shared" si="1"/>
        <v>729.68841105280364</v>
      </c>
      <c r="M9" s="106">
        <f t="shared" si="2"/>
        <v>745.10346284633488</v>
      </c>
      <c r="N9" s="106">
        <f t="shared" si="3"/>
        <v>752.54077647758129</v>
      </c>
      <c r="O9" s="106">
        <f t="shared" si="4"/>
        <v>731.41385775924482</v>
      </c>
      <c r="P9" s="106">
        <f t="shared" si="5"/>
        <v>759.75971262090309</v>
      </c>
    </row>
    <row r="10" spans="1:25" ht="21" customHeight="1" x14ac:dyDescent="0.2">
      <c r="A10" s="255" t="s">
        <v>40</v>
      </c>
      <c r="B10" s="76">
        <f>'Gram U'!B10+Moong!C12+Lentil!B8+'ORP U'!C17</f>
        <v>437.88399999999996</v>
      </c>
      <c r="C10" s="76">
        <f>'Gram U'!C10+Moong!D12+Lentil!C8+'ORP U'!D17</f>
        <v>431.774</v>
      </c>
      <c r="D10" s="76">
        <f>'Gram U'!D10+Moong!E12+Lentil!D8+'ORP U'!E17</f>
        <v>432.976</v>
      </c>
      <c r="E10" s="76">
        <f>'Gram U'!E10+Moong!F12+Lentil!E8+'ORP U'!F17</f>
        <v>416.38599999999997</v>
      </c>
      <c r="F10" s="76">
        <f>'Gram U'!F10+Moong!G12+Lentil!F8+'ORP U'!G17</f>
        <v>406.91200000000003</v>
      </c>
      <c r="G10" s="76">
        <f>'Gram U'!G10+Moong!H12+Lentil!G8+'ORP U'!H17</f>
        <v>399.18799999999999</v>
      </c>
      <c r="H10" s="76">
        <f>'Gram U'!H10+Moong!I12+Lentil!H8+'ORP U'!I17</f>
        <v>403.57845799999996</v>
      </c>
      <c r="I10" s="76">
        <f>'Gram U'!I10+Moong!J12+Lentil!I8+'ORP U'!J17</f>
        <v>398.55818699999998</v>
      </c>
      <c r="J10" s="76">
        <f>'Gram U'!J10+Moong!K12+Lentil!J8+'ORP U'!K17</f>
        <v>286.52424999999999</v>
      </c>
      <c r="K10" s="76">
        <f>'Gram U'!K10+Moong!L12+Lentil!K8+'ORP U'!L17</f>
        <v>330.54356000000001</v>
      </c>
      <c r="L10" s="106">
        <f t="shared" si="1"/>
        <v>911.62956399411723</v>
      </c>
      <c r="M10" s="106">
        <f t="shared" si="2"/>
        <v>934.69837924469732</v>
      </c>
      <c r="N10" s="106">
        <f t="shared" si="3"/>
        <v>920.50872796644614</v>
      </c>
      <c r="O10" s="106">
        <f t="shared" si="4"/>
        <v>688.12171878977676</v>
      </c>
      <c r="P10" s="106">
        <f t="shared" si="5"/>
        <v>812.32197625039316</v>
      </c>
    </row>
    <row r="11" spans="1:25" ht="21" customHeight="1" x14ac:dyDescent="0.2">
      <c r="A11" s="255" t="s">
        <v>47</v>
      </c>
      <c r="B11" s="76">
        <f>'Gram U'!B11+Urad!C15+Moong!C15+Lentil!B9+'ORP U'!C24</f>
        <v>675.19999999999993</v>
      </c>
      <c r="C11" s="76">
        <f>'Gram U'!C11+Urad!D15+Moong!D15+Lentil!C9+'ORP U'!D24</f>
        <v>584.51</v>
      </c>
      <c r="D11" s="76">
        <f>'Gram U'!D11+Urad!E15+Moong!E15+Lentil!D9+'ORP U'!E24</f>
        <v>543.42000000000007</v>
      </c>
      <c r="E11" s="76">
        <f>'Gram U'!E11+Urad!F15+Moong!F15+Lentil!E9+'ORP U'!F24</f>
        <v>590.65</v>
      </c>
      <c r="F11" s="76">
        <f>'Gram U'!F11+Urad!G15+Moong!G15+Lentil!F9+'ORP U'!G24</f>
        <v>486.02</v>
      </c>
      <c r="G11" s="76">
        <f>'Gram U'!G11+Urad!H15+Moong!H15+Lentil!G9+'ORP U'!H24</f>
        <v>669.5</v>
      </c>
      <c r="H11" s="76">
        <f>'Gram U'!H11+Urad!I15+Moong!I15+Lentil!H9+'ORP U'!I24</f>
        <v>463.64362999999997</v>
      </c>
      <c r="I11" s="76">
        <f>'Gram U'!I11+Urad!J15+Moong!J15+Lentil!I9+'ORP U'!J24</f>
        <v>457.05786999999992</v>
      </c>
      <c r="J11" s="76">
        <f>'Gram U'!J11+Urad!K15+Moong!K15+Lentil!J9+'ORP U'!K24</f>
        <v>167.84488999999999</v>
      </c>
      <c r="K11" s="76">
        <f>'Gram U'!K11+Urad!L15+Moong!L15+Lentil!K9+'ORP U'!L24</f>
        <v>376.50642999999997</v>
      </c>
      <c r="L11" s="106">
        <f t="shared" si="1"/>
        <v>991.55805687203804</v>
      </c>
      <c r="M11" s="106">
        <f t="shared" si="2"/>
        <v>793.217618175908</v>
      </c>
      <c r="N11" s="106">
        <f t="shared" si="3"/>
        <v>841.07664421625975</v>
      </c>
      <c r="O11" s="106">
        <f t="shared" si="4"/>
        <v>284.16979598747145</v>
      </c>
      <c r="P11" s="106">
        <f t="shared" si="5"/>
        <v>774.67270894201874</v>
      </c>
    </row>
    <row r="12" spans="1:25" ht="21" customHeight="1" x14ac:dyDescent="0.2">
      <c r="A12" s="255" t="s">
        <v>15</v>
      </c>
      <c r="B12" s="76">
        <f>'ORP U'!C25</f>
        <v>5.7450000000000001</v>
      </c>
      <c r="C12" s="76">
        <f>'ORP U'!D25</f>
        <v>5.3449999999999998</v>
      </c>
      <c r="D12" s="76">
        <f>'ORP U'!E25</f>
        <v>6.0330000000000004</v>
      </c>
      <c r="E12" s="76">
        <f>'ORP U'!F25</f>
        <v>4.3970000000000002</v>
      </c>
      <c r="F12" s="76">
        <f>'ORP U'!G25</f>
        <v>3.84</v>
      </c>
      <c r="G12" s="76">
        <f>'ORP U'!H25</f>
        <v>5.7939999999999996</v>
      </c>
      <c r="H12" s="76">
        <f>'ORP U'!I25</f>
        <v>4.6349999999999998</v>
      </c>
      <c r="I12" s="76">
        <f>'ORP U'!J25</f>
        <v>6.18</v>
      </c>
      <c r="J12" s="76">
        <f>'ORP U'!K25</f>
        <v>3.855</v>
      </c>
      <c r="K12" s="76">
        <f>'ORP U'!L25</f>
        <v>3.7480000000000002</v>
      </c>
      <c r="L12" s="106">
        <f t="shared" si="1"/>
        <v>1008.5291557876412</v>
      </c>
      <c r="M12" s="106">
        <f t="shared" si="2"/>
        <v>867.16557530402247</v>
      </c>
      <c r="N12" s="106">
        <f t="shared" si="3"/>
        <v>1024.3659870711087</v>
      </c>
      <c r="O12" s="106">
        <f t="shared" si="4"/>
        <v>876.73413691153053</v>
      </c>
      <c r="P12" s="106">
        <f t="shared" si="5"/>
        <v>976.04166666666686</v>
      </c>
    </row>
    <row r="13" spans="1:25" ht="21" customHeight="1" x14ac:dyDescent="0.2">
      <c r="A13" s="255" t="s">
        <v>4</v>
      </c>
      <c r="B13" s="76">
        <f>'Gram U'!B12+Urad!C18+Moong!C18+'ORP U'!C27</f>
        <v>213</v>
      </c>
      <c r="C13" s="76">
        <f>'Gram U'!C12+Urad!D18+Moong!D18+'ORP U'!D27</f>
        <v>351</v>
      </c>
      <c r="D13" s="76">
        <f>'Gram U'!D12+Urad!E18+Moong!E18+'ORP U'!E27</f>
        <v>220.87</v>
      </c>
      <c r="E13" s="76">
        <f>'Gram U'!E12+Urad!F18+Moong!F18+'ORP U'!F27</f>
        <v>497.54999999999995</v>
      </c>
      <c r="F13" s="76">
        <f>'Gram U'!F12+Urad!G18+Moong!G18+'ORP U'!G27</f>
        <v>948.61</v>
      </c>
      <c r="G13" s="76">
        <f>'Gram U'!G12+Urad!H18+Moong!H18+'ORP U'!H27</f>
        <v>214</v>
      </c>
      <c r="H13" s="76">
        <f>'Gram U'!H12+Urad!I18+Moong!I18+'ORP U'!I27</f>
        <v>412.46100000000001</v>
      </c>
      <c r="I13" s="76">
        <f>'Gram U'!I12+Urad!J18+Moong!J18+'ORP U'!J27</f>
        <v>281.32667999999995</v>
      </c>
      <c r="J13" s="76">
        <f>'Gram U'!J12+Urad!K18+Moong!K18+'ORP U'!K27</f>
        <v>728.48595000000012</v>
      </c>
      <c r="K13" s="76">
        <f>'Gram U'!K12+Urad!L18+Moong!L18+'ORP U'!L27</f>
        <v>1410.5255884999999</v>
      </c>
      <c r="L13" s="106">
        <f t="shared" si="1"/>
        <v>1004.6948356807512</v>
      </c>
      <c r="M13" s="106">
        <f t="shared" si="2"/>
        <v>1175.102564102564</v>
      </c>
      <c r="N13" s="106">
        <f t="shared" si="3"/>
        <v>1273.7206501562002</v>
      </c>
      <c r="O13" s="106">
        <f t="shared" si="4"/>
        <v>1464.1462164606576</v>
      </c>
      <c r="P13" s="106">
        <f t="shared" si="5"/>
        <v>1486.9394044971064</v>
      </c>
    </row>
    <row r="14" spans="1:25" ht="21" customHeight="1" x14ac:dyDescent="0.2">
      <c r="A14" s="255" t="s">
        <v>18</v>
      </c>
      <c r="B14" s="76">
        <f>'Gram U'!B13+Moong!C21+Lentil!B10+'ORP U'!C29</f>
        <v>41.4</v>
      </c>
      <c r="C14" s="76">
        <f>'Gram U'!C13+Moong!D21+Lentil!C10+'ORP U'!D29</f>
        <v>52</v>
      </c>
      <c r="D14" s="76">
        <f>'Gram U'!D13+Moong!E21+Lentil!D10+'ORP U'!E29</f>
        <v>49.3</v>
      </c>
      <c r="E14" s="76">
        <f>'Gram U'!E13+Moong!F21+Lentil!E10+'ORP U'!F29</f>
        <v>47.169999999999995</v>
      </c>
      <c r="F14" s="76">
        <f>'Gram U'!F13+Moong!G21+Lentil!F10+'ORP U'!G29</f>
        <v>39.559999999999995</v>
      </c>
      <c r="G14" s="76">
        <f>'Gram U'!G13+Moong!H21+Lentil!G10+'ORP U'!H29</f>
        <v>48.5</v>
      </c>
      <c r="H14" s="76">
        <f>'Gram U'!H13+Moong!I21+Lentil!H10+'ORP U'!I29</f>
        <v>54.360500000000002</v>
      </c>
      <c r="I14" s="76">
        <f>'Gram U'!I13+Moong!J21+Lentil!I10+'ORP U'!J29</f>
        <v>66.580699999999993</v>
      </c>
      <c r="J14" s="76">
        <f>'Gram U'!J13+Moong!K21+Lentil!J10+'ORP U'!K29</f>
        <v>50.435839999999992</v>
      </c>
      <c r="K14" s="76">
        <f>'Gram U'!K13+Moong!L21+Lentil!K10+'ORP U'!L29</f>
        <v>39.912700000000001</v>
      </c>
      <c r="L14" s="106">
        <f t="shared" si="1"/>
        <v>1171.4975845410629</v>
      </c>
      <c r="M14" s="106">
        <f t="shared" si="2"/>
        <v>1045.3942307692307</v>
      </c>
      <c r="N14" s="106">
        <f t="shared" si="3"/>
        <v>1350.5212981744421</v>
      </c>
      <c r="O14" s="106">
        <f t="shared" si="4"/>
        <v>1069.2355310578755</v>
      </c>
      <c r="P14" s="106">
        <f t="shared" si="5"/>
        <v>1008.9155712841256</v>
      </c>
    </row>
    <row r="15" spans="1:25" ht="21" customHeight="1" x14ac:dyDescent="0.2">
      <c r="A15" s="255" t="s">
        <v>16</v>
      </c>
      <c r="B15" s="76">
        <f>'Gram U'!B14+Lentil!B11+'ORP U'!C32</f>
        <v>14.286000000000001</v>
      </c>
      <c r="C15" s="76">
        <f>'Gram U'!C14+Lentil!C11+'ORP U'!D32</f>
        <v>13.229999999999999</v>
      </c>
      <c r="D15" s="76">
        <f>'Gram U'!D14+Lentil!D11+'ORP U'!E32</f>
        <v>12.496</v>
      </c>
      <c r="E15" s="76">
        <f>'Gram U'!E14+Lentil!E11+'ORP U'!F32</f>
        <v>12.529</v>
      </c>
      <c r="F15" s="76">
        <f>'Gram U'!F14+Lentil!F11+'ORP U'!G32</f>
        <v>15.298</v>
      </c>
      <c r="G15" s="76">
        <f>'Gram U'!G14+Lentil!G11+'ORP U'!H32</f>
        <v>50.383000000000003</v>
      </c>
      <c r="H15" s="76">
        <f>'Gram U'!H14+Lentil!H11+'ORP U'!I32</f>
        <v>45.707999999999998</v>
      </c>
      <c r="I15" s="76">
        <f>'Gram U'!I14+Lentil!I11+'ORP U'!J32</f>
        <v>42.208280000000002</v>
      </c>
      <c r="J15" s="76">
        <f>'Gram U'!J14+Lentil!J11+'ORP U'!K32</f>
        <v>42.360280000000003</v>
      </c>
      <c r="K15" s="76">
        <f>'Gram U'!K14+Lentil!K11+'ORP U'!L32</f>
        <v>38.550362999999997</v>
      </c>
      <c r="L15" s="106">
        <f t="shared" si="1"/>
        <v>3526.7394652106959</v>
      </c>
      <c r="M15" s="106">
        <f t="shared" si="2"/>
        <v>3454.8752834467123</v>
      </c>
      <c r="N15" s="106">
        <f t="shared" si="3"/>
        <v>3377.7432778489115</v>
      </c>
      <c r="O15" s="106">
        <f t="shared" si="4"/>
        <v>3380.9785298108391</v>
      </c>
      <c r="P15" s="106">
        <f t="shared" si="5"/>
        <v>2519.9609752908873</v>
      </c>
    </row>
    <row r="16" spans="1:25" ht="21" customHeight="1" x14ac:dyDescent="0.2">
      <c r="A16" s="255" t="s">
        <v>19</v>
      </c>
      <c r="B16" s="76">
        <f>'Gram U'!B15+Lentil!B12+'ORP U'!C35</f>
        <v>2.2959999999999998</v>
      </c>
      <c r="C16" s="76">
        <f>'Gram U'!C15+Lentil!C12+'ORP U'!D35</f>
        <v>2.198</v>
      </c>
      <c r="D16" s="76">
        <f>'Gram U'!D15+Lentil!D12+'ORP U'!E35</f>
        <v>2.218</v>
      </c>
      <c r="E16" s="76">
        <f>'Gram U'!E15+Lentil!E12+'ORP U'!F35</f>
        <v>1.4990000000000001</v>
      </c>
      <c r="F16" s="76">
        <f>'Gram U'!F15+Lentil!F12+'ORP U'!G35</f>
        <v>1.399</v>
      </c>
      <c r="G16" s="76">
        <f>'Gram U'!G15+Lentil!G12+'ORP U'!H35</f>
        <v>1.5760000000000001</v>
      </c>
      <c r="H16" s="76">
        <f>'Gram U'!H15+Lentil!H12+'ORP U'!I35</f>
        <v>1.5769009999999999</v>
      </c>
      <c r="I16" s="76">
        <f>'Gram U'!I15+Lentil!I12+'ORP U'!J35</f>
        <v>1.7007999999999999</v>
      </c>
      <c r="J16" s="76">
        <f>'Gram U'!J15+Lentil!J12+'ORP U'!K35</f>
        <v>1.0924429999999998</v>
      </c>
      <c r="K16" s="76">
        <f>'Gram U'!K15+Lentil!K12+'ORP U'!L35</f>
        <v>1.0251999999999999</v>
      </c>
      <c r="L16" s="106">
        <f t="shared" si="1"/>
        <v>686.41114982578415</v>
      </c>
      <c r="M16" s="106">
        <f t="shared" si="2"/>
        <v>717.4253867151956</v>
      </c>
      <c r="N16" s="106">
        <f t="shared" si="3"/>
        <v>766.81695220919744</v>
      </c>
      <c r="O16" s="106">
        <f t="shared" si="4"/>
        <v>728.78118745830534</v>
      </c>
      <c r="P16" s="106">
        <f t="shared" si="5"/>
        <v>732.80914939242302</v>
      </c>
    </row>
    <row r="17" spans="1:16" ht="21" customHeight="1" x14ac:dyDescent="0.2">
      <c r="A17" s="255" t="s">
        <v>83</v>
      </c>
      <c r="B17" s="76">
        <f>'Gram U'!B16+Lentil!B13+'ORP U'!C38</f>
        <v>341.00099999999998</v>
      </c>
      <c r="C17" s="76">
        <f>'Gram U'!C16+Lentil!C13+'ORP U'!D38</f>
        <v>381.91500000000002</v>
      </c>
      <c r="D17" s="76">
        <f>'Gram U'!D16+Lentil!D13+'ORP U'!E38</f>
        <v>311.04599999999999</v>
      </c>
      <c r="E17" s="76">
        <f>'Gram U'!E16+Lentil!E13+'ORP U'!F38</f>
        <v>372.24199999999996</v>
      </c>
      <c r="F17" s="76">
        <f>'Gram U'!F16+Lentil!F13+'ORP U'!G38</f>
        <v>418.33199999999999</v>
      </c>
      <c r="G17" s="76">
        <f>'Gram U'!G16+Lentil!G13+'ORP U'!H38</f>
        <v>376.08410800000001</v>
      </c>
      <c r="H17" s="76">
        <f>'Gram U'!H16+Lentil!H13+'ORP U'!I38</f>
        <v>433.66995199999997</v>
      </c>
      <c r="I17" s="76">
        <f>'Gram U'!I16+Lentil!I13+'ORP U'!J38</f>
        <v>343.60496799999999</v>
      </c>
      <c r="J17" s="76">
        <f>'Gram U'!J16+Lentil!J13+'ORP U'!K38</f>
        <v>417.63221200000004</v>
      </c>
      <c r="K17" s="76">
        <f>'Gram U'!K16+Lentil!K13+'ORP U'!L38</f>
        <v>482.59902</v>
      </c>
      <c r="L17" s="106">
        <f t="shared" si="1"/>
        <v>1102.8827129539211</v>
      </c>
      <c r="M17" s="106">
        <f t="shared" si="2"/>
        <v>1135.5143212494925</v>
      </c>
      <c r="N17" s="106">
        <f t="shared" si="3"/>
        <v>1104.6757328498036</v>
      </c>
      <c r="O17" s="106">
        <f t="shared" si="4"/>
        <v>1121.9373740738554</v>
      </c>
      <c r="P17" s="106">
        <f t="shared" si="5"/>
        <v>1153.6268322767562</v>
      </c>
    </row>
    <row r="18" spans="1:16" ht="21" customHeight="1" x14ac:dyDescent="0.2">
      <c r="A18" s="255" t="s">
        <v>5</v>
      </c>
      <c r="B18" s="76">
        <f>'Gram U'!B17+Urad!C25+Moong!C27+'ORP U'!C41</f>
        <v>1113.7</v>
      </c>
      <c r="C18" s="76">
        <f>'Gram U'!C17+Urad!D25+Moong!D27+'ORP U'!D41</f>
        <v>1421.7</v>
      </c>
      <c r="D18" s="76">
        <f>'Gram U'!D17+Urad!E25+Moong!E27+'ORP U'!E41</f>
        <v>1269.3899999999999</v>
      </c>
      <c r="E18" s="76">
        <f>'Gram U'!E17+Urad!F25+Moong!F27+'ORP U'!F41</f>
        <v>975.5</v>
      </c>
      <c r="F18" s="76">
        <f>'Gram U'!F17+Urad!G25+Moong!G27+'ORP U'!G41</f>
        <v>888.005</v>
      </c>
      <c r="G18" s="76">
        <f>'Gram U'!G17+Urad!H25+Moong!H27+'ORP U'!H41</f>
        <v>602.04</v>
      </c>
      <c r="H18" s="76">
        <f>'Gram U'!H17+Urad!I25+Moong!I27+'ORP U'!I41</f>
        <v>876.13499999999999</v>
      </c>
      <c r="I18" s="76">
        <f>'Gram U'!I17+Urad!J25+Moong!J27+'ORP U'!J41</f>
        <v>592.66439999999977</v>
      </c>
      <c r="J18" s="76">
        <f>'Gram U'!J17+Urad!K25+Moong!K27+'ORP U'!K41</f>
        <v>748.39800000000002</v>
      </c>
      <c r="K18" s="76">
        <f>'Gram U'!K17+Urad!L25+Moong!L27+'ORP U'!L41</f>
        <v>549.125</v>
      </c>
      <c r="L18" s="106">
        <f t="shared" si="1"/>
        <v>540.57645685552654</v>
      </c>
      <c r="M18" s="106">
        <f t="shared" si="2"/>
        <v>616.25870436801006</v>
      </c>
      <c r="N18" s="106">
        <f t="shared" si="3"/>
        <v>466.88913572660874</v>
      </c>
      <c r="O18" s="106">
        <f t="shared" si="4"/>
        <v>767.19425935417735</v>
      </c>
      <c r="P18" s="106">
        <f t="shared" si="5"/>
        <v>618.38052713667162</v>
      </c>
    </row>
    <row r="19" spans="1:16" ht="21" customHeight="1" x14ac:dyDescent="0.2">
      <c r="A19" s="255" t="s">
        <v>17</v>
      </c>
      <c r="B19" s="76">
        <f>'Gram U'!B18+'ORP U'!C44</f>
        <v>1.5620000000000001</v>
      </c>
      <c r="C19" s="76">
        <f>'Gram U'!C18+'ORP U'!D44</f>
        <v>1.7849999999999999</v>
      </c>
      <c r="D19" s="76">
        <f>'Gram U'!D18+'ORP U'!E44</f>
        <v>2.0909</v>
      </c>
      <c r="E19" s="76">
        <f>'Gram U'!E18+'ORP U'!F44</f>
        <v>1.8559999999999999</v>
      </c>
      <c r="F19" s="76">
        <f>'Gram U'!F18+'ORP U'!G44</f>
        <v>1.7849999999999999</v>
      </c>
      <c r="G19" s="76">
        <f>'Gram U'!G18+'ORP U'!H44</f>
        <v>1.4330000000000001</v>
      </c>
      <c r="H19" s="76">
        <f>'Gram U'!H18+'ORP U'!I44</f>
        <v>1.7225249999999999</v>
      </c>
      <c r="I19" s="76">
        <f>'Gram U'!I18+'ORP U'!J44</f>
        <v>1.735811</v>
      </c>
      <c r="J19" s="76">
        <f>'Gram U'!J18+'ORP U'!K44</f>
        <v>1.5851999999999999</v>
      </c>
      <c r="K19" s="76">
        <f>'Gram U'!K18+'ORP U'!L44</f>
        <v>1.579059</v>
      </c>
      <c r="L19" s="106">
        <f t="shared" si="1"/>
        <v>917.41357234314978</v>
      </c>
      <c r="M19" s="106">
        <f t="shared" si="2"/>
        <v>965</v>
      </c>
      <c r="N19" s="106">
        <f t="shared" si="3"/>
        <v>830.1740877134248</v>
      </c>
      <c r="O19" s="106">
        <f t="shared" si="4"/>
        <v>854.09482758620686</v>
      </c>
      <c r="P19" s="106">
        <f t="shared" si="5"/>
        <v>884.62689075630249</v>
      </c>
    </row>
    <row r="20" spans="1:16" ht="21" customHeight="1" x14ac:dyDescent="0.2">
      <c r="A20" s="255" t="s">
        <v>6</v>
      </c>
      <c r="B20" s="76">
        <f>'Gram U'!B19+Urad!C29+Moong!C31+Lentil!B14+'ORP U'!C50</f>
        <v>4547.17</v>
      </c>
      <c r="C20" s="76">
        <f>'Gram U'!C19+Urad!D29+Moong!D31+Lentil!C14+'ORP U'!D50</f>
        <v>4800</v>
      </c>
      <c r="D20" s="76">
        <f>'Gram U'!D19+Urad!E29+Moong!E31+Lentil!D14+'ORP U'!E50</f>
        <v>3853</v>
      </c>
      <c r="E20" s="76">
        <f>'Gram U'!E19+Urad!F29+Moong!F31+Lentil!E14+'ORP U'!F50</f>
        <v>2700.2</v>
      </c>
      <c r="F20" s="76">
        <f>'Gram U'!F19+Urad!G29+Moong!G31+Lentil!F14+'ORP U'!G50</f>
        <v>3306</v>
      </c>
      <c r="G20" s="76">
        <f>'Gram U'!G19+Urad!H29+Moong!H31+Lentil!G14+'ORP U'!H50</f>
        <v>4580.6510799999996</v>
      </c>
      <c r="H20" s="76">
        <f>'Gram U'!H19+Urad!I29+Moong!I31+Lentil!H14+'ORP U'!I50</f>
        <v>5829.7704999999987</v>
      </c>
      <c r="I20" s="76">
        <f>'Gram U'!I19+Urad!J29+Moong!J31+Lentil!I14+'ORP U'!J50</f>
        <v>4692.8150000000005</v>
      </c>
      <c r="J20" s="76">
        <f>'Gram U'!J19+Urad!K29+Moong!K31+Lentil!J14+'ORP U'!K50</f>
        <v>3356.0030000000002</v>
      </c>
      <c r="K20" s="76">
        <f>'Gram U'!K19+Urad!L29+Moong!L31+Lentil!K14+'ORP U'!L50</f>
        <v>4591.0959999999995</v>
      </c>
      <c r="L20" s="106">
        <f t="shared" si="1"/>
        <v>1007.3630587816158</v>
      </c>
      <c r="M20" s="106">
        <f t="shared" si="2"/>
        <v>1214.5355208333331</v>
      </c>
      <c r="N20" s="106">
        <f t="shared" si="3"/>
        <v>1217.9639242148976</v>
      </c>
      <c r="O20" s="106">
        <f t="shared" si="4"/>
        <v>1242.8720094807793</v>
      </c>
      <c r="P20" s="106">
        <f t="shared" si="5"/>
        <v>1388.7162734422261</v>
      </c>
    </row>
    <row r="21" spans="1:16" ht="21" customHeight="1" x14ac:dyDescent="0.2">
      <c r="A21" s="255" t="s">
        <v>7</v>
      </c>
      <c r="B21" s="76">
        <f>'Gram U'!B20+Urad!C32+Moong!C34+Lentil!B15+'ORP U'!C55</f>
        <v>2053.4</v>
      </c>
      <c r="C21" s="76">
        <f>'Gram U'!C20+Urad!D32+Moong!D34+Lentil!C15+'ORP U'!D55</f>
        <v>2104.3000000000002</v>
      </c>
      <c r="D21" s="76">
        <f>'Gram U'!D20+Urad!E32+Moong!E34+Lentil!D15+'ORP U'!E55</f>
        <v>1805.93</v>
      </c>
      <c r="E21" s="76">
        <f>'Gram U'!E20+Urad!F32+Moong!F34+Lentil!E15+'ORP U'!F55</f>
        <v>2181.02</v>
      </c>
      <c r="F21" s="76">
        <f>'Gram U'!F20+Urad!G32+Moong!G34+Lentil!F15+'ORP U'!G55</f>
        <v>2374.21</v>
      </c>
      <c r="G21" s="76">
        <f>'Gram U'!G20+Urad!H32+Moong!H34+Lentil!G15+'ORP U'!H55</f>
        <v>1789.5063</v>
      </c>
      <c r="H21" s="76">
        <f>'Gram U'!H20+Urad!I32+Moong!I34+Lentil!H15+'ORP U'!I55</f>
        <v>1885.9750999999999</v>
      </c>
      <c r="I21" s="76">
        <f>'Gram U'!I20+Urad!J32+Moong!J34+Lentil!I15+'ORP U'!J55</f>
        <v>1448.6179000000002</v>
      </c>
      <c r="J21" s="76">
        <f>'Gram U'!J20+Urad!K32+Moong!K34+Lentil!J15+'ORP U'!K55</f>
        <v>2310.9881600000003</v>
      </c>
      <c r="K21" s="76">
        <f>'Gram U'!K20+Urad!L32+Moong!L34+Lentil!K15+'ORP U'!L55</f>
        <v>2469.7962000000002</v>
      </c>
      <c r="L21" s="106">
        <f t="shared" si="1"/>
        <v>871.48451348982167</v>
      </c>
      <c r="M21" s="106">
        <f t="shared" si="2"/>
        <v>896.24820605426964</v>
      </c>
      <c r="N21" s="106">
        <f t="shared" si="3"/>
        <v>802.14509975469707</v>
      </c>
      <c r="O21" s="106">
        <f t="shared" si="4"/>
        <v>1059.5905402059589</v>
      </c>
      <c r="P21" s="106">
        <f t="shared" si="5"/>
        <v>1040.2602128708077</v>
      </c>
    </row>
    <row r="22" spans="1:16" ht="21" customHeight="1" x14ac:dyDescent="0.2">
      <c r="A22" s="255" t="s">
        <v>29</v>
      </c>
      <c r="B22" s="76">
        <f>'Gram U'!B21+Moong!C37+Lentil!B16+'ORP U'!C64+Urad!C35</f>
        <v>28.05</v>
      </c>
      <c r="C22" s="76">
        <f>'Gram U'!C21+Moong!D37+Lentil!C16+'ORP U'!D64+Urad!D35</f>
        <v>28.11</v>
      </c>
      <c r="D22" s="76">
        <f>'Gram U'!D21+Moong!E37+Lentil!D16+'ORP U'!E64+Urad!E35</f>
        <v>30.540000000000003</v>
      </c>
      <c r="E22" s="76">
        <f>'Gram U'!E21+Moong!F37+Lentil!E16+'ORP U'!F64+Urad!F35</f>
        <v>22.93</v>
      </c>
      <c r="F22" s="76">
        <f>'Gram U'!F21+Moong!G37+Lentil!F16+'ORP U'!G64+Urad!G35</f>
        <v>26.28</v>
      </c>
      <c r="G22" s="76">
        <f>'Gram U'!G21+Moong!H37+Lentil!G16+'ORP U'!H64+Urad!H35</f>
        <v>26.819999999999997</v>
      </c>
      <c r="H22" s="76">
        <f>'Gram U'!H21+Moong!I37+Lentil!H16+'ORP U'!I64+Urad!I35</f>
        <v>26.644380000000002</v>
      </c>
      <c r="I22" s="76">
        <f>'Gram U'!I21+Moong!J37+Lentil!I16+'ORP U'!J64+Urad!J35</f>
        <v>28.951430000000002</v>
      </c>
      <c r="J22" s="76">
        <f>'Gram U'!J21+Moong!K37+Lentil!J16+'ORP U'!K64+Urad!K35</f>
        <v>21.148875</v>
      </c>
      <c r="K22" s="76">
        <f>'Gram U'!K21+Moong!L37+Lentil!K16+'ORP U'!L64+Urad!L35</f>
        <v>24.362724</v>
      </c>
      <c r="L22" s="106">
        <f t="shared" si="1"/>
        <v>956.14973262032072</v>
      </c>
      <c r="M22" s="106">
        <f t="shared" si="2"/>
        <v>947.86125933831386</v>
      </c>
      <c r="N22" s="106">
        <f t="shared" si="3"/>
        <v>947.98395546823838</v>
      </c>
      <c r="O22" s="106">
        <f t="shared" si="4"/>
        <v>922.32337549062368</v>
      </c>
      <c r="P22" s="106">
        <f t="shared" si="5"/>
        <v>927.04429223744285</v>
      </c>
    </row>
    <row r="23" spans="1:16" ht="21" customHeight="1" x14ac:dyDescent="0.2">
      <c r="A23" s="255" t="s">
        <v>26</v>
      </c>
      <c r="B23" s="76">
        <f>'Gram U'!B22+'ORP U'!C65+Lentil!B17</f>
        <v>7.02</v>
      </c>
      <c r="C23" s="76">
        <f>'Gram U'!C22+'ORP U'!D65+Lentil!C17</f>
        <v>7.104000000000001</v>
      </c>
      <c r="D23" s="76">
        <f>'Gram U'!D22+'ORP U'!E65+Lentil!D17</f>
        <v>8.3919999999999995</v>
      </c>
      <c r="E23" s="76">
        <f>'Gram U'!E22+'ORP U'!F65+Lentil!E17</f>
        <v>7.1400000000000006</v>
      </c>
      <c r="F23" s="76">
        <f>'Gram U'!F22+'ORP U'!G65+Lentil!F17</f>
        <v>7.1509999999999998</v>
      </c>
      <c r="G23" s="76">
        <f>'Gram U'!G22+'ORP U'!H65+Lentil!G17</f>
        <v>10.32</v>
      </c>
      <c r="H23" s="76">
        <f>'Gram U'!H22+'ORP U'!I65+Lentil!H17</f>
        <v>10.391764</v>
      </c>
      <c r="I23" s="76">
        <f>'Gram U'!I22+'ORP U'!J65+Lentil!I17</f>
        <v>11.839426000000001</v>
      </c>
      <c r="J23" s="76">
        <f>'Gram U'!J22+'ORP U'!K65+Lentil!J17</f>
        <v>10.483920000000001</v>
      </c>
      <c r="K23" s="76">
        <f>'Gram U'!K22+'ORP U'!L65+Lentil!K17</f>
        <v>10.493568</v>
      </c>
      <c r="L23" s="106">
        <f t="shared" si="1"/>
        <v>1470.0854700854702</v>
      </c>
      <c r="M23" s="106">
        <f t="shared" si="2"/>
        <v>1462.804617117117</v>
      </c>
      <c r="N23" s="106">
        <f t="shared" si="3"/>
        <v>1410.799094375596</v>
      </c>
      <c r="O23" s="106">
        <f t="shared" si="4"/>
        <v>1468.3361344537816</v>
      </c>
      <c r="P23" s="106">
        <f t="shared" si="5"/>
        <v>1467.4266536148791</v>
      </c>
    </row>
    <row r="24" spans="1:16" ht="21" customHeight="1" x14ac:dyDescent="0.2">
      <c r="A24" s="255" t="s">
        <v>30</v>
      </c>
      <c r="B24" s="76">
        <f>'ORP U'!C66</f>
        <v>1.3319999999999999</v>
      </c>
      <c r="C24" s="76">
        <f>'ORP U'!D66</f>
        <v>1.1798</v>
      </c>
      <c r="D24" s="76">
        <f>'ORP U'!E66</f>
        <v>1.67</v>
      </c>
      <c r="E24" s="76">
        <f>'ORP U'!F66</f>
        <v>1.919</v>
      </c>
      <c r="F24" s="76">
        <f>'ORP U'!G66</f>
        <v>2.0619999999999998</v>
      </c>
      <c r="G24" s="76">
        <f>'ORP U'!H66</f>
        <v>2.09</v>
      </c>
      <c r="H24" s="76">
        <f>'ORP U'!I66</f>
        <v>1.8513999999999999</v>
      </c>
      <c r="I24" s="76">
        <f>'ORP U'!J66</f>
        <v>2.5070000000000001</v>
      </c>
      <c r="J24" s="76">
        <f>'ORP U'!K66</f>
        <v>2.67</v>
      </c>
      <c r="K24" s="76">
        <f>'ORP U'!L66</f>
        <v>2.9639999999999995</v>
      </c>
      <c r="L24" s="106">
        <f t="shared" si="1"/>
        <v>1569.0690690690692</v>
      </c>
      <c r="M24" s="106">
        <f t="shared" si="2"/>
        <v>1569.2490252585183</v>
      </c>
      <c r="N24" s="106">
        <f t="shared" si="3"/>
        <v>1501.1976047904193</v>
      </c>
      <c r="O24" s="106">
        <f t="shared" si="4"/>
        <v>1391.3496612819176</v>
      </c>
      <c r="P24" s="106">
        <f t="shared" si="5"/>
        <v>1437.4393792434528</v>
      </c>
    </row>
    <row r="25" spans="1:16" ht="21" customHeight="1" x14ac:dyDescent="0.2">
      <c r="A25" s="255" t="s">
        <v>20</v>
      </c>
      <c r="B25" s="76">
        <f>'Gram U'!B23+Urad!C38+Lentil!B18+'ORP U'!C68</f>
        <v>21.299999999999997</v>
      </c>
      <c r="C25" s="76">
        <f>'Gram U'!C23+Urad!D38+Lentil!C18+'ORP U'!D68</f>
        <v>20.89</v>
      </c>
      <c r="D25" s="76">
        <f>'Gram U'!D23+Urad!E38+Lentil!D18+'ORP U'!E68</f>
        <v>21.82</v>
      </c>
      <c r="E25" s="76">
        <f>'Gram U'!E23+Urad!F38+Lentil!E18+'ORP U'!F68</f>
        <v>21.92</v>
      </c>
      <c r="F25" s="76">
        <f>'Gram U'!F23+Urad!G38+Lentil!F18+'ORP U'!G68</f>
        <v>21.98</v>
      </c>
      <c r="G25" s="76">
        <f>'Gram U'!G23+Urad!H38+Lentil!G18+'ORP U'!H68</f>
        <v>23.990000000000002</v>
      </c>
      <c r="H25" s="76">
        <f>'Gram U'!H23+Urad!I38+Lentil!H18+'ORP U'!I68</f>
        <v>24.048960000000001</v>
      </c>
      <c r="I25" s="76">
        <f>'Gram U'!I23+Urad!J38+Lentil!I18+'ORP U'!J68</f>
        <v>24.849469999999997</v>
      </c>
      <c r="J25" s="76">
        <f>'Gram U'!J23+Urad!K38+Lentil!J18+'ORP U'!K68</f>
        <v>24.980730000000001</v>
      </c>
      <c r="K25" s="76">
        <f>'Gram U'!K23+Urad!L38+Lentil!K18+'ORP U'!L68</f>
        <v>25.190729999999999</v>
      </c>
      <c r="L25" s="106">
        <f t="shared" si="1"/>
        <v>1126.2910798122068</v>
      </c>
      <c r="M25" s="106">
        <f t="shared" si="2"/>
        <v>1151.2187649593106</v>
      </c>
      <c r="N25" s="106">
        <f t="shared" si="3"/>
        <v>1138.8391384051329</v>
      </c>
      <c r="O25" s="106">
        <f t="shared" si="4"/>
        <v>1139.6318430656934</v>
      </c>
      <c r="P25" s="106">
        <f t="shared" si="5"/>
        <v>1146.0750682438579</v>
      </c>
    </row>
    <row r="26" spans="1:16" ht="21" customHeight="1" x14ac:dyDescent="0.2">
      <c r="A26" s="255" t="s">
        <v>107</v>
      </c>
      <c r="B26" s="76">
        <f>'Gram U'!B24+Urad!C41+Moong!C41+'ORP U'!C72+Lentil!B19</f>
        <v>348.91</v>
      </c>
      <c r="C26" s="76">
        <f>'Gram U'!C24+Urad!D41+Moong!D41+'ORP U'!D72+Lentil!C19</f>
        <v>331.62</v>
      </c>
      <c r="D26" s="76">
        <f>'Gram U'!D24+Urad!E41+Moong!E41+'ORP U'!E72+Lentil!D19</f>
        <v>316.8</v>
      </c>
      <c r="E26" s="76">
        <f>'Gram U'!E24+Urad!F41+Moong!F41+'ORP U'!F72+Lentil!E19</f>
        <v>320.98999999999995</v>
      </c>
      <c r="F26" s="76">
        <f>'Gram U'!F24+Urad!G41+Moong!G41+'ORP U'!G72+Lentil!F19</f>
        <v>376.88000000000005</v>
      </c>
      <c r="G26" s="76">
        <f>'Gram U'!G24+Urad!H41+Moong!H41+'ORP U'!H72+Lentil!G19</f>
        <v>193.91</v>
      </c>
      <c r="H26" s="76">
        <f>'Gram U'!H24+Urad!I41+Moong!I41+'ORP U'!I72+Lentil!H19</f>
        <v>181.35705999999999</v>
      </c>
      <c r="I26" s="76">
        <f>'Gram U'!I24+Urad!J41+Moong!J41+'ORP U'!J72+Lentil!I19</f>
        <v>159.66400999999999</v>
      </c>
      <c r="J26" s="76">
        <f>'Gram U'!J24+Urad!K41+Moong!K41+'ORP U'!K72+Lentil!J19</f>
        <v>146.05707999999998</v>
      </c>
      <c r="K26" s="76">
        <f>'Gram U'!K24+Urad!L41+Moong!L41+'ORP U'!L72+Lentil!K19</f>
        <v>157.51853</v>
      </c>
      <c r="L26" s="106">
        <f t="shared" si="1"/>
        <v>555.75936487919523</v>
      </c>
      <c r="M26" s="106">
        <f t="shared" si="2"/>
        <v>546.88215427296291</v>
      </c>
      <c r="N26" s="106">
        <f t="shared" si="3"/>
        <v>503.98993055555553</v>
      </c>
      <c r="O26" s="106">
        <f t="shared" si="4"/>
        <v>455.02065484906075</v>
      </c>
      <c r="P26" s="106">
        <f t="shared" si="5"/>
        <v>417.95407026109098</v>
      </c>
    </row>
    <row r="27" spans="1:16" ht="21" customHeight="1" x14ac:dyDescent="0.2">
      <c r="A27" s="255" t="s">
        <v>21</v>
      </c>
      <c r="B27" s="76">
        <f>'Gram U'!B25+Moong!C50+Lentil!B20+'ORP U'!C74</f>
        <v>24.6</v>
      </c>
      <c r="C27" s="76">
        <f>'Gram U'!C25+Moong!D50+Lentil!C20+'ORP U'!D74</f>
        <v>22.5</v>
      </c>
      <c r="D27" s="76">
        <f>'Gram U'!D25+Moong!E50+Lentil!D20+'ORP U'!E74</f>
        <v>21.999999999999996</v>
      </c>
      <c r="E27" s="76">
        <f>'Gram U'!E25+Moong!F50+Lentil!E20+'ORP U'!F74</f>
        <v>6.8</v>
      </c>
      <c r="F27" s="76">
        <f>'Gram U'!F25+Moong!G50+Lentil!F20+'ORP U'!G74</f>
        <v>25.6</v>
      </c>
      <c r="G27" s="76">
        <f>'Gram U'!G25+Moong!H50+Lentil!G20+'ORP U'!H74</f>
        <v>22.999999999999996</v>
      </c>
      <c r="H27" s="76">
        <f>'Gram U'!H25+Moong!I50+Lentil!H20+'ORP U'!I74</f>
        <v>19.893700000000003</v>
      </c>
      <c r="I27" s="76">
        <f>'Gram U'!I25+Moong!J50+Lentil!I20+'ORP U'!J74</f>
        <v>21.483699999999999</v>
      </c>
      <c r="J27" s="76">
        <f>'Gram U'!J25+Moong!K50+Lentil!J20+'ORP U'!K74</f>
        <v>6.2362000000000002</v>
      </c>
      <c r="K27" s="76">
        <f>'Gram U'!K25+Moong!L50+Lentil!K20+'ORP U'!L74</f>
        <v>25.2578</v>
      </c>
      <c r="L27" s="106">
        <f t="shared" si="1"/>
        <v>934.95934959349574</v>
      </c>
      <c r="M27" s="106">
        <f t="shared" si="2"/>
        <v>884.16444444444448</v>
      </c>
      <c r="N27" s="106">
        <f t="shared" si="3"/>
        <v>976.53181818181838</v>
      </c>
      <c r="O27" s="106">
        <f t="shared" si="4"/>
        <v>917.08823529411768</v>
      </c>
      <c r="P27" s="106">
        <f t="shared" si="5"/>
        <v>986.63281249999989</v>
      </c>
    </row>
    <row r="28" spans="1:16" ht="21" customHeight="1" x14ac:dyDescent="0.2">
      <c r="A28" s="255" t="s">
        <v>22</v>
      </c>
      <c r="B28" s="76">
        <f>'Gram U'!B26+Urad!C51+Moong!H53+Lentil!B21+'ORP U'!C77</f>
        <v>1645.1829999999998</v>
      </c>
      <c r="C28" s="76">
        <f>'Gram U'!C26+Urad!D51+Moong!D53+Lentil!C21+'ORP U'!D77</f>
        <v>1620.905</v>
      </c>
      <c r="D28" s="76">
        <f>'Gram U'!D26+Urad!E51+Moong!E53+Lentil!D21+'ORP U'!E77</f>
        <v>1633.0740000000001</v>
      </c>
      <c r="E28" s="76">
        <f>'Gram U'!E26+Urad!F51+Moong!F53+Lentil!E21+'ORP U'!F77</f>
        <v>2500.81</v>
      </c>
      <c r="F28" s="76">
        <f>'Gram U'!F26+Urad!G51+Moong!G53+Lentil!F21+'ORP U'!G77</f>
        <v>2150.7830000000004</v>
      </c>
      <c r="G28" s="76">
        <f>'Gram U'!G26+Urad!H51+Moong!H53+Lentil!G21+'ORP U'!H77</f>
        <v>1539.463</v>
      </c>
      <c r="H28" s="76">
        <f>'Gram U'!H26+Urad!I51+Moong!I53+Lentil!H21+'ORP U'!I77</f>
        <v>1764.0406420000004</v>
      </c>
      <c r="I28" s="76">
        <f>'Gram U'!I26+Urad!J51+Moong!J53+Lentil!I21+'ORP U'!J77</f>
        <v>1892.3503390000001</v>
      </c>
      <c r="J28" s="76">
        <f>'Gram U'!J26+Urad!K51+Moong!K53+Lentil!J21+'ORP U'!K77</f>
        <v>2722.7445300000004</v>
      </c>
      <c r="K28" s="76">
        <f>'Gram U'!K26+Urad!L51+Moong!L53+Lentil!K21+'ORP U'!L77</f>
        <v>2323.3436239999996</v>
      </c>
      <c r="L28" s="106">
        <f t="shared" si="1"/>
        <v>935.73967151374654</v>
      </c>
      <c r="M28" s="106">
        <f t="shared" si="2"/>
        <v>1088.3060031278826</v>
      </c>
      <c r="N28" s="106">
        <f t="shared" si="3"/>
        <v>1158.7658238389686</v>
      </c>
      <c r="O28" s="106">
        <f t="shared" si="4"/>
        <v>1088.7450586010134</v>
      </c>
      <c r="P28" s="106">
        <f t="shared" si="5"/>
        <v>1080.2315361428834</v>
      </c>
    </row>
    <row r="29" spans="1:16" ht="21" hidden="1" customHeight="1" x14ac:dyDescent="0.2">
      <c r="A29" s="255" t="s">
        <v>84</v>
      </c>
      <c r="B29" s="76">
        <f>'ORP U'!C79</f>
        <v>0</v>
      </c>
      <c r="C29" s="76">
        <f>'ORP U'!D79</f>
        <v>0</v>
      </c>
      <c r="D29" s="76">
        <f>'ORP U'!E79</f>
        <v>0</v>
      </c>
      <c r="E29" s="76">
        <f>'ORP U'!F79</f>
        <v>0</v>
      </c>
      <c r="F29" s="76">
        <f>'ORP U'!G79</f>
        <v>0</v>
      </c>
      <c r="G29" s="76">
        <f>'ORP U'!H79</f>
        <v>0</v>
      </c>
      <c r="H29" s="76">
        <f>'ORP U'!I79</f>
        <v>0</v>
      </c>
      <c r="I29" s="76">
        <f>'ORP U'!J79</f>
        <v>0</v>
      </c>
      <c r="J29" s="76">
        <f>'ORP U'!K79</f>
        <v>0</v>
      </c>
      <c r="K29" s="76">
        <f>'ORP U'!L79</f>
        <v>0</v>
      </c>
      <c r="L29" s="106" t="e">
        <f t="shared" si="1"/>
        <v>#DIV/0!</v>
      </c>
      <c r="M29" s="106" t="e">
        <f t="shared" si="2"/>
        <v>#DIV/0!</v>
      </c>
      <c r="N29" s="106" t="e">
        <f t="shared" si="3"/>
        <v>#DIV/0!</v>
      </c>
      <c r="O29" s="106" t="e">
        <f t="shared" si="4"/>
        <v>#DIV/0!</v>
      </c>
      <c r="P29" s="106" t="e">
        <f t="shared" si="5"/>
        <v>#DIV/0!</v>
      </c>
    </row>
    <row r="30" spans="1:16" ht="21" customHeight="1" x14ac:dyDescent="0.2">
      <c r="A30" s="255" t="s">
        <v>11</v>
      </c>
      <c r="B30" s="76">
        <f>'Gram U'!B27+Urad!C55+Moong!C56+'ORP U'!C82</f>
        <v>560.45000000000005</v>
      </c>
      <c r="C30" s="76">
        <f>'Gram U'!C27+Urad!D55+Moong!D56+'ORP U'!D82</f>
        <v>602.23</v>
      </c>
      <c r="D30" s="76">
        <f>'Gram U'!D27+Urad!E55+Moong!E56+'ORP U'!E82</f>
        <v>659.81</v>
      </c>
      <c r="E30" s="76">
        <f>'Gram U'!E27+Urad!F55+Moong!F56+'ORP U'!F82</f>
        <v>633.65000000000009</v>
      </c>
      <c r="F30" s="76">
        <f>'Gram U'!F27+Urad!G55+Moong!G56+'ORP U'!G82</f>
        <v>605.65</v>
      </c>
      <c r="G30" s="76">
        <f>'Gram U'!G27+Urad!H55+Moong!H56+'ORP U'!H82</f>
        <v>277.81619799999999</v>
      </c>
      <c r="H30" s="76">
        <f>'Gram U'!H27+Urad!I55+Moong!I56+'ORP U'!I82</f>
        <v>371.35532000000001</v>
      </c>
      <c r="I30" s="76">
        <f>'Gram U'!I27+Urad!J55+Moong!J56+'ORP U'!J82</f>
        <v>386.02438000000001</v>
      </c>
      <c r="J30" s="76">
        <f>'Gram U'!J27+Urad!K55+Moong!K56+'ORP U'!K82</f>
        <v>436.35577000000001</v>
      </c>
      <c r="K30" s="76">
        <f>'Gram U'!K27+Urad!L55+Moong!L56+'ORP U'!L82</f>
        <v>302.28208999999998</v>
      </c>
      <c r="L30" s="106">
        <f t="shared" si="1"/>
        <v>495.7020215897939</v>
      </c>
      <c r="M30" s="106">
        <f t="shared" si="2"/>
        <v>616.63371137273134</v>
      </c>
      <c r="N30" s="106">
        <f t="shared" si="3"/>
        <v>585.05384883527074</v>
      </c>
      <c r="O30" s="106">
        <f t="shared" si="4"/>
        <v>688.63847549909246</v>
      </c>
      <c r="P30" s="106">
        <f t="shared" si="5"/>
        <v>499.10359118302648</v>
      </c>
    </row>
    <row r="31" spans="1:16" ht="21" customHeight="1" x14ac:dyDescent="0.2">
      <c r="A31" s="255" t="s">
        <v>109</v>
      </c>
      <c r="B31" s="76">
        <f>'Gram U'!B28+Urad!C58+Moong!C59+'ORP U'!C85</f>
        <v>131</v>
      </c>
      <c r="C31" s="76">
        <f>'Gram U'!C28+Urad!D58+Moong!D59+'ORP U'!D85</f>
        <v>116</v>
      </c>
      <c r="D31" s="76">
        <f>'Gram U'!D28+Urad!E58+Moong!E59+'ORP U'!E85</f>
        <v>121</v>
      </c>
      <c r="E31" s="76">
        <f>'Gram U'!E28+Urad!F58+Moong!F59+'ORP U'!F85</f>
        <v>146</v>
      </c>
      <c r="F31" s="76">
        <f>'Gram U'!F28+Urad!G58+Moong!G59+'ORP U'!G85</f>
        <v>182</v>
      </c>
      <c r="G31" s="76">
        <f>'Gram U'!G28+Urad!H58+Moong!H59+'ORP U'!H85</f>
        <v>158</v>
      </c>
      <c r="H31" s="76">
        <f>'Gram U'!H28+Urad!I58+Moong!I59+'ORP U'!I85</f>
        <v>164.15</v>
      </c>
      <c r="I31" s="76">
        <f>'Gram U'!I28+Urad!J58+Moong!J59+'ORP U'!J85</f>
        <v>183.21199999999999</v>
      </c>
      <c r="J31" s="76">
        <f>'Gram U'!J28+Urad!K58+Moong!K59+'ORP U'!K85</f>
        <v>220.44799999999998</v>
      </c>
      <c r="K31" s="76">
        <f>'Gram U'!K28+Urad!L58+Moong!L59+'ORP U'!L85</f>
        <v>293.40600000000001</v>
      </c>
      <c r="L31" s="106">
        <f t="shared" si="1"/>
        <v>1206.1068702290077</v>
      </c>
      <c r="M31" s="106">
        <f t="shared" si="2"/>
        <v>1415.0862068965516</v>
      </c>
      <c r="N31" s="106">
        <f t="shared" si="3"/>
        <v>1514.1487603305784</v>
      </c>
      <c r="O31" s="106">
        <f t="shared" si="4"/>
        <v>1509.9178082191779</v>
      </c>
      <c r="P31" s="106">
        <f t="shared" si="5"/>
        <v>1612.1208791208792</v>
      </c>
    </row>
    <row r="32" spans="1:16" ht="21" customHeight="1" x14ac:dyDescent="0.2">
      <c r="A32" s="255" t="s">
        <v>85</v>
      </c>
      <c r="B32" s="76">
        <f>'Gram U'!B29+Urad!C61+Moong!C62+Lentil!B22+'ORP U'!C88</f>
        <v>10.25</v>
      </c>
      <c r="C32" s="76">
        <f>'Gram U'!C29+Urad!D61+Moong!D62+Lentil!C22+'ORP U'!D88</f>
        <v>11.795999999999999</v>
      </c>
      <c r="D32" s="76">
        <f>'Gram U'!D29+Urad!E61+Moong!E62+Lentil!D22+'ORP U'!E88</f>
        <v>11.342000000000001</v>
      </c>
      <c r="E32" s="76">
        <f>'Gram U'!E29+Urad!F61+Moong!F62+Lentil!E22+'ORP U'!F88</f>
        <v>10.366000000000001</v>
      </c>
      <c r="F32" s="76">
        <f>'Gram U'!F29+Urad!G61+Moong!G62+Lentil!F22+'ORP U'!G88</f>
        <v>11.125999999999999</v>
      </c>
      <c r="G32" s="76">
        <f>'Gram U'!G29+Urad!H61+Moong!H62+Lentil!G22+'ORP U'!H88</f>
        <v>7.7169999999999996</v>
      </c>
      <c r="H32" s="76">
        <f>'Gram U'!H29+Urad!I61+Moong!I62+Lentil!H22+'ORP U'!I88</f>
        <v>8.9012589999999996</v>
      </c>
      <c r="I32" s="76">
        <f>'Gram U'!I29+Urad!J61+Moong!J62+Lentil!I22+'ORP U'!J88</f>
        <v>8.5759989999999995</v>
      </c>
      <c r="J32" s="76">
        <f>'Gram U'!J29+Urad!K61+Moong!K62+Lentil!J22+'ORP U'!K88</f>
        <v>8.1694759999999995</v>
      </c>
      <c r="K32" s="76">
        <f>'Gram U'!K29+Urad!L61+Moong!L62+Lentil!K22+'ORP U'!L88</f>
        <v>8.9454530000000005</v>
      </c>
      <c r="L32" s="106">
        <f t="shared" si="1"/>
        <v>752.8780487804878</v>
      </c>
      <c r="M32" s="106">
        <f t="shared" si="2"/>
        <v>754.59977958630043</v>
      </c>
      <c r="N32" s="106">
        <f t="shared" si="3"/>
        <v>756.12757891024512</v>
      </c>
      <c r="O32" s="106">
        <f t="shared" si="4"/>
        <v>788.10302913370617</v>
      </c>
      <c r="P32" s="106">
        <f t="shared" si="5"/>
        <v>804.01339205464683</v>
      </c>
    </row>
    <row r="33" spans="1:16" ht="21" customHeight="1" x14ac:dyDescent="0.2">
      <c r="A33" s="255" t="s">
        <v>12</v>
      </c>
      <c r="B33" s="76">
        <f>'Gram U'!B30+Urad!C64+Moong!C65+Lentil!B23+'ORP U'!C90</f>
        <v>1532</v>
      </c>
      <c r="C33" s="76">
        <f>'Gram U'!C30+Urad!D64+Moong!D65+Lentil!C23+'ORP U'!D90</f>
        <v>1370</v>
      </c>
      <c r="D33" s="76">
        <f>'Gram U'!D30+Urad!E64+Moong!E65+Lentil!D23+'ORP U'!E90</f>
        <v>1468</v>
      </c>
      <c r="E33" s="76">
        <f>'Gram U'!E30+Urad!F64+Moong!F65+Lentil!E23+'ORP U'!F90</f>
        <v>1517</v>
      </c>
      <c r="F33" s="76">
        <f>'Gram U'!F30+Urad!G64+Moong!G65+Lentil!F23+'ORP U'!G90</f>
        <v>1537</v>
      </c>
      <c r="G33" s="76">
        <f>'Gram U'!G30+Urad!H64+Moong!H65+Lentil!G23+'ORP U'!H90</f>
        <v>1482.0650000000001</v>
      </c>
      <c r="H33" s="76">
        <f>'Gram U'!H30+Urad!I64+Moong!I65+Lentil!H23+'ORP U'!I90</f>
        <v>1567.8409999999999</v>
      </c>
      <c r="I33" s="76">
        <f>'Gram U'!I30+Urad!J64+Moong!J65+Lentil!I23+'ORP U'!J90</f>
        <v>1825.1459999999997</v>
      </c>
      <c r="J33" s="76">
        <f>'Gram U'!J30+Urad!K64+Moong!K65+Lentil!J23+'ORP U'!K90</f>
        <v>1941.165</v>
      </c>
      <c r="K33" s="76">
        <f>'Gram U'!K30+Urad!L64+Moong!L65+Lentil!K23+'ORP U'!L90</f>
        <v>1880.444</v>
      </c>
      <c r="L33" s="106">
        <f t="shared" si="1"/>
        <v>967.40535248041783</v>
      </c>
      <c r="M33" s="106">
        <f t="shared" si="2"/>
        <v>1144.4094890510949</v>
      </c>
      <c r="N33" s="106">
        <f t="shared" si="3"/>
        <v>1243.2874659400543</v>
      </c>
      <c r="O33" s="106">
        <f t="shared" si="4"/>
        <v>1279.6077785102175</v>
      </c>
      <c r="P33" s="106">
        <f t="shared" si="5"/>
        <v>1223.4508783344177</v>
      </c>
    </row>
    <row r="34" spans="1:16" ht="21" customHeight="1" x14ac:dyDescent="0.2">
      <c r="A34" s="255" t="s">
        <v>90</v>
      </c>
      <c r="B34" s="76">
        <f>'Gram U'!B31+Urad!C67+Moong!C67+Lentil!B24+'ORP U'!C93</f>
        <v>17</v>
      </c>
      <c r="C34" s="76">
        <f>'Gram U'!C31+Urad!D67+Moong!D67+Lentil!C24+'ORP U'!D93</f>
        <v>16</v>
      </c>
      <c r="D34" s="76">
        <f>'Gram U'!D31+Urad!E67+Moong!E67+Lentil!D24+'ORP U'!E93</f>
        <v>17</v>
      </c>
      <c r="E34" s="76">
        <f>'Gram U'!E31+Urad!F67+Moong!F67+Lentil!E24+'ORP U'!F93</f>
        <v>20</v>
      </c>
      <c r="F34" s="76">
        <f>'Gram U'!F31+Urad!G67+Moong!G67+Lentil!F24+'ORP U'!G93</f>
        <v>20</v>
      </c>
      <c r="G34" s="76">
        <f>'Gram U'!G31+Urad!H67+Moong!H67+Lentil!G24+'ORP U'!H93</f>
        <v>15</v>
      </c>
      <c r="H34" s="76">
        <f>'Gram U'!H31+Urad!I67+Moong!I67+Lentil!H24+'ORP U'!I93</f>
        <v>12.742000000000001</v>
      </c>
      <c r="I34" s="76">
        <f>'Gram U'!I31+Urad!J67+Moong!J67+Lentil!I24+'ORP U'!J93</f>
        <v>15.502000000000001</v>
      </c>
      <c r="J34" s="76">
        <f>'Gram U'!J31+Urad!K67+Moong!K67+Lentil!J24+'ORP U'!K93</f>
        <v>18.917000000000002</v>
      </c>
      <c r="K34" s="76">
        <f>'Gram U'!K31+Urad!L67+Moong!L67+Lentil!K24+'ORP U'!L93</f>
        <v>15.923</v>
      </c>
      <c r="L34" s="106">
        <f t="shared" si="1"/>
        <v>882.35294117647061</v>
      </c>
      <c r="M34" s="106">
        <f t="shared" si="2"/>
        <v>796.375</v>
      </c>
      <c r="N34" s="106">
        <f t="shared" si="3"/>
        <v>911.88235294117646</v>
      </c>
      <c r="O34" s="106">
        <f t="shared" si="4"/>
        <v>945.85000000000014</v>
      </c>
      <c r="P34" s="106">
        <f t="shared" si="5"/>
        <v>796.15</v>
      </c>
    </row>
    <row r="35" spans="1:16" ht="21" customHeight="1" x14ac:dyDescent="0.2">
      <c r="A35" s="255" t="s">
        <v>13</v>
      </c>
      <c r="B35" s="76">
        <f>'Gram U'!B32+Urad!C70+Moong!C69+Lentil!B25+'ORP U'!C98</f>
        <v>197.29300000000001</v>
      </c>
      <c r="C35" s="76">
        <f>'Gram U'!C32+Urad!D70+Moong!D69+Lentil!C25+'ORP U'!D98</f>
        <v>383.38</v>
      </c>
      <c r="D35" s="76">
        <f>'Gram U'!D32+Urad!E70+Moong!E69+Lentil!D25+'ORP U'!E98</f>
        <v>388.08099999999996</v>
      </c>
      <c r="E35" s="76">
        <f>'Gram U'!E32+Urad!F70+Moong!F69+Lentil!E25+'ORP U'!F98</f>
        <v>405.32100000000003</v>
      </c>
      <c r="F35" s="76">
        <f>'Gram U'!F32+Urad!G70+Moong!G69+Lentil!F25+'ORP U'!G98</f>
        <v>389.63799999999998</v>
      </c>
      <c r="G35" s="76">
        <f>'Gram U'!G32+Urad!H70+Moong!H69+Lentil!G25+'ORP U'!H98</f>
        <v>208.815</v>
      </c>
      <c r="H35" s="76">
        <f>'Gram U'!H32+Urad!I70+Moong!I69+Lentil!H25+'ORP U'!I98</f>
        <v>387.5</v>
      </c>
      <c r="I35" s="76">
        <f>'Gram U'!I32+Urad!J70+Moong!J69+Lentil!I25+'ORP U'!J98</f>
        <v>315.85057699999999</v>
      </c>
      <c r="J35" s="76">
        <f>'Gram U'!J32+Urad!K70+Moong!K69+Lentil!J25+'ORP U'!K98</f>
        <v>332.994035</v>
      </c>
      <c r="K35" s="76">
        <f>'Gram U'!K32+Urad!L70+Moong!L69+Lentil!K25+'ORP U'!L98</f>
        <v>390.46685400000001</v>
      </c>
      <c r="L35" s="106">
        <f t="shared" si="1"/>
        <v>1058.400450091995</v>
      </c>
      <c r="M35" s="106">
        <f t="shared" si="2"/>
        <v>1010.7465178152224</v>
      </c>
      <c r="N35" s="106">
        <f t="shared" si="3"/>
        <v>813.87797135134167</v>
      </c>
      <c r="O35" s="106">
        <f t="shared" si="4"/>
        <v>821.55633436214748</v>
      </c>
      <c r="P35" s="106">
        <f t="shared" si="5"/>
        <v>1002.1272411828417</v>
      </c>
    </row>
    <row r="36" spans="1:16" ht="21" customHeight="1" x14ac:dyDescent="0.2">
      <c r="A36" s="255" t="s">
        <v>32</v>
      </c>
      <c r="B36" s="76">
        <f>Urad!C73+Moong!C71+'ORP U'!C100</f>
        <v>1.53</v>
      </c>
      <c r="C36" s="76">
        <f>Urad!D73+Moong!D71+'ORP U'!D100</f>
        <v>0.54879999999999995</v>
      </c>
      <c r="D36" s="76">
        <f>Urad!E73+Moong!E71+'ORP U'!E100</f>
        <v>9.98E-2</v>
      </c>
      <c r="E36" s="76">
        <f>Urad!F73+Moong!F71+'ORP U'!F100</f>
        <v>0.51939999999999997</v>
      </c>
      <c r="F36" s="76">
        <f>Urad!G73+Moong!G71+'ORP U'!G100</f>
        <v>0.64440000000000008</v>
      </c>
      <c r="G36" s="76">
        <f>Urad!H73+Moong!H71+'ORP U'!H100</f>
        <v>0.46750000000000003</v>
      </c>
      <c r="H36" s="76">
        <f>Urad!I73+Moong!I71+'ORP U'!I100</f>
        <v>0.1763536</v>
      </c>
      <c r="I36" s="76">
        <f>Urad!J73+Moong!J71+'ORP U'!J100</f>
        <v>2.0957999999999997E-2</v>
      </c>
      <c r="J36" s="76">
        <f>Urad!K73+Moong!K71+'ORP U'!K100</f>
        <v>0.30010419999999999</v>
      </c>
      <c r="K36" s="76">
        <f>Urad!L73+Moong!L71+'ORP U'!L100</f>
        <v>0.26239600000000002</v>
      </c>
      <c r="L36" s="106">
        <f t="shared" si="1"/>
        <v>305.5555555555556</v>
      </c>
      <c r="M36" s="106">
        <f t="shared" si="2"/>
        <v>321.34402332361515</v>
      </c>
      <c r="N36" s="106">
        <f t="shared" si="3"/>
        <v>209.99999999999997</v>
      </c>
      <c r="O36" s="106">
        <f t="shared" si="4"/>
        <v>577.79014247208318</v>
      </c>
      <c r="P36" s="106">
        <f t="shared" si="5"/>
        <v>407.19428926132832</v>
      </c>
    </row>
    <row r="37" spans="1:16" ht="21" customHeight="1" x14ac:dyDescent="0.2">
      <c r="A37" s="255" t="s">
        <v>42</v>
      </c>
      <c r="B37" s="76">
        <f>'Gram U'!B33+'ORP U'!C101</f>
        <v>0.25</v>
      </c>
      <c r="C37" s="76">
        <f>'Gram U'!C33+'ORP U'!D101</f>
        <v>0</v>
      </c>
      <c r="D37" s="76">
        <f>'Gram U'!D33+'ORP U'!E101</f>
        <v>1.2000000000000002</v>
      </c>
      <c r="E37" s="76">
        <f>'Gram U'!E33+'ORP U'!F101</f>
        <v>0.16</v>
      </c>
      <c r="F37" s="76">
        <f>'Gram U'!F33+'ORP U'!G101</f>
        <v>0</v>
      </c>
      <c r="G37" s="76">
        <f>'Gram U'!G33+'ORP U'!H101</f>
        <v>0.21</v>
      </c>
      <c r="H37" s="76">
        <f>'Gram U'!H33+'ORP U'!I101</f>
        <v>0</v>
      </c>
      <c r="I37" s="76">
        <f>'Gram U'!I33+'ORP U'!J101</f>
        <v>1.2360800000000001</v>
      </c>
      <c r="J37" s="76">
        <f>'Gram U'!J33+'ORP U'!K101</f>
        <v>0.16</v>
      </c>
      <c r="K37" s="76">
        <f>'Gram U'!K33+'ORP U'!L101</f>
        <v>0</v>
      </c>
      <c r="L37" s="106">
        <f t="shared" si="1"/>
        <v>840</v>
      </c>
      <c r="M37" s="106" t="e">
        <f t="shared" si="2"/>
        <v>#DIV/0!</v>
      </c>
      <c r="N37" s="106">
        <f t="shared" si="3"/>
        <v>1030.0666666666664</v>
      </c>
      <c r="O37" s="106">
        <f t="shared" si="4"/>
        <v>1000</v>
      </c>
      <c r="P37" s="106" t="e">
        <f t="shared" si="5"/>
        <v>#DIV/0!</v>
      </c>
    </row>
    <row r="38" spans="1:16" ht="21" customHeight="1" x14ac:dyDescent="0.2">
      <c r="A38" s="255" t="s">
        <v>23</v>
      </c>
      <c r="B38" s="76">
        <f>'Gram U'!B34+'ORP U'!C103</f>
        <v>2.5000000000000001E-2</v>
      </c>
      <c r="C38" s="76">
        <f>'Gram U'!C34+'ORP U'!D103</f>
        <v>5.0000000000000001E-3</v>
      </c>
      <c r="D38" s="76">
        <f>'Gram U'!D34+'ORP U'!E103</f>
        <v>2E-3</v>
      </c>
      <c r="E38" s="76">
        <f>'Gram U'!E34+'ORP U'!F103</f>
        <v>2E-3</v>
      </c>
      <c r="F38" s="76">
        <f>'Gram U'!F34+'ORP U'!G103</f>
        <v>2E-3</v>
      </c>
      <c r="G38" s="76">
        <f>'Gram U'!G34+'ORP U'!H103</f>
        <v>5.2999999999999999E-2</v>
      </c>
      <c r="H38" s="76">
        <f>'Gram U'!H34+'ORP U'!I103</f>
        <v>0.01</v>
      </c>
      <c r="I38" s="76">
        <f>'Gram U'!I34+'ORP U'!J103</f>
        <v>4.0000000000000001E-3</v>
      </c>
      <c r="J38" s="76">
        <f>'Gram U'!J34+'ORP U'!K103</f>
        <v>4.0000000000000001E-3</v>
      </c>
      <c r="K38" s="76">
        <f>'Gram U'!K34+'ORP U'!L103</f>
        <v>4.0000000000000001E-3</v>
      </c>
      <c r="L38" s="106">
        <f t="shared" si="1"/>
        <v>2119.9999999999995</v>
      </c>
      <c r="M38" s="106">
        <f t="shared" si="2"/>
        <v>2000</v>
      </c>
      <c r="N38" s="106">
        <f t="shared" si="3"/>
        <v>2000</v>
      </c>
      <c r="O38" s="106">
        <f t="shared" si="4"/>
        <v>2000</v>
      </c>
      <c r="P38" s="106">
        <f t="shared" si="5"/>
        <v>2000</v>
      </c>
    </row>
    <row r="39" spans="1:16" ht="21" customHeight="1" x14ac:dyDescent="0.2">
      <c r="A39" s="255" t="s">
        <v>86</v>
      </c>
      <c r="B39" s="76">
        <f>'ORP U'!C102</f>
        <v>0</v>
      </c>
      <c r="C39" s="76">
        <f>'ORP U'!D102</f>
        <v>0</v>
      </c>
      <c r="D39" s="76">
        <f>'ORP U'!E102</f>
        <v>0</v>
      </c>
      <c r="E39" s="76">
        <f>'ORP U'!F102</f>
        <v>0.34</v>
      </c>
      <c r="F39" s="76">
        <f>'ORP U'!G102</f>
        <v>0</v>
      </c>
      <c r="G39" s="76">
        <f>'ORP U'!H102</f>
        <v>0</v>
      </c>
      <c r="H39" s="76">
        <f>'ORP U'!I102</f>
        <v>0</v>
      </c>
      <c r="I39" s="76">
        <f>'ORP U'!J102</f>
        <v>0</v>
      </c>
      <c r="J39" s="76">
        <f>'ORP U'!K102</f>
        <v>0.34</v>
      </c>
      <c r="K39" s="76">
        <f>'ORP U'!L102</f>
        <v>0</v>
      </c>
      <c r="L39" s="106" t="e">
        <f t="shared" si="1"/>
        <v>#DIV/0!</v>
      </c>
      <c r="M39" s="106" t="e">
        <f t="shared" si="2"/>
        <v>#DIV/0!</v>
      </c>
      <c r="N39" s="106" t="e">
        <f t="shared" si="3"/>
        <v>#DIV/0!</v>
      </c>
      <c r="O39" s="106">
        <f t="shared" si="4"/>
        <v>1000</v>
      </c>
      <c r="P39" s="106" t="e">
        <f t="shared" si="5"/>
        <v>#DIV/0!</v>
      </c>
    </row>
    <row r="40" spans="1:16" ht="21" customHeight="1" x14ac:dyDescent="0.2">
      <c r="A40" s="255" t="s">
        <v>113</v>
      </c>
      <c r="B40" s="76">
        <f>Urad!C78+Moong!C73+'ORP U'!C105</f>
        <v>1.1700000000000002</v>
      </c>
      <c r="C40" s="76">
        <f>Urad!D78+Moong!D73+'ORP U'!D105</f>
        <v>0.92300000000000004</v>
      </c>
      <c r="D40" s="76">
        <f>Urad!E78+Moong!E73+'ORP U'!E105</f>
        <v>1.008</v>
      </c>
      <c r="E40" s="76">
        <f>Urad!F78+Moong!F73+'ORP U'!F105</f>
        <v>0.97099999999999997</v>
      </c>
      <c r="F40" s="76">
        <f>Urad!G78+Moong!G73+'ORP U'!G105</f>
        <v>1.0509999999999999</v>
      </c>
      <c r="G40" s="76">
        <f>Urad!H78+Moong!H73+'ORP U'!H105</f>
        <v>0.20500000000000002</v>
      </c>
      <c r="H40" s="76">
        <f>Urad!I78+Moong!I73+'ORP U'!I105</f>
        <v>0.71948000000000001</v>
      </c>
      <c r="I40" s="76">
        <f>Urad!J78+Moong!J73+'ORP U'!J105</f>
        <v>0.43600000000000005</v>
      </c>
      <c r="J40" s="76">
        <f>Urad!K78+Moong!K73+'ORP U'!K105</f>
        <v>0.31198500000000001</v>
      </c>
      <c r="K40" s="76">
        <f>Urad!L78+Moong!L73+'ORP U'!L105</f>
        <v>0.39710100000000004</v>
      </c>
      <c r="L40" s="106">
        <f t="shared" si="1"/>
        <v>175.2136752136752</v>
      </c>
      <c r="M40" s="106">
        <f t="shared" si="2"/>
        <v>779.50162513542796</v>
      </c>
      <c r="N40" s="106">
        <f t="shared" si="3"/>
        <v>432.53968253968259</v>
      </c>
      <c r="O40" s="106">
        <f t="shared" si="4"/>
        <v>321.30278063851705</v>
      </c>
      <c r="P40" s="106">
        <f t="shared" si="5"/>
        <v>377.83158896289257</v>
      </c>
    </row>
    <row r="41" spans="1:16" s="8" customFormat="1" ht="21" customHeight="1" x14ac:dyDescent="0.2">
      <c r="A41" s="255" t="s">
        <v>46</v>
      </c>
      <c r="B41" s="103">
        <f>'Gram U'!B35+Urad!C81+Moong!C76+Lentil!B26+'ORP U'!C110</f>
        <v>15083.349999999999</v>
      </c>
      <c r="C41" s="103">
        <f>'Gram U'!C35+Urad!D81+Moong!D76+Lentil!C26+'ORP U'!D110</f>
        <v>15879.854600000001</v>
      </c>
      <c r="D41" s="103">
        <f>'Gram U'!D35+Urad!E81+Moong!E76+Lentil!D26+'ORP U'!E110</f>
        <v>14326.2927</v>
      </c>
      <c r="E41" s="103">
        <f>'Gram U'!E35+Urad!F81+Moong!F76+Lentil!E26+'ORP U'!F110</f>
        <v>14451.854399999998</v>
      </c>
      <c r="F41" s="103">
        <f>'Gram U'!F35+Urad!G81+Moong!G76+Lentil!F26+'ORP U'!G110</f>
        <v>15352.975399999998</v>
      </c>
      <c r="G41" s="103">
        <f>'Gram U'!G35+Urad!H81+Moong!H76+Lentil!G26+'ORP U'!H110</f>
        <v>13546.607185999999</v>
      </c>
      <c r="H41" s="103">
        <f>'Gram U'!H35+Urad!I81+Moong!I76+Lentil!H26+'ORP U'!I110</f>
        <v>16110.455826599997</v>
      </c>
      <c r="I41" s="103">
        <f>'Gram U'!I35+Urad!J81+Moong!J76+Lentil!I26+'ORP U'!J110</f>
        <v>13984.503793000003</v>
      </c>
      <c r="J41" s="103">
        <f>'Gram U'!J35+Urad!K81+Moong!K76+Lentil!J26+'ORP U'!K110</f>
        <v>15104.3677272</v>
      </c>
      <c r="K41" s="103">
        <f>'Gram U'!K35+Urad!L81+Moong!L76+Lentil!K26+'ORP U'!L110</f>
        <v>16844.8950295</v>
      </c>
      <c r="L41" s="107">
        <f t="shared" si="1"/>
        <v>898.11661109766737</v>
      </c>
      <c r="M41" s="107">
        <f t="shared" si="2"/>
        <v>1014.5216207836056</v>
      </c>
      <c r="N41" s="107">
        <f t="shared" si="3"/>
        <v>976.14254335317355</v>
      </c>
      <c r="O41" s="107">
        <f t="shared" si="4"/>
        <v>1045.1508373347579</v>
      </c>
      <c r="P41" s="107">
        <f t="shared" si="5"/>
        <v>1097.1746251544182</v>
      </c>
    </row>
  </sheetData>
  <mergeCells count="20">
    <mergeCell ref="N4:N5"/>
    <mergeCell ref="B3:F3"/>
    <mergeCell ref="O4:O5"/>
    <mergeCell ref="P4:P5"/>
    <mergeCell ref="G3:K3"/>
    <mergeCell ref="L3:P3"/>
    <mergeCell ref="C4:C5"/>
    <mergeCell ref="H4:H5"/>
    <mergeCell ref="A1:M1"/>
    <mergeCell ref="A3:A5"/>
    <mergeCell ref="L4:L5"/>
    <mergeCell ref="D4:D5"/>
    <mergeCell ref="B4:B5"/>
    <mergeCell ref="M4:M5"/>
    <mergeCell ref="G4:G5"/>
    <mergeCell ref="I4:I5"/>
    <mergeCell ref="E4:E5"/>
    <mergeCell ref="J4:J5"/>
    <mergeCell ref="F4:F5"/>
    <mergeCell ref="K4:K5"/>
  </mergeCells>
  <phoneticPr fontId="0" type="noConversion"/>
  <printOptions horizontalCentered="1" verticalCentered="1"/>
  <pageMargins left="0.23622047244094499" right="0.23622047244094499" top="0.23622047244094499" bottom="0.23622047244094499" header="0.511811023622047" footer="0.511811023622047"/>
  <pageSetup paperSize="9" scale="71" orientation="landscape" r:id="rId1"/>
  <headerFooter alignWithMargins="0"/>
  <rowBreaks count="1" manualBreakCount="1">
    <brk id="49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P42"/>
  <sheetViews>
    <sheetView tabSelected="1" view="pageBreakPreview" zoomScale="70" zoomScaleNormal="75" zoomScaleSheetLayoutView="70" workbookViewId="0">
      <pane xSplit="1" ySplit="6" topLeftCell="F34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4.7109375" style="4" customWidth="1"/>
    <col min="2" max="6" width="11.28515625" style="4" customWidth="1"/>
    <col min="7" max="11" width="11.140625" style="4" customWidth="1"/>
    <col min="12" max="16" width="10.5703125" style="4" customWidth="1"/>
    <col min="17" max="16384" width="9.140625" style="4"/>
  </cols>
  <sheetData>
    <row r="1" spans="1:16" ht="15.75" x14ac:dyDescent="0.2">
      <c r="A1" s="409" t="s">
        <v>103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6" ht="18" x14ac:dyDescent="0.2">
      <c r="A3" s="356" t="s">
        <v>88</v>
      </c>
      <c r="B3" s="342" t="s">
        <v>174</v>
      </c>
      <c r="C3" s="342"/>
      <c r="D3" s="342"/>
      <c r="E3" s="342"/>
      <c r="F3" s="342"/>
      <c r="G3" s="377" t="s">
        <v>68</v>
      </c>
      <c r="H3" s="377"/>
      <c r="I3" s="377"/>
      <c r="J3" s="377"/>
      <c r="K3" s="377"/>
      <c r="L3" s="377" t="s">
        <v>89</v>
      </c>
      <c r="M3" s="377"/>
      <c r="N3" s="377"/>
      <c r="O3" s="377"/>
      <c r="P3" s="377"/>
    </row>
    <row r="4" spans="1:16" ht="15" customHeight="1" x14ac:dyDescent="0.2">
      <c r="A4" s="356"/>
      <c r="B4" s="341" t="s">
        <v>112</v>
      </c>
      <c r="C4" s="341" t="s">
        <v>164</v>
      </c>
      <c r="D4" s="341" t="s">
        <v>199</v>
      </c>
      <c r="E4" s="341" t="s">
        <v>200</v>
      </c>
      <c r="F4" s="341" t="s">
        <v>202</v>
      </c>
      <c r="G4" s="341" t="s">
        <v>112</v>
      </c>
      <c r="H4" s="341" t="s">
        <v>164</v>
      </c>
      <c r="I4" s="341" t="s">
        <v>199</v>
      </c>
      <c r="J4" s="341" t="s">
        <v>200</v>
      </c>
      <c r="K4" s="341" t="s">
        <v>202</v>
      </c>
      <c r="L4" s="341" t="s">
        <v>112</v>
      </c>
      <c r="M4" s="341" t="s">
        <v>164</v>
      </c>
      <c r="N4" s="341" t="s">
        <v>199</v>
      </c>
      <c r="O4" s="341" t="s">
        <v>200</v>
      </c>
      <c r="P4" s="341" t="s">
        <v>202</v>
      </c>
    </row>
    <row r="5" spans="1:16" ht="14.25" customHeight="1" x14ac:dyDescent="0.2">
      <c r="A5" s="356"/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</row>
    <row r="6" spans="1:16" s="14" customFormat="1" ht="15.75" customHeight="1" x14ac:dyDescent="0.2">
      <c r="A6" s="254">
        <v>1</v>
      </c>
      <c r="B6" s="254">
        <v>2</v>
      </c>
      <c r="C6" s="254">
        <v>3</v>
      </c>
      <c r="D6" s="254">
        <v>4</v>
      </c>
      <c r="E6" s="254">
        <v>5</v>
      </c>
      <c r="F6" s="254">
        <v>6</v>
      </c>
      <c r="G6" s="254">
        <v>7</v>
      </c>
      <c r="H6" s="254">
        <v>8</v>
      </c>
      <c r="I6" s="254">
        <v>9</v>
      </c>
      <c r="J6" s="254">
        <v>10</v>
      </c>
      <c r="K6" s="254">
        <v>11</v>
      </c>
      <c r="L6" s="325">
        <v>12</v>
      </c>
      <c r="M6" s="325">
        <v>13</v>
      </c>
      <c r="N6" s="325">
        <v>14</v>
      </c>
      <c r="O6" s="325">
        <v>15</v>
      </c>
      <c r="P6" s="325">
        <v>16</v>
      </c>
    </row>
    <row r="7" spans="1:16" ht="18" customHeight="1" x14ac:dyDescent="0.2">
      <c r="A7" s="28" t="s">
        <v>2</v>
      </c>
      <c r="B7" s="74">
        <f>'Kharif-pulses U'!B7+'Rabi pulses U'!B7</f>
        <v>1413</v>
      </c>
      <c r="C7" s="74">
        <f>'Kharif-pulses U'!C7+'Rabi pulses U'!C7</f>
        <v>1408</v>
      </c>
      <c r="D7" s="74">
        <f>'Kharif-pulses U'!D7+'Rabi pulses U'!D7</f>
        <v>1326</v>
      </c>
      <c r="E7" s="74">
        <f>'Kharif-pulses U'!E7+'Rabi pulses U'!E7</f>
        <v>1252</v>
      </c>
      <c r="F7" s="74">
        <f>'Kharif-pulses U'!F7+'Rabi pulses U'!F7</f>
        <v>1244</v>
      </c>
      <c r="G7" s="74">
        <f>'Kharif-pulses U'!G7+'Rabi pulses U'!G7</f>
        <v>931</v>
      </c>
      <c r="H7" s="74">
        <f>'Kharif-pulses U'!H7+'Rabi pulses U'!H7</f>
        <v>1217.432</v>
      </c>
      <c r="I7" s="74">
        <f>'Kharif-pulses U'!I7+'Rabi pulses U'!I7</f>
        <v>739.59299999999996</v>
      </c>
      <c r="J7" s="74">
        <f>'Kharif-pulses U'!J7+'Rabi pulses U'!J7</f>
        <v>1166.721</v>
      </c>
      <c r="K7" s="74">
        <f>'Kharif-pulses U'!K7+'Rabi pulses U'!K7</f>
        <v>1094.6130000000001</v>
      </c>
      <c r="L7" s="6">
        <f>G7/B7*1000</f>
        <v>658.88181174805379</v>
      </c>
      <c r="M7" s="6">
        <f t="shared" ref="M7:P7" si="0">H7/C7*1000</f>
        <v>864.65340909090912</v>
      </c>
      <c r="N7" s="6">
        <f t="shared" si="0"/>
        <v>557.76244343891403</v>
      </c>
      <c r="O7" s="6">
        <f t="shared" si="0"/>
        <v>931.8857827476038</v>
      </c>
      <c r="P7" s="6">
        <f t="shared" si="0"/>
        <v>879.91398713826379</v>
      </c>
    </row>
    <row r="8" spans="1:16" ht="18" customHeight="1" x14ac:dyDescent="0.2">
      <c r="A8" s="28" t="s">
        <v>24</v>
      </c>
      <c r="B8" s="74">
        <f>'Kharif-pulses U'!B8+'Rabi pulses U'!B8</f>
        <v>13</v>
      </c>
      <c r="C8" s="74">
        <f>'Kharif-pulses U'!C8+'Rabi pulses U'!C8</f>
        <v>13.2</v>
      </c>
      <c r="D8" s="74">
        <f>'Kharif-pulses U'!D8+'Rabi pulses U'!D8</f>
        <v>13.302</v>
      </c>
      <c r="E8" s="74">
        <f>'Kharif-pulses U'!E8+'Rabi pulses U'!E8</f>
        <v>13.35</v>
      </c>
      <c r="F8" s="74">
        <f>'Kharif-pulses U'!F8+'Rabi pulses U'!F8</f>
        <v>13.363</v>
      </c>
      <c r="G8" s="74">
        <f>'Kharif-pulses U'!G8+'Rabi pulses U'!G8</f>
        <v>13.129999999999999</v>
      </c>
      <c r="H8" s="74">
        <f>'Kharif-pulses U'!H8+'Rabi pulses U'!H8</f>
        <v>13.464006000000001</v>
      </c>
      <c r="I8" s="74">
        <f>'Kharif-pulses U'!I8+'Rabi pulses U'!I8</f>
        <v>11.987265000000001</v>
      </c>
      <c r="J8" s="74">
        <f>'Kharif-pulses U'!J8+'Rabi pulses U'!J8</f>
        <v>14.150375</v>
      </c>
      <c r="K8" s="74">
        <f>'Kharif-pulses U'!K8+'Rabi pulses U'!K8</f>
        <v>14.297718</v>
      </c>
      <c r="L8" s="6">
        <f t="shared" ref="L8:L42" si="1">G8/B8*1000</f>
        <v>1010</v>
      </c>
      <c r="M8" s="6">
        <f t="shared" ref="M8:M42" si="2">H8/C8*1000</f>
        <v>1020.0004545454547</v>
      </c>
      <c r="N8" s="6">
        <f t="shared" ref="N8:N42" si="3">I8/D8*1000</f>
        <v>901.16260712674784</v>
      </c>
      <c r="O8" s="6">
        <f t="shared" ref="O8:O42" si="4">J8/E8*1000</f>
        <v>1059.9531835205994</v>
      </c>
      <c r="P8" s="6">
        <f t="shared" ref="P8:P42" si="5">K8/F8*1000</f>
        <v>1069.9482152211331</v>
      </c>
    </row>
    <row r="9" spans="1:16" ht="18" customHeight="1" x14ac:dyDescent="0.2">
      <c r="A9" s="28" t="s">
        <v>25</v>
      </c>
      <c r="B9" s="74">
        <f>'Kharif-pulses U'!B9+'Rabi pulses U'!B9</f>
        <v>146.35500000000002</v>
      </c>
      <c r="C9" s="74">
        <f>'Kharif-pulses U'!C9+'Rabi pulses U'!C9</f>
        <v>154.70600000000002</v>
      </c>
      <c r="D9" s="74">
        <f>'Kharif-pulses U'!D9+'Rabi pulses U'!D9</f>
        <v>150.22900000000001</v>
      </c>
      <c r="E9" s="74">
        <f>'Kharif-pulses U'!E9+'Rabi pulses U'!E9</f>
        <v>143.96200000000002</v>
      </c>
      <c r="F9" s="74">
        <f>'Kharif-pulses U'!F9+'Rabi pulses U'!F9</f>
        <v>142.303</v>
      </c>
      <c r="G9" s="74">
        <f>'Kharif-pulses U'!G9+'Rabi pulses U'!G9</f>
        <v>107.529</v>
      </c>
      <c r="H9" s="74">
        <f>'Kharif-pulses U'!H9+'Rabi pulses U'!H9</f>
        <v>115.764988</v>
      </c>
      <c r="I9" s="74">
        <f>'Kharif-pulses U'!I9+'Rabi pulses U'!I9</f>
        <v>113.49999699999999</v>
      </c>
      <c r="J9" s="74">
        <f>'Kharif-pulses U'!J9+'Rabi pulses U'!J9</f>
        <v>106.06877900000001</v>
      </c>
      <c r="K9" s="74">
        <f>'Kharif-pulses U'!K9+'Rabi pulses U'!K9</f>
        <v>108.69708899999998</v>
      </c>
      <c r="L9" s="6">
        <f t="shared" si="1"/>
        <v>734.71353899764256</v>
      </c>
      <c r="M9" s="6">
        <f t="shared" si="2"/>
        <v>748.29022791617638</v>
      </c>
      <c r="N9" s="6">
        <f t="shared" si="3"/>
        <v>755.51322980250131</v>
      </c>
      <c r="O9" s="6">
        <f t="shared" si="4"/>
        <v>736.78317194815293</v>
      </c>
      <c r="P9" s="6">
        <f t="shared" si="5"/>
        <v>763.84256832252299</v>
      </c>
    </row>
    <row r="10" spans="1:16" ht="18" customHeight="1" x14ac:dyDescent="0.2">
      <c r="A10" s="28" t="s">
        <v>40</v>
      </c>
      <c r="B10" s="74">
        <f>'Kharif-pulses U'!B10+'Rabi pulses U'!B10</f>
        <v>493.14099999999996</v>
      </c>
      <c r="C10" s="74">
        <f>'Kharif-pulses U'!C10+'Rabi pulses U'!C10</f>
        <v>476.005</v>
      </c>
      <c r="D10" s="74">
        <f>'Kharif-pulses U'!D10+'Rabi pulses U'!D10</f>
        <v>479.37400000000002</v>
      </c>
      <c r="E10" s="74">
        <f>'Kharif-pulses U'!E10+'Rabi pulses U'!E10</f>
        <v>457.38599999999997</v>
      </c>
      <c r="F10" s="74">
        <f>'Kharif-pulses U'!F10+'Rabi pulses U'!F10</f>
        <v>448.93400000000003</v>
      </c>
      <c r="G10" s="74">
        <f>'Kharif-pulses U'!G10+'Rabi pulses U'!G10</f>
        <v>461.66499999999996</v>
      </c>
      <c r="H10" s="74">
        <f>'Kharif-pulses U'!H10+'Rabi pulses U'!H10</f>
        <v>454.20238499999994</v>
      </c>
      <c r="I10" s="74">
        <f>'Kharif-pulses U'!I10+'Rabi pulses U'!I10</f>
        <v>453.45806599999997</v>
      </c>
      <c r="J10" s="74">
        <f>'Kharif-pulses U'!J10+'Rabi pulses U'!J10</f>
        <v>334.41262</v>
      </c>
      <c r="K10" s="74">
        <f>'Kharif-pulses U'!K10+'Rabi pulses U'!K10</f>
        <v>376.84831200000002</v>
      </c>
      <c r="L10" s="6">
        <f t="shared" si="1"/>
        <v>936.17241316378079</v>
      </c>
      <c r="M10" s="6">
        <f t="shared" si="2"/>
        <v>954.19666810222566</v>
      </c>
      <c r="N10" s="6">
        <f t="shared" si="3"/>
        <v>945.93796492926185</v>
      </c>
      <c r="O10" s="6">
        <f t="shared" si="4"/>
        <v>731.13873183700423</v>
      </c>
      <c r="P10" s="6">
        <f t="shared" si="5"/>
        <v>839.42920785683418</v>
      </c>
    </row>
    <row r="11" spans="1:16" ht="18" customHeight="1" x14ac:dyDescent="0.2">
      <c r="A11" s="28" t="s">
        <v>47</v>
      </c>
      <c r="B11" s="74">
        <f>'Kharif-pulses U'!B11+'Rabi pulses U'!B11</f>
        <v>883.8</v>
      </c>
      <c r="C11" s="74">
        <f>'Kharif-pulses U'!C11+'Rabi pulses U'!C11</f>
        <v>789.26</v>
      </c>
      <c r="D11" s="74">
        <f>'Kharif-pulses U'!D11+'Rabi pulses U'!D11</f>
        <v>745.79000000000008</v>
      </c>
      <c r="E11" s="74">
        <f>'Kharif-pulses U'!E11+'Rabi pulses U'!E11</f>
        <v>757.83999999999992</v>
      </c>
      <c r="F11" s="74">
        <f>'Kharif-pulses U'!F11+'Rabi pulses U'!F11</f>
        <v>645.79999999999995</v>
      </c>
      <c r="G11" s="74">
        <f>'Kharif-pulses U'!G11+'Rabi pulses U'!G11</f>
        <v>758.7</v>
      </c>
      <c r="H11" s="74">
        <f>'Kharif-pulses U'!H11+'Rabi pulses U'!H11</f>
        <v>549.96739000000002</v>
      </c>
      <c r="I11" s="74">
        <f>'Kharif-pulses U'!I11+'Rabi pulses U'!I11</f>
        <v>537.46631999999988</v>
      </c>
      <c r="J11" s="74">
        <f>'Kharif-pulses U'!J11+'Rabi pulses U'!J11</f>
        <v>241.27895000000001</v>
      </c>
      <c r="K11" s="74">
        <f>'Kharif-pulses U'!K11+'Rabi pulses U'!K11</f>
        <v>447.51592999999997</v>
      </c>
      <c r="L11" s="6">
        <f t="shared" si="1"/>
        <v>858.45213849287188</v>
      </c>
      <c r="M11" s="6">
        <f t="shared" si="2"/>
        <v>696.81396497985463</v>
      </c>
      <c r="N11" s="6">
        <f t="shared" si="3"/>
        <v>720.66710468094209</v>
      </c>
      <c r="O11" s="6">
        <f t="shared" si="4"/>
        <v>318.37716404518108</v>
      </c>
      <c r="P11" s="6">
        <f t="shared" si="5"/>
        <v>692.96365747909567</v>
      </c>
    </row>
    <row r="12" spans="1:16" ht="18" customHeight="1" x14ac:dyDescent="0.2">
      <c r="A12" s="28" t="s">
        <v>15</v>
      </c>
      <c r="B12" s="74">
        <f>'Kharif-pulses U'!B12+'Rabi pulses U'!B12</f>
        <v>5.8870000000000005</v>
      </c>
      <c r="C12" s="74">
        <f>'Kharif-pulses U'!C12+'Rabi pulses U'!C12</f>
        <v>5.54</v>
      </c>
      <c r="D12" s="74">
        <f>'Kharif-pulses U'!D12+'Rabi pulses U'!D12</f>
        <v>6.2030000000000003</v>
      </c>
      <c r="E12" s="74">
        <f>'Kharif-pulses U'!E12+'Rabi pulses U'!E12</f>
        <v>4.3980000000000006</v>
      </c>
      <c r="F12" s="74">
        <f>'Kharif-pulses U'!F12+'Rabi pulses U'!F12</f>
        <v>3.84</v>
      </c>
      <c r="G12" s="74">
        <f>'Kharif-pulses U'!G12+'Rabi pulses U'!G12</f>
        <v>5.9119999999999999</v>
      </c>
      <c r="H12" s="74">
        <f>'Kharif-pulses U'!H12+'Rabi pulses U'!H12</f>
        <v>4.8220000000000001</v>
      </c>
      <c r="I12" s="74">
        <f>'Kharif-pulses U'!I12+'Rabi pulses U'!I12</f>
        <v>6.319</v>
      </c>
      <c r="J12" s="74">
        <f>'Kharif-pulses U'!J12+'Rabi pulses U'!J12</f>
        <v>3.85548</v>
      </c>
      <c r="K12" s="74">
        <f>'Kharif-pulses U'!K12+'Rabi pulses U'!K12</f>
        <v>3.7480000000000002</v>
      </c>
      <c r="L12" s="6">
        <f t="shared" si="1"/>
        <v>1004.2466451503311</v>
      </c>
      <c r="M12" s="6">
        <f t="shared" si="2"/>
        <v>870.39711191335743</v>
      </c>
      <c r="N12" s="6">
        <f t="shared" si="3"/>
        <v>1018.7006287280346</v>
      </c>
      <c r="O12" s="6">
        <f t="shared" si="4"/>
        <v>876.64392905866293</v>
      </c>
      <c r="P12" s="6">
        <f t="shared" si="5"/>
        <v>976.04166666666686</v>
      </c>
    </row>
    <row r="13" spans="1:16" ht="18" customHeight="1" x14ac:dyDescent="0.2">
      <c r="A13" s="28" t="s">
        <v>4</v>
      </c>
      <c r="B13" s="74">
        <f>'Kharif-pulses U'!B13+'Rabi pulses U'!B13</f>
        <v>942</v>
      </c>
      <c r="C13" s="74">
        <f>'Kharif-pulses U'!C13+'Rabi pulses U'!C13</f>
        <v>908</v>
      </c>
      <c r="D13" s="74">
        <f>'Kharif-pulses U'!D13+'Rabi pulses U'!D13</f>
        <v>661.95</v>
      </c>
      <c r="E13" s="74">
        <f>'Kharif-pulses U'!E13+'Rabi pulses U'!E13</f>
        <v>902.36999999999989</v>
      </c>
      <c r="F13" s="74">
        <f>'Kharif-pulses U'!F13+'Rabi pulses U'!F13</f>
        <v>1397.47</v>
      </c>
      <c r="G13" s="74">
        <f>'Kharif-pulses U'!G13+'Rabi pulses U'!G13</f>
        <v>818</v>
      </c>
      <c r="H13" s="74">
        <f>'Kharif-pulses U'!H13+'Rabi pulses U'!H13</f>
        <v>922.59400000000005</v>
      </c>
      <c r="I13" s="74">
        <f>'Kharif-pulses U'!I13+'Rabi pulses U'!I13</f>
        <v>681.33026999999993</v>
      </c>
      <c r="J13" s="74">
        <f>'Kharif-pulses U'!J13+'Rabi pulses U'!J13</f>
        <v>1057.2654200000002</v>
      </c>
      <c r="K13" s="74">
        <f>'Kharif-pulses U'!K13+'Rabi pulses U'!K13</f>
        <v>1809.1552185</v>
      </c>
      <c r="L13" s="6">
        <f t="shared" si="1"/>
        <v>868.36518046709136</v>
      </c>
      <c r="M13" s="6">
        <f t="shared" si="2"/>
        <v>1016.0726872246697</v>
      </c>
      <c r="N13" s="6">
        <f t="shared" si="3"/>
        <v>1029.2775436211193</v>
      </c>
      <c r="O13" s="6">
        <f t="shared" si="4"/>
        <v>1171.6540000221642</v>
      </c>
      <c r="P13" s="6">
        <f t="shared" si="5"/>
        <v>1294.5932424309644</v>
      </c>
    </row>
    <row r="14" spans="1:16" ht="18" customHeight="1" x14ac:dyDescent="0.2">
      <c r="A14" s="28" t="s">
        <v>18</v>
      </c>
      <c r="B14" s="74">
        <f>'Kharif-pulses U'!B14+'Rabi pulses U'!B14</f>
        <v>84.6</v>
      </c>
      <c r="C14" s="74">
        <f>'Kharif-pulses U'!C14+'Rabi pulses U'!C14</f>
        <v>72.2</v>
      </c>
      <c r="D14" s="74">
        <f>'Kharif-pulses U'!D14+'Rabi pulses U'!D14</f>
        <v>72</v>
      </c>
      <c r="E14" s="74">
        <f>'Kharif-pulses U'!E14+'Rabi pulses U'!E14</f>
        <v>69.66</v>
      </c>
      <c r="F14" s="74">
        <f>'Kharif-pulses U'!F14+'Rabi pulses U'!F14</f>
        <v>87.57</v>
      </c>
      <c r="G14" s="74">
        <f>'Kharif-pulses U'!G14+'Rabi pulses U'!G14</f>
        <v>75.91</v>
      </c>
      <c r="H14" s="74">
        <f>'Kharif-pulses U'!H14+'Rabi pulses U'!H14</f>
        <v>69.355800000000002</v>
      </c>
      <c r="I14" s="74">
        <f>'Kharif-pulses U'!I14+'Rabi pulses U'!I14</f>
        <v>82.132999999999996</v>
      </c>
      <c r="J14" s="74">
        <f>'Kharif-pulses U'!J14+'Rabi pulses U'!J14</f>
        <v>64.381919999999994</v>
      </c>
      <c r="K14" s="74">
        <f>'Kharif-pulses U'!K14+'Rabi pulses U'!K14</f>
        <v>72.655100000000004</v>
      </c>
      <c r="L14" s="6">
        <f t="shared" si="1"/>
        <v>897.28132387706864</v>
      </c>
      <c r="M14" s="6">
        <f t="shared" si="2"/>
        <v>960.606648199446</v>
      </c>
      <c r="N14" s="6">
        <f t="shared" si="3"/>
        <v>1140.7361111111109</v>
      </c>
      <c r="O14" s="6">
        <f t="shared" si="4"/>
        <v>924.23083548664943</v>
      </c>
      <c r="P14" s="6">
        <f t="shared" si="5"/>
        <v>829.68025579536391</v>
      </c>
    </row>
    <row r="15" spans="1:16" ht="18" customHeight="1" x14ac:dyDescent="0.2">
      <c r="A15" s="28" t="s">
        <v>56</v>
      </c>
      <c r="B15" s="74">
        <f>'Kharif-pulses U'!B15+'Rabi pulses U'!B15</f>
        <v>31.377000000000002</v>
      </c>
      <c r="C15" s="74">
        <f>'Kharif-pulses U'!C15+'Rabi pulses U'!C15</f>
        <v>28.461999999999996</v>
      </c>
      <c r="D15" s="74">
        <f>'Kharif-pulses U'!D15+'Rabi pulses U'!D15</f>
        <v>27.856000000000002</v>
      </c>
      <c r="E15" s="74">
        <f>'Kharif-pulses U'!E15+'Rabi pulses U'!E15</f>
        <v>28.396999999999998</v>
      </c>
      <c r="F15" s="74">
        <f>'Kharif-pulses U'!F15+'Rabi pulses U'!F15</f>
        <v>34.051000000000002</v>
      </c>
      <c r="G15" s="74">
        <f>'Kharif-pulses U'!G15+'Rabi pulses U'!G15</f>
        <v>63.344332000000001</v>
      </c>
      <c r="H15" s="74">
        <f>'Kharif-pulses U'!H15+'Rabi pulses U'!H15</f>
        <v>57.455995000000001</v>
      </c>
      <c r="I15" s="74">
        <f>'Kharif-pulses U'!I15+'Rabi pulses U'!I15</f>
        <v>53.991619999999998</v>
      </c>
      <c r="J15" s="74">
        <f>'Kharif-pulses U'!J15+'Rabi pulses U'!J15</f>
        <v>55.192810000000001</v>
      </c>
      <c r="K15" s="74">
        <f>'Kharif-pulses U'!K15+'Rabi pulses U'!K15</f>
        <v>60.201782999999999</v>
      </c>
      <c r="L15" s="6">
        <f t="shared" si="1"/>
        <v>2018.8141632405902</v>
      </c>
      <c r="M15" s="6">
        <f t="shared" si="2"/>
        <v>2018.6914131122201</v>
      </c>
      <c r="N15" s="6">
        <f t="shared" si="3"/>
        <v>1938.2402354968406</v>
      </c>
      <c r="O15" s="6">
        <f t="shared" si="4"/>
        <v>1943.6141141669896</v>
      </c>
      <c r="P15" s="6">
        <f t="shared" si="5"/>
        <v>1767.9886934304425</v>
      </c>
    </row>
    <row r="16" spans="1:16" ht="18" customHeight="1" x14ac:dyDescent="0.2">
      <c r="A16" s="28" t="s">
        <v>19</v>
      </c>
      <c r="B16" s="74">
        <f>'Kharif-pulses U'!B16+'Rabi pulses U'!B16</f>
        <v>18.891999999999999</v>
      </c>
      <c r="C16" s="74">
        <f>'Kharif-pulses U'!C16+'Rabi pulses U'!C16</f>
        <v>19.244</v>
      </c>
      <c r="D16" s="74">
        <f>'Kharif-pulses U'!D16+'Rabi pulses U'!D16</f>
        <v>19.849999999999998</v>
      </c>
      <c r="E16" s="74">
        <f>'Kharif-pulses U'!E16+'Rabi pulses U'!E16</f>
        <v>17.259999999999998</v>
      </c>
      <c r="F16" s="74">
        <f>'Kharif-pulses U'!F16+'Rabi pulses U'!F16</f>
        <v>16.137</v>
      </c>
      <c r="G16" s="74">
        <f>'Kharif-pulses U'!G16+'Rabi pulses U'!G16</f>
        <v>10.174999999999999</v>
      </c>
      <c r="H16" s="74">
        <f>'Kharif-pulses U'!H16+'Rabi pulses U'!H16</f>
        <v>10.646360999999999</v>
      </c>
      <c r="I16" s="74">
        <f>'Kharif-pulses U'!I16+'Rabi pulses U'!I16</f>
        <v>10.615772999999999</v>
      </c>
      <c r="J16" s="74">
        <f>'Kharif-pulses U'!J16+'Rabi pulses U'!J16</f>
        <v>44.168405000000007</v>
      </c>
      <c r="K16" s="74">
        <f>'Kharif-pulses U'!K16+'Rabi pulses U'!K16</f>
        <v>10.07516</v>
      </c>
      <c r="L16" s="6">
        <f t="shared" si="1"/>
        <v>538.58776201566798</v>
      </c>
      <c r="M16" s="6">
        <f t="shared" si="2"/>
        <v>553.23014965703589</v>
      </c>
      <c r="N16" s="6">
        <f t="shared" si="3"/>
        <v>534.79964735516376</v>
      </c>
      <c r="O16" s="6">
        <f t="shared" si="4"/>
        <v>2559.0037659327932</v>
      </c>
      <c r="P16" s="6">
        <f t="shared" si="5"/>
        <v>624.35149036376026</v>
      </c>
    </row>
    <row r="17" spans="1:16" ht="18" customHeight="1" x14ac:dyDescent="0.2">
      <c r="A17" s="28" t="s">
        <v>83</v>
      </c>
      <c r="B17" s="74">
        <f>'Kharif-pulses U'!B17+'Rabi pulses U'!B17</f>
        <v>804.58799999999997</v>
      </c>
      <c r="C17" s="74">
        <f>'Kharif-pulses U'!C17+'Rabi pulses U'!C17</f>
        <v>793.05</v>
      </c>
      <c r="D17" s="74">
        <f>'Kharif-pulses U'!D17+'Rabi pulses U'!D17</f>
        <v>742.77499999999998</v>
      </c>
      <c r="E17" s="74">
        <f>'Kharif-pulses U'!E17+'Rabi pulses U'!E17</f>
        <v>791.48199999999997</v>
      </c>
      <c r="F17" s="74">
        <f>'Kharif-pulses U'!F17+'Rabi pulses U'!F17</f>
        <v>848.34299999999996</v>
      </c>
      <c r="G17" s="74">
        <f>'Kharif-pulses U'!G17+'Rabi pulses U'!G17</f>
        <v>806.49710800000003</v>
      </c>
      <c r="H17" s="74">
        <f>'Kharif-pulses U'!H17+'Rabi pulses U'!H17</f>
        <v>836.73020199999996</v>
      </c>
      <c r="I17" s="74">
        <f>'Kharif-pulses U'!I17+'Rabi pulses U'!I17</f>
        <v>735.16403700000001</v>
      </c>
      <c r="J17" s="74">
        <f>'Kharif-pulses U'!J17+'Rabi pulses U'!J17</f>
        <v>814.93962800000008</v>
      </c>
      <c r="K17" s="74">
        <f>'Kharif-pulses U'!K17+'Rabi pulses U'!K17</f>
        <v>905.35588200000007</v>
      </c>
      <c r="L17" s="6">
        <f t="shared" si="1"/>
        <v>1002.3727771231985</v>
      </c>
      <c r="M17" s="6">
        <f t="shared" si="2"/>
        <v>1055.0787491330937</v>
      </c>
      <c r="N17" s="6">
        <f t="shared" si="3"/>
        <v>989.75333984046324</v>
      </c>
      <c r="O17" s="6">
        <f t="shared" si="4"/>
        <v>1029.6376013604861</v>
      </c>
      <c r="P17" s="6">
        <f t="shared" si="5"/>
        <v>1067.2049890197716</v>
      </c>
    </row>
    <row r="18" spans="1:16" ht="18" customHeight="1" x14ac:dyDescent="0.2">
      <c r="A18" s="28" t="s">
        <v>5</v>
      </c>
      <c r="B18" s="74">
        <f>'Kharif-pulses U'!B18+'Rabi pulses U'!B18</f>
        <v>2967.7</v>
      </c>
      <c r="C18" s="74">
        <f>'Kharif-pulses U'!C18+'Rabi pulses U'!C18</f>
        <v>3023.7</v>
      </c>
      <c r="D18" s="74">
        <f>'Kharif-pulses U'!D18+'Rabi pulses U'!D18</f>
        <v>3356.66</v>
      </c>
      <c r="E18" s="74">
        <f>'Kharif-pulses U'!E18+'Rabi pulses U'!E18</f>
        <v>3111.5</v>
      </c>
      <c r="F18" s="74">
        <f>'Kharif-pulses U'!F18+'Rabi pulses U'!F18</f>
        <v>3126.0050000000001</v>
      </c>
      <c r="G18" s="74">
        <f>'Kharif-pulses U'!G18+'Rabi pulses U'!G18</f>
        <v>1737.9011</v>
      </c>
      <c r="H18" s="74">
        <f>'Kharif-pulses U'!H18+'Rabi pulses U'!H18</f>
        <v>1951.2137499999999</v>
      </c>
      <c r="I18" s="74">
        <f>'Kharif-pulses U'!I18+'Rabi pulses U'!I18</f>
        <v>1773.8565999999996</v>
      </c>
      <c r="J18" s="74">
        <f>'Kharif-pulses U'!J18+'Rabi pulses U'!J18</f>
        <v>2155.89</v>
      </c>
      <c r="K18" s="74">
        <f>'Kharif-pulses U'!K18+'Rabi pulses U'!K18</f>
        <v>2065.0340000000001</v>
      </c>
      <c r="L18" s="6">
        <f t="shared" si="1"/>
        <v>585.60538464130468</v>
      </c>
      <c r="M18" s="6">
        <f t="shared" si="2"/>
        <v>645.30666071369512</v>
      </c>
      <c r="N18" s="6">
        <f t="shared" si="3"/>
        <v>528.45882514165851</v>
      </c>
      <c r="O18" s="6">
        <f t="shared" si="4"/>
        <v>692.8780331030049</v>
      </c>
      <c r="P18" s="6">
        <f t="shared" si="5"/>
        <v>660.59843154441535</v>
      </c>
    </row>
    <row r="19" spans="1:16" ht="18" customHeight="1" x14ac:dyDescent="0.2">
      <c r="A19" s="28" t="s">
        <v>17</v>
      </c>
      <c r="B19" s="74">
        <f>'Kharif-pulses U'!B19+'Rabi pulses U'!B19</f>
        <v>1.738</v>
      </c>
      <c r="C19" s="74">
        <f>'Kharif-pulses U'!C19+'Rabi pulses U'!C19</f>
        <v>1.992</v>
      </c>
      <c r="D19" s="74">
        <f>'Kharif-pulses U'!D19+'Rabi pulses U'!D19</f>
        <v>2.4931999999999999</v>
      </c>
      <c r="E19" s="74">
        <f>'Kharif-pulses U'!E19+'Rabi pulses U'!E19</f>
        <v>2.2599999999999998</v>
      </c>
      <c r="F19" s="74">
        <f>'Kharif-pulses U'!F19+'Rabi pulses U'!F19</f>
        <v>2.0049999999999999</v>
      </c>
      <c r="G19" s="74">
        <f>'Kharif-pulses U'!G19+'Rabi pulses U'!G19</f>
        <v>1.7110000000000001</v>
      </c>
      <c r="H19" s="74">
        <f>'Kharif-pulses U'!H19+'Rabi pulses U'!H19</f>
        <v>2.045445</v>
      </c>
      <c r="I19" s="74">
        <f>'Kharif-pulses U'!I19+'Rabi pulses U'!I19</f>
        <v>2.3052602000000002</v>
      </c>
      <c r="J19" s="74">
        <f>'Kharif-pulses U'!J19+'Rabi pulses U'!J19</f>
        <v>2.183284</v>
      </c>
      <c r="K19" s="74">
        <f>'Kharif-pulses U'!K19+'Rabi pulses U'!K19</f>
        <v>1.923106</v>
      </c>
      <c r="L19" s="6">
        <f t="shared" si="1"/>
        <v>984.46490218642123</v>
      </c>
      <c r="M19" s="6">
        <f t="shared" si="2"/>
        <v>1026.8298192771083</v>
      </c>
      <c r="N19" s="6">
        <f t="shared" si="3"/>
        <v>924.61904379913369</v>
      </c>
      <c r="O19" s="6">
        <f t="shared" si="4"/>
        <v>966.05486725663729</v>
      </c>
      <c r="P19" s="6">
        <f t="shared" si="5"/>
        <v>959.15511221945133</v>
      </c>
    </row>
    <row r="20" spans="1:16" ht="18" customHeight="1" x14ac:dyDescent="0.2">
      <c r="A20" s="28" t="s">
        <v>6</v>
      </c>
      <c r="B20" s="74">
        <f>'Kharif-pulses U'!B20+'Rabi pulses U'!B20</f>
        <v>6664.17</v>
      </c>
      <c r="C20" s="74">
        <f>'Kharif-pulses U'!C20+'Rabi pulses U'!C20</f>
        <v>7480</v>
      </c>
      <c r="D20" s="74">
        <f>'Kharif-pulses U'!D20+'Rabi pulses U'!D20</f>
        <v>6600</v>
      </c>
      <c r="E20" s="74">
        <f>'Kharif-pulses U'!E20+'Rabi pulses U'!E20</f>
        <v>4757.2</v>
      </c>
      <c r="F20" s="74">
        <f>'Kharif-pulses U'!F20+'Rabi pulses U'!F20</f>
        <v>4867</v>
      </c>
      <c r="G20" s="74">
        <f>'Kharif-pulses U'!G20+'Rabi pulses U'!G20</f>
        <v>6291.2665799999995</v>
      </c>
      <c r="H20" s="74">
        <f>'Kharif-pulses U'!H20+'Rabi pulses U'!H20</f>
        <v>8111.584499999999</v>
      </c>
      <c r="I20" s="74">
        <f>'Kharif-pulses U'!I20+'Rabi pulses U'!I20</f>
        <v>6045.4080000000004</v>
      </c>
      <c r="J20" s="74">
        <f>'Kharif-pulses U'!J20+'Rabi pulses U'!J20</f>
        <v>4108.4080000000004</v>
      </c>
      <c r="K20" s="74">
        <f>'Kharif-pulses U'!K20+'Rabi pulses U'!K20</f>
        <v>5294.7009999999991</v>
      </c>
      <c r="L20" s="6">
        <f t="shared" si="1"/>
        <v>944.04353130247262</v>
      </c>
      <c r="M20" s="6">
        <f t="shared" si="2"/>
        <v>1084.4364304812832</v>
      </c>
      <c r="N20" s="6">
        <f t="shared" si="3"/>
        <v>915.97090909090912</v>
      </c>
      <c r="O20" s="6">
        <f t="shared" si="4"/>
        <v>863.61893550828233</v>
      </c>
      <c r="P20" s="6">
        <f t="shared" si="5"/>
        <v>1087.8777480994449</v>
      </c>
    </row>
    <row r="21" spans="1:16" ht="18" customHeight="1" x14ac:dyDescent="0.2">
      <c r="A21" s="28" t="s">
        <v>7</v>
      </c>
      <c r="B21" s="74">
        <f>'Kharif-pulses U'!B21+'Rabi pulses U'!B21</f>
        <v>4358.3</v>
      </c>
      <c r="C21" s="74">
        <f>'Kharif-pulses U'!C21+'Rabi pulses U'!C21</f>
        <v>4209</v>
      </c>
      <c r="D21" s="74">
        <f>'Kharif-pulses U'!D21+'Rabi pulses U'!D21</f>
        <v>4002.2300000000005</v>
      </c>
      <c r="E21" s="74">
        <f>'Kharif-pulses U'!E21+'Rabi pulses U'!E21</f>
        <v>4192.37</v>
      </c>
      <c r="F21" s="74">
        <f>'Kharif-pulses U'!F21+'Rabi pulses U'!F21</f>
        <v>4528.92</v>
      </c>
      <c r="G21" s="74">
        <f>'Kharif-pulses U'!G21+'Rabi pulses U'!G21</f>
        <v>3768.0579399999997</v>
      </c>
      <c r="H21" s="74">
        <f>'Kharif-pulses U'!H21+'Rabi pulses U'!H21</f>
        <v>3347.7613999999999</v>
      </c>
      <c r="I21" s="74">
        <f>'Kharif-pulses U'!I21+'Rabi pulses U'!I21</f>
        <v>2682.5365200000001</v>
      </c>
      <c r="J21" s="74">
        <f>'Kharif-pulses U'!J21+'Rabi pulses U'!J21</f>
        <v>3736.0000800000007</v>
      </c>
      <c r="K21" s="74">
        <f>'Kharif-pulses U'!K21+'Rabi pulses U'!K21</f>
        <v>4321.2327800000003</v>
      </c>
      <c r="L21" s="6">
        <f t="shared" si="1"/>
        <v>864.57057568317907</v>
      </c>
      <c r="M21" s="6">
        <f t="shared" si="2"/>
        <v>795.38165835115228</v>
      </c>
      <c r="N21" s="6">
        <f t="shared" si="3"/>
        <v>670.26045979366495</v>
      </c>
      <c r="O21" s="6">
        <f t="shared" si="4"/>
        <v>891.14273787857474</v>
      </c>
      <c r="P21" s="6">
        <f t="shared" si="5"/>
        <v>954.14199853386685</v>
      </c>
    </row>
    <row r="22" spans="1:16" ht="18" customHeight="1" x14ac:dyDescent="0.2">
      <c r="A22" s="28" t="s">
        <v>29</v>
      </c>
      <c r="B22" s="74">
        <f>'Kharif-pulses U'!B22+'Rabi pulses U'!B22</f>
        <v>31.130000000000003</v>
      </c>
      <c r="C22" s="74">
        <f>'Kharif-pulses U'!C22+'Rabi pulses U'!C22</f>
        <v>31.13</v>
      </c>
      <c r="D22" s="74">
        <f>'Kharif-pulses U'!D22+'Rabi pulses U'!D22</f>
        <v>31.070000000000004</v>
      </c>
      <c r="E22" s="74">
        <f>'Kharif-pulses U'!E22+'Rabi pulses U'!E22</f>
        <v>27.45</v>
      </c>
      <c r="F22" s="74">
        <f>'Kharif-pulses U'!F22+'Rabi pulses U'!F22</f>
        <v>31.11</v>
      </c>
      <c r="G22" s="74">
        <f>'Kharif-pulses U'!G22+'Rabi pulses U'!G22</f>
        <v>30.289999999999996</v>
      </c>
      <c r="H22" s="74">
        <f>'Kharif-pulses U'!H22+'Rabi pulses U'!H22</f>
        <v>30.03434</v>
      </c>
      <c r="I22" s="74">
        <f>'Kharif-pulses U'!I22+'Rabi pulses U'!I22</f>
        <v>29.510580000000001</v>
      </c>
      <c r="J22" s="74">
        <f>'Kharif-pulses U'!J22+'Rabi pulses U'!J22</f>
        <v>25.186788</v>
      </c>
      <c r="K22" s="74">
        <f>'Kharif-pulses U'!K22+'Rabi pulses U'!K22</f>
        <v>29.37433</v>
      </c>
      <c r="L22" s="6">
        <f t="shared" si="1"/>
        <v>973.01638291037557</v>
      </c>
      <c r="M22" s="6">
        <f t="shared" si="2"/>
        <v>964.80372630902662</v>
      </c>
      <c r="N22" s="6">
        <f t="shared" si="3"/>
        <v>949.80946250402314</v>
      </c>
      <c r="O22" s="6">
        <f t="shared" si="4"/>
        <v>917.55147540983603</v>
      </c>
      <c r="P22" s="6">
        <f t="shared" si="5"/>
        <v>944.20861459337834</v>
      </c>
    </row>
    <row r="23" spans="1:16" ht="18" customHeight="1" x14ac:dyDescent="0.2">
      <c r="A23" s="28" t="s">
        <v>26</v>
      </c>
      <c r="B23" s="74">
        <f>'Kharif-pulses U'!B23+'Rabi pulses U'!B23</f>
        <v>8.19</v>
      </c>
      <c r="C23" s="74">
        <f>'Kharif-pulses U'!C23+'Rabi pulses U'!C23</f>
        <v>8.282</v>
      </c>
      <c r="D23" s="74">
        <f>'Kharif-pulses U'!D23+'Rabi pulses U'!D23</f>
        <v>9.5749999999999993</v>
      </c>
      <c r="E23" s="74">
        <f>'Kharif-pulses U'!E23+'Rabi pulses U'!E23</f>
        <v>8.32</v>
      </c>
      <c r="F23" s="74">
        <f>'Kharif-pulses U'!F23+'Rabi pulses U'!F23</f>
        <v>8.34</v>
      </c>
      <c r="G23" s="74">
        <f>'Kharif-pulses U'!G23+'Rabi pulses U'!G23</f>
        <v>11.84</v>
      </c>
      <c r="H23" s="74">
        <f>'Kharif-pulses U'!H23+'Rabi pulses U'!H23</f>
        <v>11.917274000000001</v>
      </c>
      <c r="I23" s="74">
        <f>'Kharif-pulses U'!I23+'Rabi pulses U'!I23</f>
        <v>13.371411000000002</v>
      </c>
      <c r="J23" s="74">
        <f>'Kharif-pulses U'!J23+'Rabi pulses U'!J23</f>
        <v>12.015560000000001</v>
      </c>
      <c r="K23" s="74">
        <f>'Kharif-pulses U'!K23+'Rabi pulses U'!K23</f>
        <v>12.041646</v>
      </c>
      <c r="L23" s="6">
        <f t="shared" si="1"/>
        <v>1445.6654456654455</v>
      </c>
      <c r="M23" s="6">
        <f t="shared" si="2"/>
        <v>1438.9367302583917</v>
      </c>
      <c r="N23" s="6">
        <f t="shared" si="3"/>
        <v>1396.4920104438645</v>
      </c>
      <c r="O23" s="6">
        <f t="shared" si="4"/>
        <v>1444.1778846153845</v>
      </c>
      <c r="P23" s="6">
        <f t="shared" si="5"/>
        <v>1443.8424460431656</v>
      </c>
    </row>
    <row r="24" spans="1:16" ht="18" customHeight="1" x14ac:dyDescent="0.2">
      <c r="A24" s="28" t="s">
        <v>30</v>
      </c>
      <c r="B24" s="74">
        <f>'Kharif-pulses U'!B24+'Rabi pulses U'!B24</f>
        <v>3.53</v>
      </c>
      <c r="C24" s="74">
        <f>'Kharif-pulses U'!C24+'Rabi pulses U'!C24</f>
        <v>3.3220999999999998</v>
      </c>
      <c r="D24" s="74">
        <f>'Kharif-pulses U'!D24+'Rabi pulses U'!D24</f>
        <v>3.7679999999999998</v>
      </c>
      <c r="E24" s="74">
        <f>'Kharif-pulses U'!E24+'Rabi pulses U'!E24</f>
        <v>4.0510000000000002</v>
      </c>
      <c r="F24" s="74">
        <f>'Kharif-pulses U'!F24+'Rabi pulses U'!F24</f>
        <v>4.2869999999999999</v>
      </c>
      <c r="G24" s="74">
        <f>'Kharif-pulses U'!G24+'Rabi pulses U'!G24</f>
        <v>4.774</v>
      </c>
      <c r="H24" s="74">
        <f>'Kharif-pulses U'!H24+'Rabi pulses U'!H24</f>
        <v>5.1308999999999996</v>
      </c>
      <c r="I24" s="74">
        <f>'Kharif-pulses U'!I24+'Rabi pulses U'!I24</f>
        <v>5.93</v>
      </c>
      <c r="J24" s="74">
        <f>'Kharif-pulses U'!J24+'Rabi pulses U'!J24</f>
        <v>5.4817800000000005</v>
      </c>
      <c r="K24" s="74">
        <f>'Kharif-pulses U'!K24+'Rabi pulses U'!K24</f>
        <v>5.9361199999999998</v>
      </c>
      <c r="L24" s="6">
        <f t="shared" si="1"/>
        <v>1352.4079320113315</v>
      </c>
      <c r="M24" s="6">
        <f t="shared" si="2"/>
        <v>1544.4748803467685</v>
      </c>
      <c r="N24" s="6">
        <f t="shared" si="3"/>
        <v>1573.7791932059449</v>
      </c>
      <c r="O24" s="6">
        <f t="shared" si="4"/>
        <v>1353.1918044927181</v>
      </c>
      <c r="P24" s="6">
        <f t="shared" si="5"/>
        <v>1384.6792628878004</v>
      </c>
    </row>
    <row r="25" spans="1:16" ht="18" customHeight="1" x14ac:dyDescent="0.2">
      <c r="A25" s="28" t="s">
        <v>20</v>
      </c>
      <c r="B25" s="74">
        <f>'Kharif-pulses U'!B25+'Rabi pulses U'!B25</f>
        <v>39.1</v>
      </c>
      <c r="C25" s="74">
        <f>'Kharif-pulses U'!C25+'Rabi pulses U'!C25</f>
        <v>39.730000000000004</v>
      </c>
      <c r="D25" s="74">
        <f>'Kharif-pulses U'!D25+'Rabi pulses U'!D25</f>
        <v>37.72</v>
      </c>
      <c r="E25" s="74">
        <f>'Kharif-pulses U'!E25+'Rabi pulses U'!E25</f>
        <v>40.31</v>
      </c>
      <c r="F25" s="74">
        <f>'Kharif-pulses U'!F25+'Rabi pulses U'!F25</f>
        <v>40.44</v>
      </c>
      <c r="G25" s="74">
        <f>'Kharif-pulses U'!G25+'Rabi pulses U'!G25</f>
        <v>44.940000000000005</v>
      </c>
      <c r="H25" s="74">
        <f>'Kharif-pulses U'!H25+'Rabi pulses U'!H25</f>
        <v>46.060570000000006</v>
      </c>
      <c r="I25" s="74">
        <f>'Kharif-pulses U'!I25+'Rabi pulses U'!I25</f>
        <v>46.400689999999997</v>
      </c>
      <c r="J25" s="74">
        <f>'Kharif-pulses U'!J25+'Rabi pulses U'!J25</f>
        <v>46.781989999999993</v>
      </c>
      <c r="K25" s="74">
        <f>'Kharif-pulses U'!K25+'Rabi pulses U'!K25</f>
        <v>47.140959999999993</v>
      </c>
      <c r="L25" s="6">
        <f t="shared" si="1"/>
        <v>1149.3606138107418</v>
      </c>
      <c r="M25" s="6">
        <f t="shared" si="2"/>
        <v>1159.3397936068461</v>
      </c>
      <c r="N25" s="6">
        <f t="shared" si="3"/>
        <v>1230.1349416755036</v>
      </c>
      <c r="O25" s="6">
        <f t="shared" si="4"/>
        <v>1160.5554452989331</v>
      </c>
      <c r="P25" s="6">
        <f t="shared" si="5"/>
        <v>1165.7012858555884</v>
      </c>
    </row>
    <row r="26" spans="1:16" ht="18" customHeight="1" x14ac:dyDescent="0.2">
      <c r="A26" s="28" t="s">
        <v>107</v>
      </c>
      <c r="B26" s="74">
        <f>'Kharif-pulses U'!B26+'Rabi pulses U'!B26</f>
        <v>874.6400000000001</v>
      </c>
      <c r="C26" s="74">
        <f>'Kharif-pulses U'!C26+'Rabi pulses U'!C26</f>
        <v>772.89</v>
      </c>
      <c r="D26" s="74">
        <f>'Kharif-pulses U'!D26+'Rabi pulses U'!D26</f>
        <v>718.15000000000009</v>
      </c>
      <c r="E26" s="74">
        <f>'Kharif-pulses U'!E26+'Rabi pulses U'!E26</f>
        <v>746.79</v>
      </c>
      <c r="F26" s="74">
        <f>'Kharif-pulses U'!F26+'Rabi pulses U'!F26</f>
        <v>778.79</v>
      </c>
      <c r="G26" s="74">
        <f>'Kharif-pulses U'!G26+'Rabi pulses U'!G26</f>
        <v>479.06999999999994</v>
      </c>
      <c r="H26" s="74">
        <f>'Kharif-pulses U'!H26+'Rabi pulses U'!H26</f>
        <v>429.62438999999995</v>
      </c>
      <c r="I26" s="74">
        <f>'Kharif-pulses U'!I26+'Rabi pulses U'!I26</f>
        <v>412.09332999999998</v>
      </c>
      <c r="J26" s="74">
        <f>'Kharif-pulses U'!J26+'Rabi pulses U'!J26</f>
        <v>432.4572</v>
      </c>
      <c r="K26" s="74">
        <f>'Kharif-pulses U'!K26+'Rabi pulses U'!K26</f>
        <v>431.16511000000003</v>
      </c>
      <c r="L26" s="6">
        <f t="shared" si="1"/>
        <v>547.73392481478083</v>
      </c>
      <c r="M26" s="6">
        <f t="shared" si="2"/>
        <v>555.86744556146402</v>
      </c>
      <c r="N26" s="6">
        <f t="shared" si="3"/>
        <v>573.82626192299642</v>
      </c>
      <c r="O26" s="6">
        <f t="shared" si="4"/>
        <v>579.08809705539716</v>
      </c>
      <c r="P26" s="6">
        <f t="shared" si="5"/>
        <v>553.63462550880217</v>
      </c>
    </row>
    <row r="27" spans="1:16" ht="18" customHeight="1" x14ac:dyDescent="0.2">
      <c r="A27" s="28" t="s">
        <v>21</v>
      </c>
      <c r="B27" s="74">
        <f>'Kharif-pulses U'!B27+'Rabi pulses U'!B27</f>
        <v>37.200000000000003</v>
      </c>
      <c r="C27" s="74">
        <f>'Kharif-pulses U'!C27+'Rabi pulses U'!C27</f>
        <v>30.2</v>
      </c>
      <c r="D27" s="74">
        <f>'Kharif-pulses U'!D27+'Rabi pulses U'!D27</f>
        <v>29.499999999999996</v>
      </c>
      <c r="E27" s="74">
        <f>'Kharif-pulses U'!E27+'Rabi pulses U'!E27</f>
        <v>33.5</v>
      </c>
      <c r="F27" s="74">
        <f>'Kharif-pulses U'!F27+'Rabi pulses U'!F27</f>
        <v>32</v>
      </c>
      <c r="G27" s="74">
        <f>'Kharif-pulses U'!G27+'Rabi pulses U'!G27</f>
        <v>33</v>
      </c>
      <c r="H27" s="74">
        <f>'Kharif-pulses U'!H27+'Rabi pulses U'!H27</f>
        <v>26.4572</v>
      </c>
      <c r="I27" s="74">
        <f>'Kharif-pulses U'!I27+'Rabi pulses U'!I27</f>
        <v>27.6706</v>
      </c>
      <c r="J27" s="74">
        <f>'Kharif-pulses U'!J27+'Rabi pulses U'!J27</f>
        <v>29.195</v>
      </c>
      <c r="K27" s="74">
        <f>'Kharif-pulses U'!K27+'Rabi pulses U'!K27</f>
        <v>31.075199999999999</v>
      </c>
      <c r="L27" s="6">
        <f t="shared" si="1"/>
        <v>887.0967741935483</v>
      </c>
      <c r="M27" s="6">
        <f t="shared" si="2"/>
        <v>876.06622516556297</v>
      </c>
      <c r="N27" s="6">
        <f t="shared" si="3"/>
        <v>937.98644067796624</v>
      </c>
      <c r="O27" s="6">
        <f t="shared" si="4"/>
        <v>871.49253731343276</v>
      </c>
      <c r="P27" s="6">
        <f t="shared" si="5"/>
        <v>971.09999999999991</v>
      </c>
    </row>
    <row r="28" spans="1:16" ht="18" customHeight="1" x14ac:dyDescent="0.2">
      <c r="A28" s="28" t="s">
        <v>22</v>
      </c>
      <c r="B28" s="303">
        <f>'Tur U'!B26+'Gram U'!B26+Urad!C52+Moong!C54+Lentil!B21+'OKP U'!C87+'ORP U'!C77</f>
        <v>5271.1680000000006</v>
      </c>
      <c r="C28" s="303">
        <f>'Tur U'!C26+'Gram U'!C26+Urad!D52+Moong!D54+Lentil!C21+'OKP U'!D87+'ORP U'!D77</f>
        <v>5329.7430000000004</v>
      </c>
      <c r="D28" s="303">
        <f>'Tur U'!D26+'Gram U'!D26+Urad!E52+Moong!E54+Lentil!D21+'OKP U'!E87+'ORP U'!E77</f>
        <v>5907.6220000000003</v>
      </c>
      <c r="E28" s="303">
        <f>'Tur U'!E26+'Gram U'!E26+Urad!F52+Moong!F54+Lentil!E21+'OKP U'!F87+'ORP U'!F77</f>
        <v>6339.5950000000003</v>
      </c>
      <c r="F28" s="303">
        <f>'Tur U'!F26+'Gram U'!F26+Urad!G52+Moong!G54+Lentil!F21+'OKP U'!G87+'ORP U'!G77</f>
        <v>6145.4490000000014</v>
      </c>
      <c r="G28" s="74">
        <f>'Kharif-pulses U'!G28+'Rabi pulses U'!G28</f>
        <v>3181.1930000000002</v>
      </c>
      <c r="H28" s="74">
        <f>'Kharif-pulses U'!H28+'Rabi pulses U'!H28</f>
        <v>3405.3711590000003</v>
      </c>
      <c r="I28" s="74">
        <f>'Kharif-pulses U'!I28+'Rabi pulses U'!I28</f>
        <v>3759.3815919999997</v>
      </c>
      <c r="J28" s="74">
        <f>'Kharif-pulses U'!J28+'Rabi pulses U'!J28</f>
        <v>4497.12709</v>
      </c>
      <c r="K28" s="74">
        <f>'Kharif-pulses U'!K28+'Rabi pulses U'!K28</f>
        <v>4252.0167139999994</v>
      </c>
      <c r="L28" s="6">
        <f t="shared" si="1"/>
        <v>603.50817883247123</v>
      </c>
      <c r="M28" s="6">
        <f t="shared" si="2"/>
        <v>638.937216860175</v>
      </c>
      <c r="N28" s="6">
        <f t="shared" si="3"/>
        <v>636.36122825732582</v>
      </c>
      <c r="O28" s="6">
        <f t="shared" si="4"/>
        <v>709.37135416379112</v>
      </c>
      <c r="P28" s="6">
        <f t="shared" si="5"/>
        <v>691.89683520276526</v>
      </c>
    </row>
    <row r="29" spans="1:16" ht="18" customHeight="1" x14ac:dyDescent="0.2">
      <c r="A29" s="28" t="s">
        <v>84</v>
      </c>
      <c r="B29" s="74">
        <f>'Kharif-pulses U'!B29+'Rabi pulses U'!B29</f>
        <v>5.6779999999999999</v>
      </c>
      <c r="C29" s="74">
        <f>'Kharif-pulses U'!C29+'Rabi pulses U'!C29</f>
        <v>5.3469999999999995</v>
      </c>
      <c r="D29" s="74">
        <f>'Kharif-pulses U'!D29+'Rabi pulses U'!D29</f>
        <v>5.0009999999999994</v>
      </c>
      <c r="E29" s="74">
        <f>'Kharif-pulses U'!E29+'Rabi pulses U'!E29</f>
        <v>5.2390000000000008</v>
      </c>
      <c r="F29" s="74">
        <f>'Kharif-pulses U'!F29+'Rabi pulses U'!F29</f>
        <v>5.1389999999999993</v>
      </c>
      <c r="G29" s="74">
        <f>'Kharif-pulses U'!G29+'Rabi pulses U'!G29</f>
        <v>5.45</v>
      </c>
      <c r="H29" s="74">
        <f>'Kharif-pulses U'!H29+'Rabi pulses U'!H29</f>
        <v>5.1013200000000003</v>
      </c>
      <c r="I29" s="74">
        <f>'Kharif-pulses U'!I29+'Rabi pulses U'!I29</f>
        <v>4.8050479999999993</v>
      </c>
      <c r="J29" s="74">
        <f>'Kharif-pulses U'!J29+'Rabi pulses U'!J29</f>
        <v>5.0375040000000002</v>
      </c>
      <c r="K29" s="74">
        <f>'Kharif-pulses U'!K29+'Rabi pulses U'!K29</f>
        <v>4.9527000000000001</v>
      </c>
      <c r="L29" s="6">
        <f t="shared" si="1"/>
        <v>959.84501585065163</v>
      </c>
      <c r="M29" s="6">
        <f t="shared" si="2"/>
        <v>954.05273985412396</v>
      </c>
      <c r="N29" s="6">
        <f t="shared" si="3"/>
        <v>960.81743651269744</v>
      </c>
      <c r="O29" s="6">
        <f t="shared" si="4"/>
        <v>961.53922504294701</v>
      </c>
      <c r="P29" s="6">
        <f t="shared" si="5"/>
        <v>963.74781085814379</v>
      </c>
    </row>
    <row r="30" spans="1:16" ht="18" customHeight="1" x14ac:dyDescent="0.2">
      <c r="A30" s="28" t="s">
        <v>11</v>
      </c>
      <c r="B30" s="74">
        <f>'Kharif-pulses U'!B30+'Rabi pulses U'!B30</f>
        <v>785.08</v>
      </c>
      <c r="C30" s="74">
        <f>'Kharif-pulses U'!C30+'Rabi pulses U'!C30</f>
        <v>824.71</v>
      </c>
      <c r="D30" s="74">
        <f>'Kharif-pulses U'!D30+'Rabi pulses U'!D30</f>
        <v>850.54</v>
      </c>
      <c r="E30" s="74">
        <f>'Kharif-pulses U'!E30+'Rabi pulses U'!E30</f>
        <v>823.56000000000006</v>
      </c>
      <c r="F30" s="74">
        <f>'Kharif-pulses U'!F30+'Rabi pulses U'!F30</f>
        <v>802.91</v>
      </c>
      <c r="G30" s="74">
        <f>'Kharif-pulses U'!G30+'Rabi pulses U'!G30</f>
        <v>427.06619799999999</v>
      </c>
      <c r="H30" s="74">
        <f>'Kharif-pulses U'!H30+'Rabi pulses U'!H30</f>
        <v>556.33938000000001</v>
      </c>
      <c r="I30" s="74">
        <f>'Kharif-pulses U'!I30+'Rabi pulses U'!I30</f>
        <v>551.21353999999997</v>
      </c>
      <c r="J30" s="74">
        <f>'Kharif-pulses U'!J30+'Rabi pulses U'!J30</f>
        <v>605.4076</v>
      </c>
      <c r="K30" s="74">
        <f>'Kharif-pulses U'!K30+'Rabi pulses U'!K30</f>
        <v>472.46908139999994</v>
      </c>
      <c r="L30" s="6">
        <f t="shared" si="1"/>
        <v>543.97793600652153</v>
      </c>
      <c r="M30" s="6">
        <f t="shared" si="2"/>
        <v>674.58789150125494</v>
      </c>
      <c r="N30" s="6">
        <f t="shared" si="3"/>
        <v>648.07479953911627</v>
      </c>
      <c r="O30" s="6">
        <f t="shared" si="4"/>
        <v>735.11049589586662</v>
      </c>
      <c r="P30" s="6">
        <f t="shared" si="5"/>
        <v>588.4458798620019</v>
      </c>
    </row>
    <row r="31" spans="1:16" ht="18" customHeight="1" x14ac:dyDescent="0.2">
      <c r="A31" s="28" t="s">
        <v>109</v>
      </c>
      <c r="B31" s="74">
        <f>'Kharif-pulses U'!B31+'Rabi pulses U'!B31</f>
        <v>694</v>
      </c>
      <c r="C31" s="74">
        <f>'Kharif-pulses U'!C31+'Rabi pulses U'!C31</f>
        <v>572</v>
      </c>
      <c r="D31" s="74">
        <f>'Kharif-pulses U'!D31+'Rabi pulses U'!D31</f>
        <v>511</v>
      </c>
      <c r="E31" s="74">
        <f>'Kharif-pulses U'!E31+'Rabi pulses U'!E31</f>
        <v>517</v>
      </c>
      <c r="F31" s="74">
        <f>'Kharif-pulses U'!F31+'Rabi pulses U'!F31</f>
        <v>591.70000000000005</v>
      </c>
      <c r="G31" s="74">
        <f>'Kharif-pulses U'!G31+'Rabi pulses U'!G31</f>
        <v>536</v>
      </c>
      <c r="H31" s="74">
        <f>'Kharif-pulses U'!H31+'Rabi pulses U'!H31</f>
        <v>514.01</v>
      </c>
      <c r="I31" s="74">
        <f>'Kharif-pulses U'!I31+'Rabi pulses U'!I31</f>
        <v>440.053</v>
      </c>
      <c r="J31" s="74">
        <f>'Kharif-pulses U'!J31+'Rabi pulses U'!J31</f>
        <v>549.18299999999999</v>
      </c>
      <c r="K31" s="74">
        <f>'Kharif-pulses U'!K31+'Rabi pulses U'!K31</f>
        <v>589.74649999999997</v>
      </c>
      <c r="L31" s="6">
        <f t="shared" si="1"/>
        <v>772.33429394812686</v>
      </c>
      <c r="M31" s="6">
        <f t="shared" si="2"/>
        <v>898.61888111888106</v>
      </c>
      <c r="N31" s="6">
        <f t="shared" si="3"/>
        <v>861.16046966731892</v>
      </c>
      <c r="O31" s="6">
        <f t="shared" si="4"/>
        <v>1062.2495164410057</v>
      </c>
      <c r="P31" s="6">
        <f t="shared" si="5"/>
        <v>996.69849585938812</v>
      </c>
    </row>
    <row r="32" spans="1:16" ht="18" customHeight="1" x14ac:dyDescent="0.2">
      <c r="A32" s="28" t="s">
        <v>85</v>
      </c>
      <c r="B32" s="74">
        <f>'Kharif-pulses U'!B32+'Rabi pulses U'!B32</f>
        <v>24.326999999999998</v>
      </c>
      <c r="C32" s="74">
        <f>'Kharif-pulses U'!C32+'Rabi pulses U'!C32</f>
        <v>27.234000000000002</v>
      </c>
      <c r="D32" s="74">
        <f>'Kharif-pulses U'!D32+'Rabi pulses U'!D32</f>
        <v>25.850999999999999</v>
      </c>
      <c r="E32" s="74">
        <f>'Kharif-pulses U'!E32+'Rabi pulses U'!E32</f>
        <v>24.57</v>
      </c>
      <c r="F32" s="74">
        <f>'Kharif-pulses U'!F32+'Rabi pulses U'!F32</f>
        <v>26.145</v>
      </c>
      <c r="G32" s="74">
        <f>'Kharif-pulses U'!G32+'Rabi pulses U'!G32</f>
        <v>23.160999999999998</v>
      </c>
      <c r="H32" s="74">
        <f>'Kharif-pulses U'!H32+'Rabi pulses U'!H32</f>
        <v>19.327112</v>
      </c>
      <c r="I32" s="74">
        <f>'Kharif-pulses U'!I32+'Rabi pulses U'!I32</f>
        <v>18.913446</v>
      </c>
      <c r="J32" s="74">
        <f>'Kharif-pulses U'!J32+'Rabi pulses U'!J32</f>
        <v>18.665799999999997</v>
      </c>
      <c r="K32" s="74">
        <f>'Kharif-pulses U'!K32+'Rabi pulses U'!K32</f>
        <v>20.264203000000002</v>
      </c>
      <c r="L32" s="6">
        <f t="shared" si="1"/>
        <v>952.0697167755992</v>
      </c>
      <c r="M32" s="6">
        <f t="shared" si="2"/>
        <v>709.66850260703529</v>
      </c>
      <c r="N32" s="6">
        <f t="shared" si="3"/>
        <v>731.63305094580494</v>
      </c>
      <c r="O32" s="6">
        <f t="shared" si="4"/>
        <v>759.69881969881953</v>
      </c>
      <c r="P32" s="6">
        <f t="shared" si="5"/>
        <v>775.06991776630343</v>
      </c>
    </row>
    <row r="33" spans="1:16" ht="18" customHeight="1" x14ac:dyDescent="0.2">
      <c r="A33" s="28" t="s">
        <v>12</v>
      </c>
      <c r="B33" s="74">
        <f>'Kharif-pulses U'!B33+'Rabi pulses U'!B33</f>
        <v>2509</v>
      </c>
      <c r="C33" s="74">
        <f>'Kharif-pulses U'!C33+'Rabi pulses U'!C33</f>
        <v>2262</v>
      </c>
      <c r="D33" s="74">
        <f>'Kharif-pulses U'!D33+'Rabi pulses U'!D33</f>
        <v>2291</v>
      </c>
      <c r="E33" s="74">
        <f>'Kharif-pulses U'!E33+'Rabi pulses U'!E33</f>
        <v>2370</v>
      </c>
      <c r="F33" s="74">
        <f>'Kharif-pulses U'!F33+'Rabi pulses U'!F33</f>
        <v>2380</v>
      </c>
      <c r="G33" s="74">
        <f>'Kharif-pulses U'!G33+'Rabi pulses U'!G33</f>
        <v>2184.0650000000001</v>
      </c>
      <c r="H33" s="74">
        <f>'Kharif-pulses U'!H33+'Rabi pulses U'!H33</f>
        <v>2199.9859999999999</v>
      </c>
      <c r="I33" s="74">
        <f>'Kharif-pulses U'!I33+'Rabi pulses U'!I33</f>
        <v>2408.009</v>
      </c>
      <c r="J33" s="74">
        <f>'Kharif-pulses U'!J33+'Rabi pulses U'!J33</f>
        <v>2447.3180000000002</v>
      </c>
      <c r="K33" s="74">
        <f>'Kharif-pulses U'!K33+'Rabi pulses U'!K33</f>
        <v>2475.8940000000002</v>
      </c>
      <c r="L33" s="6">
        <f t="shared" si="1"/>
        <v>870.49222797927462</v>
      </c>
      <c r="M33" s="6">
        <f t="shared" si="2"/>
        <v>972.58443854995573</v>
      </c>
      <c r="N33" s="6">
        <f t="shared" si="3"/>
        <v>1051.0733304233959</v>
      </c>
      <c r="O33" s="6">
        <f t="shared" si="4"/>
        <v>1032.6236286919832</v>
      </c>
      <c r="P33" s="6">
        <f t="shared" si="5"/>
        <v>1040.2915966386556</v>
      </c>
    </row>
    <row r="34" spans="1:16" ht="18" customHeight="1" x14ac:dyDescent="0.2">
      <c r="A34" s="28" t="s">
        <v>90</v>
      </c>
      <c r="B34" s="74">
        <f>'Kharif-pulses U'!B34+'Rabi pulses U'!B34</f>
        <v>61</v>
      </c>
      <c r="C34" s="74">
        <f>'Kharif-pulses U'!C34+'Rabi pulses U'!C34</f>
        <v>62</v>
      </c>
      <c r="D34" s="74">
        <f>'Kharif-pulses U'!D34+'Rabi pulses U'!D34</f>
        <v>60</v>
      </c>
      <c r="E34" s="74">
        <f>'Kharif-pulses U'!E34+'Rabi pulses U'!E34</f>
        <v>60</v>
      </c>
      <c r="F34" s="74">
        <f>'Kharif-pulses U'!F34+'Rabi pulses U'!F34</f>
        <v>63</v>
      </c>
      <c r="G34" s="74">
        <f>'Kharif-pulses U'!G34+'Rabi pulses U'!G34</f>
        <v>53</v>
      </c>
      <c r="H34" s="74">
        <f>'Kharif-pulses U'!H34+'Rabi pulses U'!H34</f>
        <v>54.194000000000003</v>
      </c>
      <c r="I34" s="74">
        <f>'Kharif-pulses U'!I34+'Rabi pulses U'!I34</f>
        <v>55.333000000000006</v>
      </c>
      <c r="J34" s="74">
        <f>'Kharif-pulses U'!J34+'Rabi pulses U'!J34</f>
        <v>57.786000000000001</v>
      </c>
      <c r="K34" s="74">
        <f>'Kharif-pulses U'!K34+'Rabi pulses U'!K34</f>
        <v>61.305999999999997</v>
      </c>
      <c r="L34" s="6">
        <f t="shared" si="1"/>
        <v>868.85245901639337</v>
      </c>
      <c r="M34" s="6">
        <f t="shared" si="2"/>
        <v>874.09677419354853</v>
      </c>
      <c r="N34" s="6">
        <f t="shared" si="3"/>
        <v>922.21666666666681</v>
      </c>
      <c r="O34" s="6">
        <f t="shared" si="4"/>
        <v>963.1</v>
      </c>
      <c r="P34" s="6">
        <f t="shared" si="5"/>
        <v>973.11111111111109</v>
      </c>
    </row>
    <row r="35" spans="1:16" ht="18" customHeight="1" x14ac:dyDescent="0.2">
      <c r="A35" s="28" t="s">
        <v>13</v>
      </c>
      <c r="B35" s="74">
        <f>'Kharif-pulses U'!B35+'Rabi pulses U'!B35</f>
        <v>268.11500000000001</v>
      </c>
      <c r="C35" s="74">
        <f>'Kharif-pulses U'!C35+'Rabi pulses U'!C35</f>
        <v>457.93</v>
      </c>
      <c r="D35" s="74">
        <f>'Kharif-pulses U'!D35+'Rabi pulses U'!D35</f>
        <v>462.80499999999995</v>
      </c>
      <c r="E35" s="74">
        <f>'Kharif-pulses U'!E35+'Rabi pulses U'!E35</f>
        <v>480.78399999999999</v>
      </c>
      <c r="F35" s="74">
        <f>'Kharif-pulses U'!F35+'Rabi pulses U'!F35</f>
        <v>465.33499999999998</v>
      </c>
      <c r="G35" s="74">
        <f>'Kharif-pulses U'!G35+'Rabi pulses U'!G35</f>
        <v>259.65899999999999</v>
      </c>
      <c r="H35" s="74">
        <f>'Kharif-pulses U'!H35+'Rabi pulses U'!H35</f>
        <v>443.77</v>
      </c>
      <c r="I35" s="74">
        <f>'Kharif-pulses U'!I35+'Rabi pulses U'!I35</f>
        <v>368.40323100000001</v>
      </c>
      <c r="J35" s="74">
        <f>'Kharif-pulses U'!J35+'Rabi pulses U'!J35</f>
        <v>384.891548</v>
      </c>
      <c r="K35" s="74">
        <f>'Kharif-pulses U'!K35+'Rabi pulses U'!K35</f>
        <v>441.91284899999999</v>
      </c>
      <c r="L35" s="6">
        <f t="shared" si="1"/>
        <v>968.46129459373776</v>
      </c>
      <c r="M35" s="6">
        <f t="shared" si="2"/>
        <v>969.07824339964623</v>
      </c>
      <c r="N35" s="6">
        <f t="shared" si="3"/>
        <v>796.02258186493248</v>
      </c>
      <c r="O35" s="6">
        <f t="shared" si="4"/>
        <v>800.54982694931607</v>
      </c>
      <c r="P35" s="6">
        <f t="shared" si="5"/>
        <v>949.66604489238932</v>
      </c>
    </row>
    <row r="36" spans="1:16" ht="18" customHeight="1" x14ac:dyDescent="0.2">
      <c r="A36" s="28" t="s">
        <v>32</v>
      </c>
      <c r="B36" s="74">
        <f>'Kharif-pulses U'!B36+'Rabi pulses U'!B36</f>
        <v>1.5369999999999999</v>
      </c>
      <c r="C36" s="74">
        <f>'Kharif-pulses U'!C36+'Rabi pulses U'!C36</f>
        <v>0.54999999999999993</v>
      </c>
      <c r="D36" s="74">
        <f>'Kharif-pulses U'!D36+'Rabi pulses U'!D36</f>
        <v>0.56200000000000006</v>
      </c>
      <c r="E36" s="74">
        <f>'Kharif-pulses U'!E36+'Rabi pulses U'!E36</f>
        <v>0.51939999999999997</v>
      </c>
      <c r="F36" s="74">
        <f>'Kharif-pulses U'!F36+'Rabi pulses U'!F36</f>
        <v>0.64650000000000007</v>
      </c>
      <c r="G36" s="74">
        <f>'Kharif-pulses U'!G36+'Rabi pulses U'!G36</f>
        <v>0.46780000000000005</v>
      </c>
      <c r="H36" s="74">
        <f>'Kharif-pulses U'!H36+'Rabi pulses U'!H36</f>
        <v>0.17695359999999999</v>
      </c>
      <c r="I36" s="74">
        <f>'Kharif-pulses U'!I36+'Rabi pulses U'!I36</f>
        <v>0.15392</v>
      </c>
      <c r="J36" s="74">
        <f>'Kharif-pulses U'!J36+'Rabi pulses U'!J36</f>
        <v>0.30010419999999999</v>
      </c>
      <c r="K36" s="74">
        <f>'Kharif-pulses U'!K36+'Rabi pulses U'!K36</f>
        <v>0.26260600000000001</v>
      </c>
      <c r="L36" s="6">
        <f t="shared" si="1"/>
        <v>304.35914118412501</v>
      </c>
      <c r="M36" s="6">
        <f t="shared" si="2"/>
        <v>321.73381818181815</v>
      </c>
      <c r="N36" s="6">
        <f t="shared" si="3"/>
        <v>273.87900355871886</v>
      </c>
      <c r="O36" s="6">
        <f t="shared" si="4"/>
        <v>577.79014247208318</v>
      </c>
      <c r="P36" s="6">
        <f t="shared" si="5"/>
        <v>406.19644238205723</v>
      </c>
    </row>
    <row r="37" spans="1:16" ht="18" customHeight="1" x14ac:dyDescent="0.2">
      <c r="A37" s="28" t="s">
        <v>51</v>
      </c>
      <c r="B37" s="74">
        <f>'Kharif-pulses U'!B37+'Rabi pulses U'!B37</f>
        <v>2.8059999999999996</v>
      </c>
      <c r="C37" s="74">
        <f>'Kharif-pulses U'!C37+'Rabi pulses U'!C37</f>
        <v>2.456</v>
      </c>
      <c r="D37" s="74">
        <f>'Kharif-pulses U'!D37+'Rabi pulses U'!D37</f>
        <v>3.85</v>
      </c>
      <c r="E37" s="74">
        <f>'Kharif-pulses U'!E37+'Rabi pulses U'!E37</f>
        <v>2.4659999999999997</v>
      </c>
      <c r="F37" s="74">
        <f>'Kharif-pulses U'!F37+'Rabi pulses U'!F37</f>
        <v>0</v>
      </c>
      <c r="G37" s="74">
        <f>'Kharif-pulses U'!G37+'Rabi pulses U'!G37</f>
        <v>5.7092000000000001</v>
      </c>
      <c r="H37" s="74">
        <f>'Kharif-pulses U'!H37+'Rabi pulses U'!H37</f>
        <v>2.4572000000000003</v>
      </c>
      <c r="I37" s="74">
        <f>'Kharif-pulses U'!I37+'Rabi pulses U'!I37</f>
        <v>4.2845399999999998</v>
      </c>
      <c r="J37" s="74">
        <f>'Kharif-pulses U'!J37+'Rabi pulses U'!J37</f>
        <v>2.4312</v>
      </c>
      <c r="K37" s="74">
        <f>'Kharif-pulses U'!K37+'Rabi pulses U'!K37</f>
        <v>0</v>
      </c>
      <c r="L37" s="6">
        <f t="shared" si="1"/>
        <v>2034.6400570206704</v>
      </c>
      <c r="M37" s="6">
        <f t="shared" si="2"/>
        <v>1000.4885993485344</v>
      </c>
      <c r="N37" s="6">
        <f t="shared" si="3"/>
        <v>1112.8675324675323</v>
      </c>
      <c r="O37" s="6">
        <f t="shared" si="4"/>
        <v>985.88807785888093</v>
      </c>
      <c r="P37" s="6" t="e">
        <f t="shared" si="5"/>
        <v>#DIV/0!</v>
      </c>
    </row>
    <row r="38" spans="1:16" ht="18" customHeight="1" x14ac:dyDescent="0.2">
      <c r="A38" s="28" t="s">
        <v>52</v>
      </c>
      <c r="B38" s="74">
        <f>'Kharif-pulses U'!B40+'Rabi pulses U'!B38</f>
        <v>2.5000000000000001E-2</v>
      </c>
      <c r="C38" s="74">
        <f>'Kharif-pulses U'!C40+'Rabi pulses U'!C38</f>
        <v>5.0000000000000001E-3</v>
      </c>
      <c r="D38" s="74">
        <f>'Kharif-pulses U'!D40+'Rabi pulses U'!D38</f>
        <v>2E-3</v>
      </c>
      <c r="E38" s="74">
        <f>'Kharif-pulses U'!E40+'Rabi pulses U'!E38</f>
        <v>2E-3</v>
      </c>
      <c r="F38" s="74">
        <f>'Kharif-pulses U'!F40+'Rabi pulses U'!F38</f>
        <v>2E-3</v>
      </c>
      <c r="G38" s="74">
        <f>'Kharif-pulses U'!G40+'Rabi pulses U'!G38</f>
        <v>5.2999999999999999E-2</v>
      </c>
      <c r="H38" s="74">
        <f>'Kharif-pulses U'!H40+'Rabi pulses U'!H38</f>
        <v>0.01</v>
      </c>
      <c r="I38" s="74">
        <f>'Kharif-pulses U'!I40+'Rabi pulses U'!I38</f>
        <v>4.0000000000000001E-3</v>
      </c>
      <c r="J38" s="74">
        <f>'Kharif-pulses U'!J40+'Rabi pulses U'!J38</f>
        <v>4.0000000000000001E-3</v>
      </c>
      <c r="K38" s="74">
        <f>'Kharif-pulses U'!K40+'Rabi pulses U'!K38</f>
        <v>4.0000000000000001E-3</v>
      </c>
      <c r="L38" s="6">
        <f t="shared" si="1"/>
        <v>2119.9999999999995</v>
      </c>
      <c r="M38" s="6">
        <f t="shared" si="2"/>
        <v>2000</v>
      </c>
      <c r="N38" s="6">
        <f t="shared" si="3"/>
        <v>2000</v>
      </c>
      <c r="O38" s="6">
        <f t="shared" si="4"/>
        <v>2000</v>
      </c>
      <c r="P38" s="6">
        <f t="shared" si="5"/>
        <v>2000</v>
      </c>
    </row>
    <row r="39" spans="1:16" ht="18" customHeight="1" x14ac:dyDescent="0.2">
      <c r="A39" s="28" t="s">
        <v>86</v>
      </c>
      <c r="B39" s="74">
        <f>'Rabi pulses U'!B39</f>
        <v>0</v>
      </c>
      <c r="C39" s="74">
        <f>'Rabi pulses U'!C39</f>
        <v>0</v>
      </c>
      <c r="D39" s="74">
        <f>'Rabi pulses U'!D39</f>
        <v>0</v>
      </c>
      <c r="E39" s="74">
        <f>'Rabi pulses U'!E39</f>
        <v>0.34</v>
      </c>
      <c r="F39" s="74">
        <f>'Rabi pulses U'!F39</f>
        <v>0</v>
      </c>
      <c r="G39" s="74">
        <f>'Rabi pulses U'!G39</f>
        <v>0</v>
      </c>
      <c r="H39" s="74">
        <f>'Rabi pulses U'!H39</f>
        <v>0</v>
      </c>
      <c r="I39" s="74">
        <f>'Rabi pulses U'!I39</f>
        <v>0</v>
      </c>
      <c r="J39" s="74">
        <f>'Rabi pulses U'!J39</f>
        <v>0.34</v>
      </c>
      <c r="K39" s="74">
        <f>'Rabi pulses U'!K39</f>
        <v>0</v>
      </c>
      <c r="L39" s="6" t="e">
        <f t="shared" si="1"/>
        <v>#DIV/0!</v>
      </c>
      <c r="M39" s="6" t="e">
        <f t="shared" si="2"/>
        <v>#DIV/0!</v>
      </c>
      <c r="N39" s="6" t="e">
        <f t="shared" si="3"/>
        <v>#DIV/0!</v>
      </c>
      <c r="O39" s="6">
        <f t="shared" si="4"/>
        <v>1000</v>
      </c>
      <c r="P39" s="6" t="e">
        <f t="shared" si="5"/>
        <v>#DIV/0!</v>
      </c>
    </row>
    <row r="40" spans="1:16" ht="18" customHeight="1" x14ac:dyDescent="0.2">
      <c r="A40" s="28" t="s">
        <v>205</v>
      </c>
      <c r="B40" s="74">
        <f>'OKP U'!C108</f>
        <v>0</v>
      </c>
      <c r="C40" s="74">
        <f>'OKP U'!D108</f>
        <v>0</v>
      </c>
      <c r="D40" s="74">
        <f>'OKP U'!E108</f>
        <v>0</v>
      </c>
      <c r="E40" s="74">
        <f>'OKP U'!F108</f>
        <v>0</v>
      </c>
      <c r="F40" s="74">
        <f>'OKP U'!G108</f>
        <v>1.22</v>
      </c>
      <c r="G40" s="74">
        <f>'OKP U'!H108</f>
        <v>0</v>
      </c>
      <c r="H40" s="74">
        <f>'OKP U'!I108</f>
        <v>0</v>
      </c>
      <c r="I40" s="74">
        <f>'OKP U'!J108</f>
        <v>0</v>
      </c>
      <c r="J40" s="74">
        <f>'OKP U'!K108</f>
        <v>0</v>
      </c>
      <c r="K40" s="74">
        <f>'OKP U'!L108</f>
        <v>1.095</v>
      </c>
      <c r="L40" s="74" t="e">
        <f>'OKP U'!M108</f>
        <v>#DIV/0!</v>
      </c>
      <c r="M40" s="74" t="e">
        <f>'OKP U'!N108</f>
        <v>#DIV/0!</v>
      </c>
      <c r="N40" s="74" t="e">
        <f>'OKP U'!O108</f>
        <v>#DIV/0!</v>
      </c>
      <c r="O40" s="74" t="e">
        <f>'OKP U'!P108</f>
        <v>#DIV/0!</v>
      </c>
      <c r="P40" s="6">
        <f>'OKP U'!Q108</f>
        <v>897.54098360655746</v>
      </c>
    </row>
    <row r="41" spans="1:16" ht="18" customHeight="1" x14ac:dyDescent="0.2">
      <c r="A41" s="28" t="s">
        <v>113</v>
      </c>
      <c r="B41" s="74">
        <f>'Kharif-pulses U'!B41+'Rabi pulses U'!B40</f>
        <v>1.5740000000000003</v>
      </c>
      <c r="C41" s="74">
        <f>'Kharif-pulses U'!C41+'Rabi pulses U'!C40</f>
        <v>1.2690000000000001</v>
      </c>
      <c r="D41" s="74">
        <f>'Kharif-pulses U'!D41+'Rabi pulses U'!D40</f>
        <v>1.238</v>
      </c>
      <c r="E41" s="74">
        <f>'Kharif-pulses U'!E41+'Rabi pulses U'!E40</f>
        <v>1.1981999999999999</v>
      </c>
      <c r="F41" s="74">
        <f>'Kharif-pulses U'!F41+'Rabi pulses U'!F40</f>
        <v>1.0619999999999998</v>
      </c>
      <c r="G41" s="74">
        <f>'Kharif-pulses U'!G41+'Rabi pulses U'!G40</f>
        <v>0.59400000000000008</v>
      </c>
      <c r="H41" s="74">
        <f>'Kharif-pulses U'!H41+'Rabi pulses U'!H40</f>
        <v>1.2114799999999999</v>
      </c>
      <c r="I41" s="74">
        <f>'Kharif-pulses U'!I41+'Rabi pulses U'!I40</f>
        <v>0.66300000000000003</v>
      </c>
      <c r="J41" s="74">
        <f>'Kharif-pulses U'!J41+'Rabi pulses U'!J40</f>
        <v>0.52188499999999993</v>
      </c>
      <c r="K41" s="74">
        <f>'Kharif-pulses U'!K41+'Rabi pulses U'!K40</f>
        <v>0.40810100000000005</v>
      </c>
      <c r="L41" s="6">
        <f t="shared" si="1"/>
        <v>377.38246505717916</v>
      </c>
      <c r="M41" s="6">
        <f t="shared" si="2"/>
        <v>954.67297084318352</v>
      </c>
      <c r="N41" s="6">
        <f t="shared" si="3"/>
        <v>535.54119547657524</v>
      </c>
      <c r="O41" s="6">
        <f t="shared" si="4"/>
        <v>435.55750292104824</v>
      </c>
      <c r="P41" s="6">
        <f t="shared" si="5"/>
        <v>384.27589453860651</v>
      </c>
    </row>
    <row r="42" spans="1:16" s="8" customFormat="1" ht="18" customHeight="1" x14ac:dyDescent="0.2">
      <c r="A42" s="28" t="s">
        <v>46</v>
      </c>
      <c r="B42" s="209">
        <f>'Kharif-pulses U'!B42+'Rabi pulses U'!B41</f>
        <v>29446.648000000001</v>
      </c>
      <c r="C42" s="209">
        <f>'Kharif-pulses U'!C42+'Rabi pulses U'!C41</f>
        <v>29813.157099999997</v>
      </c>
      <c r="D42" s="209">
        <f>'Kharif-pulses U'!D42+'Rabi pulses U'!D41</f>
        <v>29155.966199999999</v>
      </c>
      <c r="E42" s="209">
        <f>'Kharif-pulses U'!E42+'Rabi pulses U'!E41</f>
        <v>27987.314599999998</v>
      </c>
      <c r="F42" s="209">
        <f>'Kharif-pulses U'!F42+'Rabi pulses U'!F41</f>
        <v>28783.316499999997</v>
      </c>
      <c r="G42" s="209">
        <f>'Kharif-pulses U'!G42+'Rabi pulses U'!G41</f>
        <v>23131.131258000001</v>
      </c>
      <c r="H42" s="209">
        <f>'Kharif-pulses U'!H42+'Rabi pulses U'!H41</f>
        <v>25416.2195006</v>
      </c>
      <c r="I42" s="209">
        <f>'Kharif-pulses U'!I42+'Rabi pulses U'!I41</f>
        <v>22075.858656200005</v>
      </c>
      <c r="J42" s="209">
        <f>'Kharif-pulses U'!J42+'Rabi pulses U'!J41</f>
        <v>23025.248800200003</v>
      </c>
      <c r="K42" s="209">
        <f>'Kharif-pulses U'!K42+'Rabi pulses U'!K41</f>
        <v>25463.1191989</v>
      </c>
      <c r="L42" s="30">
        <f t="shared" si="1"/>
        <v>785.52680284696589</v>
      </c>
      <c r="M42" s="30">
        <f t="shared" si="2"/>
        <v>852.5168741890808</v>
      </c>
      <c r="N42" s="30">
        <f t="shared" si="3"/>
        <v>757.16436576881495</v>
      </c>
      <c r="O42" s="30">
        <f t="shared" si="4"/>
        <v>822.70303990508626</v>
      </c>
      <c r="P42" s="30">
        <f t="shared" si="5"/>
        <v>884.64854975624519</v>
      </c>
    </row>
  </sheetData>
  <mergeCells count="20">
    <mergeCell ref="A1:M1"/>
    <mergeCell ref="B4:B5"/>
    <mergeCell ref="C4:C5"/>
    <mergeCell ref="H4:H5"/>
    <mergeCell ref="M4:M5"/>
    <mergeCell ref="A3:A5"/>
    <mergeCell ref="D4:D5"/>
    <mergeCell ref="I4:I5"/>
    <mergeCell ref="J4:J5"/>
    <mergeCell ref="E4:E5"/>
    <mergeCell ref="O4:O5"/>
    <mergeCell ref="G3:K3"/>
    <mergeCell ref="L3:P3"/>
    <mergeCell ref="F4:F5"/>
    <mergeCell ref="K4:K5"/>
    <mergeCell ref="P4:P5"/>
    <mergeCell ref="B3:F3"/>
    <mergeCell ref="G4:G5"/>
    <mergeCell ref="L4:L5"/>
    <mergeCell ref="N4:N5"/>
  </mergeCells>
  <phoneticPr fontId="0" type="noConversion"/>
  <printOptions horizontalCentered="1"/>
  <pageMargins left="0.31496062992126" right="0.31496062992126" top="0.511811023622047" bottom="0.23622047244094499" header="0.511811023622047" footer="0.511811023622047"/>
  <pageSetup paperSize="9" scale="73" orientation="landscape" r:id="rId1"/>
  <headerFooter alignWithMargins="0"/>
  <rowBreaks count="1" manualBreakCount="1">
    <brk id="5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P43"/>
  <sheetViews>
    <sheetView tabSelected="1" view="pageBreakPreview" zoomScale="70" zoomScaleSheetLayoutView="70" workbookViewId="0">
      <pane xSplit="1" ySplit="6" topLeftCell="H40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7.140625" style="4" customWidth="1"/>
    <col min="2" max="11" width="13.42578125" style="4" customWidth="1"/>
    <col min="12" max="16" width="10.5703125" style="4" customWidth="1"/>
    <col min="17" max="16384" width="9.140625" style="4"/>
  </cols>
  <sheetData>
    <row r="1" spans="1:16" ht="15.75" x14ac:dyDescent="0.2">
      <c r="A1" s="409" t="s">
        <v>104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78"/>
      <c r="O1" s="196"/>
      <c r="P1" s="239"/>
    </row>
    <row r="2" spans="1:16" ht="26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6" ht="18" x14ac:dyDescent="0.2">
      <c r="A3" s="340" t="s">
        <v>88</v>
      </c>
      <c r="B3" s="342" t="s">
        <v>174</v>
      </c>
      <c r="C3" s="342"/>
      <c r="D3" s="342"/>
      <c r="E3" s="342"/>
      <c r="F3" s="342"/>
      <c r="G3" s="342" t="s">
        <v>68</v>
      </c>
      <c r="H3" s="342"/>
      <c r="I3" s="342"/>
      <c r="J3" s="342"/>
      <c r="K3" s="342"/>
      <c r="L3" s="342" t="s">
        <v>89</v>
      </c>
      <c r="M3" s="342"/>
      <c r="N3" s="342"/>
      <c r="O3" s="342"/>
      <c r="P3" s="342"/>
    </row>
    <row r="4" spans="1:16" ht="15" customHeight="1" x14ac:dyDescent="0.2">
      <c r="A4" s="340"/>
      <c r="B4" s="341" t="s">
        <v>112</v>
      </c>
      <c r="C4" s="341" t="s">
        <v>164</v>
      </c>
      <c r="D4" s="341" t="s">
        <v>199</v>
      </c>
      <c r="E4" s="341" t="s">
        <v>200</v>
      </c>
      <c r="F4" s="341" t="s">
        <v>202</v>
      </c>
      <c r="G4" s="341" t="s">
        <v>112</v>
      </c>
      <c r="H4" s="341" t="s">
        <v>164</v>
      </c>
      <c r="I4" s="341" t="s">
        <v>199</v>
      </c>
      <c r="J4" s="341" t="s">
        <v>200</v>
      </c>
      <c r="K4" s="341" t="s">
        <v>202</v>
      </c>
      <c r="L4" s="341" t="s">
        <v>112</v>
      </c>
      <c r="M4" s="341" t="s">
        <v>164</v>
      </c>
      <c r="N4" s="341" t="s">
        <v>199</v>
      </c>
      <c r="O4" s="341" t="s">
        <v>200</v>
      </c>
      <c r="P4" s="341" t="s">
        <v>202</v>
      </c>
    </row>
    <row r="5" spans="1:16" ht="15.75" customHeight="1" x14ac:dyDescent="0.2">
      <c r="A5" s="340"/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</row>
    <row r="6" spans="1:16" s="14" customFormat="1" ht="15.75" customHeight="1" x14ac:dyDescent="0.2">
      <c r="A6" s="187">
        <v>1</v>
      </c>
      <c r="B6" s="256">
        <v>2</v>
      </c>
      <c r="C6" s="256">
        <v>3</v>
      </c>
      <c r="D6" s="256">
        <v>4</v>
      </c>
      <c r="E6" s="256">
        <v>5</v>
      </c>
      <c r="F6" s="256">
        <v>6</v>
      </c>
      <c r="G6" s="256">
        <v>7</v>
      </c>
      <c r="H6" s="256">
        <v>8</v>
      </c>
      <c r="I6" s="256">
        <v>9</v>
      </c>
      <c r="J6" s="256">
        <v>10</v>
      </c>
      <c r="K6" s="256">
        <v>11</v>
      </c>
      <c r="L6" s="256">
        <v>12</v>
      </c>
      <c r="M6" s="256">
        <v>13</v>
      </c>
      <c r="N6" s="256">
        <v>14</v>
      </c>
      <c r="O6" s="256">
        <v>15</v>
      </c>
      <c r="P6" s="256">
        <v>16</v>
      </c>
    </row>
    <row r="7" spans="1:16" ht="24.75" customHeight="1" x14ac:dyDescent="0.2">
      <c r="A7" s="255" t="s">
        <v>2</v>
      </c>
      <c r="B7" s="96">
        <f>'Kharif-Cereals U'!B8+'Kharif-pulses U'!B7</f>
        <v>2175</v>
      </c>
      <c r="C7" s="96">
        <f>'Kharif-Cereals U'!C8+'Kharif-pulses U'!C7</f>
        <v>2085</v>
      </c>
      <c r="D7" s="96">
        <f>'Kharif-Cereals U'!D8+'Kharif-pulses U'!D7</f>
        <v>2113</v>
      </c>
      <c r="E7" s="96">
        <f>'Kharif-Cereals U'!E8+'Kharif-pulses U'!E7</f>
        <v>2103</v>
      </c>
      <c r="F7" s="96">
        <f>'Kharif-Cereals U'!F8+'Kharif-pulses U'!F7</f>
        <v>1981</v>
      </c>
      <c r="G7" s="96">
        <f>'Kharif-Cereals U'!G8+'Kharif-pulses U'!G7</f>
        <v>5564.0320000000002</v>
      </c>
      <c r="H7" s="96">
        <f>'Kharif-Cereals U'!H8+'Kharif-pulses U'!H7</f>
        <v>5806.1303333333335</v>
      </c>
      <c r="I7" s="96">
        <f>'Kharif-Cereals U'!I8+'Kharif-pulses U'!I7</f>
        <v>5828.6493333333328</v>
      </c>
      <c r="J7" s="96">
        <f>'Kharif-Cereals U'!J8+'Kharif-pulses U'!J7</f>
        <v>5913.5659999999998</v>
      </c>
      <c r="K7" s="96">
        <f>'Kharif-Cereals U'!K8+'Kharif-pulses U'!K7</f>
        <v>4896.0659999999998</v>
      </c>
      <c r="L7" s="106">
        <f>G7/B7*1000</f>
        <v>2558.1756321839084</v>
      </c>
      <c r="M7" s="106">
        <f t="shared" ref="M7:P7" si="0">H7/C7*1000</f>
        <v>2784.7147881694646</v>
      </c>
      <c r="N7" s="106">
        <f t="shared" si="0"/>
        <v>2758.4710522164373</v>
      </c>
      <c r="O7" s="106">
        <f t="shared" si="0"/>
        <v>2811.9667142177841</v>
      </c>
      <c r="P7" s="106">
        <f t="shared" si="0"/>
        <v>2471.5123674911661</v>
      </c>
    </row>
    <row r="8" spans="1:16" ht="24.75" customHeight="1" x14ac:dyDescent="0.2">
      <c r="A8" s="255" t="s">
        <v>24</v>
      </c>
      <c r="B8" s="96">
        <f>'Kharif-Cereals U'!B9+'Kharif-pulses U'!B8</f>
        <v>182.78</v>
      </c>
      <c r="C8" s="96">
        <f>'Kharif-Cereals U'!C9+'Kharif-pulses U'!C8</f>
        <v>205.66099999999997</v>
      </c>
      <c r="D8" s="96">
        <f>'Kharif-Cereals U'!D9+'Kharif-pulses U'!D8</f>
        <v>216.27199999999999</v>
      </c>
      <c r="E8" s="96">
        <f>'Kharif-Cereals U'!E9+'Kharif-pulses U'!E8</f>
        <v>208.07300000000001</v>
      </c>
      <c r="F8" s="96">
        <f>'Kharif-Cereals U'!F9+'Kharif-pulses U'!F8</f>
        <v>207.78700000000001</v>
      </c>
      <c r="G8" s="96">
        <f>'Kharif-Cereals U'!G9+'Kharif-pulses U'!G8</f>
        <v>311.90600000000001</v>
      </c>
      <c r="H8" s="96">
        <f>'Kharif-Cereals U'!H9+'Kharif-pulses U'!H8</f>
        <v>326.65905499999997</v>
      </c>
      <c r="I8" s="96">
        <f>'Kharif-Cereals U'!I9+'Kharif-pulses U'!I8</f>
        <v>350.46610899999996</v>
      </c>
      <c r="J8" s="96">
        <f>'Kharif-Cereals U'!J9+'Kharif-pulses U'!J8</f>
        <v>340.98267700000002</v>
      </c>
      <c r="K8" s="96">
        <f>'Kharif-Cereals U'!K9+'Kharif-pulses U'!K8</f>
        <v>343.52481599999999</v>
      </c>
      <c r="L8" s="106">
        <f t="shared" ref="L8:L43" si="1">G8/B8*1000</f>
        <v>1706.4558485611117</v>
      </c>
      <c r="M8" s="106">
        <f t="shared" ref="M8:M43" si="2">H8/C8*1000</f>
        <v>1588.3373853088335</v>
      </c>
      <c r="N8" s="106">
        <f t="shared" ref="N8:N43" si="3">I8/D8*1000</f>
        <v>1620.4876683065768</v>
      </c>
      <c r="O8" s="106">
        <f t="shared" ref="O8:O43" si="4">J8/E8*1000</f>
        <v>1638.7646499065231</v>
      </c>
      <c r="P8" s="106">
        <f t="shared" ref="P8:P43" si="5">K8/F8*1000</f>
        <v>1653.2546116937056</v>
      </c>
    </row>
    <row r="9" spans="1:16" ht="24.75" customHeight="1" x14ac:dyDescent="0.2">
      <c r="A9" s="255" t="s">
        <v>25</v>
      </c>
      <c r="B9" s="96">
        <f>'Kharif-Cereals U'!B10+'Kharif-pulses U'!B9</f>
        <v>2100.8069999999998</v>
      </c>
      <c r="C9" s="96">
        <f>'Kharif-Cereals U'!C10+'Kharif-pulses U'!C9</f>
        <v>2075.6880000000001</v>
      </c>
      <c r="D9" s="96">
        <f>'Kharif-Cereals U'!D10+'Kharif-pulses U'!D9</f>
        <v>2067.3290000000002</v>
      </c>
      <c r="E9" s="96">
        <f>'Kharif-Cereals U'!E10+'Kharif-pulses U'!E9</f>
        <v>1942.6779999999999</v>
      </c>
      <c r="F9" s="96">
        <f>'Kharif-Cereals U'!F10+'Kharif-pulses U'!F9</f>
        <v>2032.6089999999999</v>
      </c>
      <c r="G9" s="96">
        <f>'Kharif-Cereals U'!G10+'Kharif-pulses U'!G9</f>
        <v>3694.5590000000002</v>
      </c>
      <c r="H9" s="96">
        <f>'Kharif-Cereals U'!H10+'Kharif-pulses U'!H9</f>
        <v>4198.9712530000006</v>
      </c>
      <c r="I9" s="96">
        <f>'Kharif-Cereals U'!I10+'Kharif-pulses U'!I9</f>
        <v>4187.5944410000011</v>
      </c>
      <c r="J9" s="96">
        <f>'Kharif-Cereals U'!J10+'Kharif-pulses U'!J9</f>
        <v>4095.3699852043819</v>
      </c>
      <c r="K9" s="96">
        <f>'Kharif-Cereals U'!K10+'Kharif-pulses U'!K9</f>
        <v>4299.4283759999998</v>
      </c>
      <c r="L9" s="106">
        <f t="shared" si="1"/>
        <v>1758.6379900676266</v>
      </c>
      <c r="M9" s="106">
        <f t="shared" si="2"/>
        <v>2022.9298685544265</v>
      </c>
      <c r="N9" s="106">
        <f t="shared" si="3"/>
        <v>2025.6062005612075</v>
      </c>
      <c r="O9" s="106">
        <f t="shared" si="4"/>
        <v>2108.105401515013</v>
      </c>
      <c r="P9" s="106">
        <f t="shared" si="5"/>
        <v>2115.2264778912222</v>
      </c>
    </row>
    <row r="10" spans="1:16" ht="24.75" customHeight="1" x14ac:dyDescent="0.2">
      <c r="A10" s="255" t="s">
        <v>40</v>
      </c>
      <c r="B10" s="96">
        <f>'Kharif-Cereals U'!B11+'Kharif-pulses U'!B10</f>
        <v>3565.4989999999998</v>
      </c>
      <c r="C10" s="96">
        <f>'Kharif-Cereals U'!C11+'Kharif-pulses U'!C10</f>
        <v>3520.9409999999998</v>
      </c>
      <c r="D10" s="96">
        <f>'Kharif-Cereals U'!D11+'Kharif-pulses U'!D10</f>
        <v>3385.0620000000004</v>
      </c>
      <c r="E10" s="96">
        <f>'Kharif-Cereals U'!E11+'Kharif-pulses U'!E10</f>
        <v>3084.9009999999998</v>
      </c>
      <c r="F10" s="96">
        <f>'Kharif-Cereals U'!F11+'Kharif-pulses U'!F10</f>
        <v>3207.8109999999997</v>
      </c>
      <c r="G10" s="96">
        <f>'Kharif-Cereals U'!G11+'Kharif-pulses U'!G10</f>
        <v>8714.2127479999999</v>
      </c>
      <c r="H10" s="96">
        <f>'Kharif-Cereals U'!H11+'Kharif-pulses U'!H10</f>
        <v>8549.6431789999988</v>
      </c>
      <c r="I10" s="96">
        <f>'Kharif-Cereals U'!I11+'Kharif-pulses U'!I10</f>
        <v>6552.5742269999982</v>
      </c>
      <c r="J10" s="96">
        <f>'Kharif-Cereals U'!J11+'Kharif-pulses U'!J10</f>
        <v>6659.9818740000001</v>
      </c>
      <c r="K10" s="96">
        <f>'Kharif-Cereals U'!K11+'Kharif-pulses U'!K10</f>
        <v>6892.5160139999998</v>
      </c>
      <c r="L10" s="106">
        <f t="shared" si="1"/>
        <v>2444.0373557810562</v>
      </c>
      <c r="M10" s="106">
        <f t="shared" si="2"/>
        <v>2428.226766367286</v>
      </c>
      <c r="N10" s="106">
        <f t="shared" si="3"/>
        <v>1935.732411105025</v>
      </c>
      <c r="O10" s="106">
        <f t="shared" si="4"/>
        <v>2158.8964683145427</v>
      </c>
      <c r="P10" s="106">
        <f t="shared" si="5"/>
        <v>2148.6664937553992</v>
      </c>
    </row>
    <row r="11" spans="1:16" ht="24.75" customHeight="1" x14ac:dyDescent="0.2">
      <c r="A11" s="255" t="s">
        <v>47</v>
      </c>
      <c r="B11" s="96">
        <f>'Kharif-Cereals U'!B12+'Kharif-pulses U'!B11</f>
        <v>4258.7</v>
      </c>
      <c r="C11" s="96">
        <f>'Kharif-Cereals U'!C12+'Kharif-pulses U'!C11</f>
        <v>4197.1499999999996</v>
      </c>
      <c r="D11" s="96">
        <f>'Kharif-Cereals U'!D12+'Kharif-pulses U'!D11</f>
        <v>4024.24</v>
      </c>
      <c r="E11" s="96">
        <f>'Kharif-Cereals U'!E12+'Kharif-pulses U'!E11</f>
        <v>4033.37</v>
      </c>
      <c r="F11" s="96">
        <f>'Kharif-Cereals U'!F12+'Kharif-pulses U'!F11</f>
        <v>4156.87</v>
      </c>
      <c r="G11" s="96">
        <f>'Kharif-Cereals U'!G12+'Kharif-pulses U'!G11</f>
        <v>8492.8425999999999</v>
      </c>
      <c r="H11" s="96">
        <f>'Kharif-Cereals U'!H12+'Kharif-pulses U'!H11</f>
        <v>5362.3031300000002</v>
      </c>
      <c r="I11" s="96">
        <f>'Kharif-Cereals U'!I12+'Kharif-pulses U'!I11</f>
        <v>6937.3047799999995</v>
      </c>
      <c r="J11" s="96">
        <f>'Kharif-Cereals U'!J12+'Kharif-pulses U'!J11</f>
        <v>7217.69283</v>
      </c>
      <c r="K11" s="96">
        <f>'Kharif-Cereals U'!K12+'Kharif-pulses U'!K11</f>
        <v>7599.6620199999998</v>
      </c>
      <c r="L11" s="106">
        <f t="shared" si="1"/>
        <v>1994.2335924108297</v>
      </c>
      <c r="M11" s="106">
        <f t="shared" si="2"/>
        <v>1277.6057872604031</v>
      </c>
      <c r="N11" s="106">
        <f t="shared" si="3"/>
        <v>1723.879485318967</v>
      </c>
      <c r="O11" s="106">
        <f t="shared" si="4"/>
        <v>1789.4943508778022</v>
      </c>
      <c r="P11" s="106">
        <f t="shared" si="5"/>
        <v>1828.217389526254</v>
      </c>
    </row>
    <row r="12" spans="1:16" ht="24.75" customHeight="1" x14ac:dyDescent="0.2">
      <c r="A12" s="255" t="s">
        <v>15</v>
      </c>
      <c r="B12" s="96">
        <f>'Kharif-Cereals U'!B13+'Kharif-pulses U'!B12</f>
        <v>27.771999999999998</v>
      </c>
      <c r="C12" s="96">
        <f>'Kharif-Cereals U'!C13+'Kharif-pulses U'!C12</f>
        <v>27.414000000000001</v>
      </c>
      <c r="D12" s="96">
        <f>'Kharif-Cereals U'!D13+'Kharif-pulses U'!D12</f>
        <v>26.011000000000003</v>
      </c>
      <c r="E12" s="96">
        <f>'Kharif-Cereals U'!E13+'Kharif-pulses U'!E12</f>
        <v>24.412000000000003</v>
      </c>
      <c r="F12" s="96">
        <f>'Kharif-Cereals U'!F13+'Kharif-pulses U'!F12</f>
        <v>23.44</v>
      </c>
      <c r="G12" s="96">
        <f>'Kharif-Cereals U'!G13+'Kharif-pulses U'!G12</f>
        <v>77.22699999999999</v>
      </c>
      <c r="H12" s="96">
        <f>'Kharif-Cereals U'!H13+'Kharif-pulses U'!H12</f>
        <v>71.473561000000004</v>
      </c>
      <c r="I12" s="96">
        <f>'Kharif-Cereals U'!I13+'Kharif-pulses U'!I12</f>
        <v>70.400678999999997</v>
      </c>
      <c r="J12" s="96">
        <f>'Kharif-Cereals U'!J13+'Kharif-pulses U'!J12</f>
        <v>60.564171000000009</v>
      </c>
      <c r="K12" s="96">
        <f>'Kharif-Cereals U'!K13+'Kharif-pulses U'!K12</f>
        <v>61.571957600000005</v>
      </c>
      <c r="L12" s="106">
        <f t="shared" si="1"/>
        <v>2780.7503960823851</v>
      </c>
      <c r="M12" s="106">
        <f t="shared" si="2"/>
        <v>2607.1919821988763</v>
      </c>
      <c r="N12" s="106">
        <f t="shared" si="3"/>
        <v>2706.5733343585403</v>
      </c>
      <c r="O12" s="106">
        <f t="shared" si="4"/>
        <v>2480.9180321153531</v>
      </c>
      <c r="P12" s="106">
        <f t="shared" si="5"/>
        <v>2626.79</v>
      </c>
    </row>
    <row r="13" spans="1:16" ht="24.75" customHeight="1" x14ac:dyDescent="0.2">
      <c r="A13" s="255" t="s">
        <v>4</v>
      </c>
      <c r="B13" s="96">
        <f>'Kharif-Cereals U'!B14+'Kharif-pulses U'!B13</f>
        <v>2381</v>
      </c>
      <c r="C13" s="96">
        <f>'Kharif-Cereals U'!C14+'Kharif-pulses U'!C13</f>
        <v>2152</v>
      </c>
      <c r="D13" s="96">
        <f>'Kharif-Cereals U'!D14+'Kharif-pulses U'!D13</f>
        <v>2004.98</v>
      </c>
      <c r="E13" s="96">
        <f>'Kharif-Cereals U'!E14+'Kharif-pulses U'!E13</f>
        <v>2030.7099999999998</v>
      </c>
      <c r="F13" s="96">
        <f>'Kharif-Cereals U'!F14+'Kharif-pulses U'!F13</f>
        <v>2078.13</v>
      </c>
      <c r="G13" s="96">
        <f>'Kharif-Cereals U'!G14+'Kharif-pulses U'!G13</f>
        <v>3999</v>
      </c>
      <c r="H13" s="96">
        <f>'Kharif-Cereals U'!H14+'Kharif-pulses U'!H13</f>
        <v>3814.3459999999995</v>
      </c>
      <c r="I13" s="96">
        <f>'Kharif-Cereals U'!I14+'Kharif-pulses U'!I13</f>
        <v>3725.0713299999998</v>
      </c>
      <c r="J13" s="96">
        <f>'Kharif-Cereals U'!J14+'Kharif-pulses U'!J13</f>
        <v>3567.0278899999998</v>
      </c>
      <c r="K13" s="96">
        <f>'Kharif-Cereals U'!K14+'Kharif-pulses U'!K13</f>
        <v>3845.24089</v>
      </c>
      <c r="L13" s="106">
        <f t="shared" si="1"/>
        <v>1679.5464090718185</v>
      </c>
      <c r="M13" s="106">
        <f t="shared" si="2"/>
        <v>1772.4656133828994</v>
      </c>
      <c r="N13" s="106">
        <f t="shared" si="3"/>
        <v>1857.9094704186573</v>
      </c>
      <c r="O13" s="106">
        <f t="shared" si="4"/>
        <v>1756.5422389213625</v>
      </c>
      <c r="P13" s="106">
        <f t="shared" si="5"/>
        <v>1850.3370289635393</v>
      </c>
    </row>
    <row r="14" spans="1:16" ht="24.75" customHeight="1" x14ac:dyDescent="0.2">
      <c r="A14" s="255" t="s">
        <v>18</v>
      </c>
      <c r="B14" s="96">
        <f>'Kharif-Cereals U'!B15+'Kharif-pulses U'!B14</f>
        <v>1974.2</v>
      </c>
      <c r="C14" s="96">
        <f>'Kharif-Cereals U'!C15+'Kharif-pulses U'!C14</f>
        <v>1946.2</v>
      </c>
      <c r="D14" s="96">
        <f>'Kharif-Cereals U'!D15+'Kharif-pulses U'!D14</f>
        <v>1940.6000000000001</v>
      </c>
      <c r="E14" s="96">
        <f>'Kharif-Cereals U'!E15+'Kharif-pulses U'!E14</f>
        <v>1998.19</v>
      </c>
      <c r="F14" s="96">
        <f>'Kharif-Cereals U'!F15+'Kharif-pulses U'!F14</f>
        <v>1982.32</v>
      </c>
      <c r="G14" s="96">
        <f>'Kharif-Cereals U'!G15+'Kharif-pulses U'!G14</f>
        <v>5494.41</v>
      </c>
      <c r="H14" s="96">
        <f>'Kharif-Cereals U'!H15+'Kharif-pulses U'!H14</f>
        <v>5303.1912999999995</v>
      </c>
      <c r="I14" s="96">
        <f>'Kharif-Cereals U'!I15+'Kharif-pulses U'!I14</f>
        <v>5446.7969000000003</v>
      </c>
      <c r="J14" s="96">
        <f>'Kharif-Cereals U'!J15+'Kharif-pulses U'!J14</f>
        <v>5890.1396799999993</v>
      </c>
      <c r="K14" s="96">
        <f>'Kharif-Cereals U'!K15+'Kharif-pulses U'!K14</f>
        <v>5844.2539800000004</v>
      </c>
      <c r="L14" s="106">
        <f t="shared" si="1"/>
        <v>2783.1070813494075</v>
      </c>
      <c r="M14" s="106">
        <f t="shared" si="2"/>
        <v>2724.8953344979955</v>
      </c>
      <c r="N14" s="106">
        <f t="shared" si="3"/>
        <v>2806.7591981861278</v>
      </c>
      <c r="O14" s="106">
        <f t="shared" si="4"/>
        <v>2947.7375424759402</v>
      </c>
      <c r="P14" s="106">
        <f t="shared" si="5"/>
        <v>2948.1889805884016</v>
      </c>
    </row>
    <row r="15" spans="1:16" ht="24.75" customHeight="1" x14ac:dyDescent="0.2">
      <c r="A15" s="255" t="s">
        <v>16</v>
      </c>
      <c r="B15" s="96">
        <f>'Kharif-Cereals U'!B16+'Kharif-pulses U'!B15</f>
        <v>392.98299999999995</v>
      </c>
      <c r="C15" s="96">
        <f>'Kharif-Cereals U'!C16+'Kharif-pulses U'!C15</f>
        <v>373.65</v>
      </c>
      <c r="D15" s="96">
        <f>'Kharif-Cereals U'!D16+'Kharif-pulses U'!D15</f>
        <v>380.77000000000004</v>
      </c>
      <c r="E15" s="96">
        <f>'Kharif-Cereals U'!E16+'Kharif-pulses U'!E15</f>
        <v>383.01000000000005</v>
      </c>
      <c r="F15" s="96">
        <f>'Kharif-Cereals U'!F16+'Kharif-pulses U'!F15</f>
        <v>358.14899999999994</v>
      </c>
      <c r="G15" s="96">
        <f>'Kharif-Cereals U'!G16+'Kharif-pulses U'!G15</f>
        <v>950.15033199999993</v>
      </c>
      <c r="H15" s="96">
        <f>'Kharif-Cereals U'!H16+'Kharif-pulses U'!H15</f>
        <v>842.92899499999999</v>
      </c>
      <c r="I15" s="96">
        <f>'Kharif-Cereals U'!I16+'Kharif-pulses U'!I15</f>
        <v>858.17989999999986</v>
      </c>
      <c r="J15" s="96">
        <f>'Kharif-Cereals U'!J16+'Kharif-pulses U'!J15</f>
        <v>893.53318000000002</v>
      </c>
      <c r="K15" s="96">
        <f>'Kharif-Cereals U'!K16+'Kharif-pulses U'!K15</f>
        <v>894.46983100000011</v>
      </c>
      <c r="L15" s="106">
        <f t="shared" si="1"/>
        <v>2417.7899094871786</v>
      </c>
      <c r="M15" s="106">
        <f t="shared" si="2"/>
        <v>2255.9320085641643</v>
      </c>
      <c r="N15" s="106">
        <f t="shared" si="3"/>
        <v>2253.8012448459694</v>
      </c>
      <c r="O15" s="106">
        <f t="shared" si="4"/>
        <v>2332.9238923265711</v>
      </c>
      <c r="P15" s="106">
        <f t="shared" si="5"/>
        <v>2497.4796271942691</v>
      </c>
    </row>
    <row r="16" spans="1:16" ht="24.75" customHeight="1" x14ac:dyDescent="0.2">
      <c r="A16" s="255" t="s">
        <v>19</v>
      </c>
      <c r="B16" s="96">
        <f>'Kharif-Cereals U'!B17+'Kharif-pulses U'!B16</f>
        <v>626.48500000000001</v>
      </c>
      <c r="C16" s="96">
        <f>'Kharif-Cereals U'!C17+'Kharif-pulses U'!C16</f>
        <v>612.01</v>
      </c>
      <c r="D16" s="96">
        <f>'Kharif-Cereals U'!D17+'Kharif-pulses U'!D16</f>
        <v>571.34100000000001</v>
      </c>
      <c r="E16" s="96">
        <f>'Kharif-Cereals U'!E17+'Kharif-pulses U'!E16</f>
        <v>582.64499999999998</v>
      </c>
      <c r="F16" s="96">
        <f>'Kharif-Cereals U'!F17+'Kharif-pulses U'!F16</f>
        <v>592.74900000000002</v>
      </c>
      <c r="G16" s="96">
        <f>'Kharif-Cereals U'!G17+'Kharif-pulses U'!G16</f>
        <v>1137.5036666666667</v>
      </c>
      <c r="H16" s="96">
        <f>'Kharif-Cereals U'!H17+'Kharif-pulses U'!H16</f>
        <v>1078.8101199999999</v>
      </c>
      <c r="I16" s="96">
        <f>'Kharif-Cereals U'!I17+'Kharif-pulses U'!I16</f>
        <v>1214.2970133333333</v>
      </c>
      <c r="J16" s="96">
        <f>'Kharif-Cereals U'!J17+'Kharif-pulses U'!J16</f>
        <v>1177.2808365799997</v>
      </c>
      <c r="K16" s="96">
        <f>'Kharif-Cereals U'!K17+'Kharif-pulses U'!K16</f>
        <v>1107.7740649999998</v>
      </c>
      <c r="L16" s="106">
        <f t="shared" si="1"/>
        <v>1815.6917829902818</v>
      </c>
      <c r="M16" s="106">
        <f t="shared" si="2"/>
        <v>1762.7328311628894</v>
      </c>
      <c r="N16" s="106">
        <f t="shared" si="3"/>
        <v>2125.3454825285307</v>
      </c>
      <c r="O16" s="106">
        <f t="shared" si="4"/>
        <v>2020.5800042564506</v>
      </c>
      <c r="P16" s="106">
        <f t="shared" si="5"/>
        <v>1868.875468368567</v>
      </c>
    </row>
    <row r="17" spans="1:16" ht="24.75" customHeight="1" x14ac:dyDescent="0.2">
      <c r="A17" s="255" t="s">
        <v>83</v>
      </c>
      <c r="B17" s="96">
        <f>'Kharif-Cereals U'!B18+'Kharif-pulses U'!B17</f>
        <v>2482.645</v>
      </c>
      <c r="C17" s="96">
        <f>'Kharif-Cereals U'!C18+'Kharif-pulses U'!C17</f>
        <v>2454.067</v>
      </c>
      <c r="D17" s="96">
        <f>'Kharif-Cereals U'!D18+'Kharif-pulses U'!D17</f>
        <v>2230.1799999999998</v>
      </c>
      <c r="E17" s="96">
        <f>'Kharif-Cereals U'!E18+'Kharif-pulses U'!E17</f>
        <v>2042.76</v>
      </c>
      <c r="F17" s="96">
        <f>'Kharif-Cereals U'!F18+'Kharif-pulses U'!F17</f>
        <v>2147.5990000000002</v>
      </c>
      <c r="G17" s="96">
        <f>'Kharif-Cereals U'!G18+'Kharif-pulses U'!G17</f>
        <v>4822.9105999999992</v>
      </c>
      <c r="H17" s="96">
        <f>'Kharif-Cereals U'!H18+'Kharif-pulses U'!H17</f>
        <v>5078.3914399000005</v>
      </c>
      <c r="I17" s="96">
        <f>'Kharif-Cereals U'!I18+'Kharif-pulses U'!I17</f>
        <v>3742.1399390000001</v>
      </c>
      <c r="J17" s="96">
        <f>'Kharif-Cereals U'!J18+'Kharif-pulses U'!J17</f>
        <v>3919.1840090000001</v>
      </c>
      <c r="K17" s="96">
        <f>'Kharif-Cereals U'!K18+'Kharif-pulses U'!K17</f>
        <v>3816.7089599999999</v>
      </c>
      <c r="L17" s="106">
        <f t="shared" si="1"/>
        <v>1942.6501171129983</v>
      </c>
      <c r="M17" s="106">
        <f t="shared" si="2"/>
        <v>2069.3776656872042</v>
      </c>
      <c r="N17" s="106">
        <f t="shared" si="3"/>
        <v>1677.9542184935747</v>
      </c>
      <c r="O17" s="106">
        <f t="shared" si="4"/>
        <v>1918.5729155652159</v>
      </c>
      <c r="P17" s="106">
        <f t="shared" si="5"/>
        <v>1777.198145463841</v>
      </c>
    </row>
    <row r="18" spans="1:16" ht="24.75" customHeight="1" x14ac:dyDescent="0.2">
      <c r="A18" s="255" t="s">
        <v>5</v>
      </c>
      <c r="B18" s="96">
        <f>'Kharif-Cereals U'!B19+'Kharif-pulses U'!B18</f>
        <v>5031</v>
      </c>
      <c r="C18" s="96">
        <f>'Kharif-Cereals U'!C19+'Kharif-pulses U'!C18</f>
        <v>4657</v>
      </c>
      <c r="D18" s="96">
        <f>'Kharif-Cereals U'!D19+'Kharif-pulses U'!D18</f>
        <v>5142.2800000000007</v>
      </c>
      <c r="E18" s="96">
        <f>'Kharif-Cereals U'!E19+'Kharif-pulses U'!E18</f>
        <v>5478.6</v>
      </c>
      <c r="F18" s="96">
        <f>'Kharif-Cereals U'!F19+'Kharif-pulses U'!F18</f>
        <v>5929</v>
      </c>
      <c r="G18" s="96">
        <f>'Kharif-Cereals U'!G19+'Kharif-pulses U'!G18</f>
        <v>7717.6764999999996</v>
      </c>
      <c r="H18" s="96">
        <f>'Kharif-Cereals U'!H19+'Kharif-pulses U'!H18</f>
        <v>8460.7446500000005</v>
      </c>
      <c r="I18" s="96">
        <f>'Kharif-Cereals U'!I19+'Kharif-pulses U'!I18</f>
        <v>8544.6285200000002</v>
      </c>
      <c r="J18" s="96">
        <f>'Kharif-Cereals U'!J19+'Kharif-pulses U'!J18</f>
        <v>9668.5962</v>
      </c>
      <c r="K18" s="96">
        <f>'Kharif-Cereals U'!K19+'Kharif-pulses U'!K18</f>
        <v>11177.263999999999</v>
      </c>
      <c r="L18" s="106">
        <f t="shared" si="1"/>
        <v>1534.0243490359769</v>
      </c>
      <c r="M18" s="106">
        <f t="shared" si="2"/>
        <v>1816.7800407987977</v>
      </c>
      <c r="N18" s="106">
        <f t="shared" si="3"/>
        <v>1661.6420187154336</v>
      </c>
      <c r="O18" s="106">
        <f t="shared" si="4"/>
        <v>1764.7932318475521</v>
      </c>
      <c r="P18" s="106">
        <f t="shared" si="5"/>
        <v>1885.1853600944507</v>
      </c>
    </row>
    <row r="19" spans="1:16" ht="24.75" customHeight="1" x14ac:dyDescent="0.2">
      <c r="A19" s="255" t="s">
        <v>17</v>
      </c>
      <c r="B19" s="96">
        <f>'Kharif-Cereals U'!B20+'Kharif-pulses U'!B19</f>
        <v>132.393</v>
      </c>
      <c r="C19" s="96">
        <f>'Kharif-Cereals U'!C20+'Kharif-pulses U'!C19</f>
        <v>145.5017</v>
      </c>
      <c r="D19" s="96">
        <f>'Kharif-Cereals U'!D20+'Kharif-pulses U'!D19</f>
        <v>152.81273024130886</v>
      </c>
      <c r="E19" s="96">
        <f>'Kharif-Cereals U'!E20+'Kharif-pulses U'!E19</f>
        <v>153.05478086465857</v>
      </c>
      <c r="F19" s="96">
        <f>'Kharif-Cereals U'!F20+'Kharif-pulses U'!F19</f>
        <v>157.97012623285971</v>
      </c>
      <c r="G19" s="96">
        <f>'Kharif-Cereals U'!G20+'Kharif-pulses U'!G19</f>
        <v>323.964</v>
      </c>
      <c r="H19" s="96">
        <f>'Kharif-Cereals U'!H20+'Kharif-pulses U'!H19</f>
        <v>387.4477948</v>
      </c>
      <c r="I19" s="96">
        <f>'Kharif-Cereals U'!I20+'Kharif-pulses U'!I19</f>
        <v>430.62480143071144</v>
      </c>
      <c r="J19" s="96">
        <f>'Kharif-Cereals U'!J20+'Kharif-pulses U'!J19</f>
        <v>449.78510262573872</v>
      </c>
      <c r="K19" s="96">
        <f>'Kharif-Cereals U'!K20+'Kharif-pulses U'!K19</f>
        <v>470.62867780508617</v>
      </c>
      <c r="L19" s="106">
        <f t="shared" si="1"/>
        <v>2446.9873784867777</v>
      </c>
      <c r="M19" s="106">
        <f t="shared" si="2"/>
        <v>2662.8403297006153</v>
      </c>
      <c r="N19" s="106">
        <f t="shared" si="3"/>
        <v>2817.9903647471347</v>
      </c>
      <c r="O19" s="106">
        <f t="shared" si="4"/>
        <v>2938.7197190754155</v>
      </c>
      <c r="P19" s="106">
        <f t="shared" si="5"/>
        <v>2979.2258133119708</v>
      </c>
    </row>
    <row r="20" spans="1:16" ht="24.75" customHeight="1" x14ac:dyDescent="0.2">
      <c r="A20" s="255" t="s">
        <v>6</v>
      </c>
      <c r="B20" s="96">
        <f>'Kharif-Cereals U'!B21+'Kharif-pulses U'!B20</f>
        <v>6326.6</v>
      </c>
      <c r="C20" s="96">
        <f>'Kharif-Cereals U'!C21+'Kharif-pulses U'!C20</f>
        <v>6748</v>
      </c>
      <c r="D20" s="96">
        <f>'Kharif-Cereals U'!D21+'Kharif-pulses U'!D20</f>
        <v>6867</v>
      </c>
      <c r="E20" s="96">
        <f>'Kharif-Cereals U'!E21+'Kharif-pulses U'!E20</f>
        <v>5909.8899999999994</v>
      </c>
      <c r="F20" s="96">
        <f>'Kharif-Cereals U'!F21+'Kharif-pulses U'!F20</f>
        <v>5541</v>
      </c>
      <c r="G20" s="96">
        <f>'Kharif-Cereals U'!G21+'Kharif-pulses U'!G20</f>
        <v>10306.1185</v>
      </c>
      <c r="H20" s="96">
        <f>'Kharif-Cereals U'!H21+'Kharif-pulses U'!H20</f>
        <v>11249.929500000002</v>
      </c>
      <c r="I20" s="96">
        <f>'Kharif-Cereals U'!I21+'Kharif-pulses U'!I20</f>
        <v>10743.341436649966</v>
      </c>
      <c r="J20" s="96">
        <f>'Kharif-Cereals U'!J21+'Kharif-pulses U'!J20</f>
        <v>10318.049576666668</v>
      </c>
      <c r="K20" s="96">
        <f>'Kharif-Cereals U'!K21+'Kharif-pulses U'!K20</f>
        <v>9808.1859999999997</v>
      </c>
      <c r="L20" s="106">
        <f t="shared" si="1"/>
        <v>1629.0137672683588</v>
      </c>
      <c r="M20" s="106">
        <f t="shared" si="2"/>
        <v>1667.1501926496744</v>
      </c>
      <c r="N20" s="106">
        <f t="shared" si="3"/>
        <v>1564.4883408548078</v>
      </c>
      <c r="O20" s="106">
        <f t="shared" si="4"/>
        <v>1745.8953680468958</v>
      </c>
      <c r="P20" s="106">
        <f t="shared" si="5"/>
        <v>1770.1111712687241</v>
      </c>
    </row>
    <row r="21" spans="1:16" ht="24.75" customHeight="1" x14ac:dyDescent="0.2">
      <c r="A21" s="255" t="s">
        <v>7</v>
      </c>
      <c r="B21" s="96">
        <f>'Kharif-Cereals U'!B22+'Kharif-pulses U'!B21</f>
        <v>6140.2000000000007</v>
      </c>
      <c r="C21" s="96">
        <f>'Kharif-Cereals U'!C22+'Kharif-pulses U'!C21</f>
        <v>5712.7</v>
      </c>
      <c r="D21" s="96">
        <f>'Kharif-Cereals U'!D22+'Kharif-pulses U'!D21</f>
        <v>5588.5</v>
      </c>
      <c r="E21" s="96">
        <f>'Kharif-Cereals U'!E22+'Kharif-pulses U'!E21</f>
        <v>5366.12</v>
      </c>
      <c r="F21" s="96">
        <f>'Kharif-Cereals U'!F22+'Kharif-pulses U'!F21</f>
        <v>5601.11</v>
      </c>
      <c r="G21" s="96">
        <f>'Kharif-Cereals U'!G22+'Kharif-pulses U'!G21</f>
        <v>8899.1982049999988</v>
      </c>
      <c r="H21" s="96">
        <f>'Kharif-Cereals U'!H22+'Kharif-pulses U'!H21</f>
        <v>7639.6803</v>
      </c>
      <c r="I21" s="96">
        <f>'Kharif-Cereals U'!I22+'Kharif-pulses U'!I21</f>
        <v>6619.0761500000008</v>
      </c>
      <c r="J21" s="96">
        <f>'Kharif-Cereals U'!J22+'Kharif-pulses U'!J21</f>
        <v>6016.2804499999993</v>
      </c>
      <c r="K21" s="96">
        <f>'Kharif-Cereals U'!K22+'Kharif-pulses U'!K21</f>
        <v>8584.8101800000004</v>
      </c>
      <c r="L21" s="106">
        <f t="shared" si="1"/>
        <v>1449.3336055828795</v>
      </c>
      <c r="M21" s="106">
        <f t="shared" si="2"/>
        <v>1337.3151574561941</v>
      </c>
      <c r="N21" s="106">
        <f t="shared" si="3"/>
        <v>1184.4101547821419</v>
      </c>
      <c r="O21" s="106">
        <f t="shared" si="4"/>
        <v>1121.1602517275051</v>
      </c>
      <c r="P21" s="106">
        <f t="shared" si="5"/>
        <v>1532.6980152148415</v>
      </c>
    </row>
    <row r="22" spans="1:16" ht="24.75" customHeight="1" x14ac:dyDescent="0.2">
      <c r="A22" s="255" t="s">
        <v>29</v>
      </c>
      <c r="B22" s="96">
        <f>'Kharif-Cereals U'!B23+'Kharif-pulses U'!B22</f>
        <v>52.08</v>
      </c>
      <c r="C22" s="96">
        <f>'Kharif-Cereals U'!C23+'Kharif-pulses U'!C22</f>
        <v>52.67</v>
      </c>
      <c r="D22" s="96">
        <f>'Kharif-Cereals U'!D23+'Kharif-pulses U'!D22</f>
        <v>39.03</v>
      </c>
      <c r="E22" s="96">
        <f>'Kharif-Cereals U'!E23+'Kharif-pulses U'!E22</f>
        <v>37.900046038563929</v>
      </c>
      <c r="F22" s="96">
        <f>'Kharif-Cereals U'!F23+'Kharif-pulses U'!F22</f>
        <v>54.11</v>
      </c>
      <c r="G22" s="96">
        <f>'Kharif-Cereals U'!G23+'Kharif-pulses U'!G22</f>
        <v>191.47</v>
      </c>
      <c r="H22" s="96">
        <f>'Kharif-Cereals U'!H23+'Kharif-pulses U'!H22</f>
        <v>180.19361000000001</v>
      </c>
      <c r="I22" s="96">
        <f>'Kharif-Cereals U'!I23+'Kharif-pulses U'!I22</f>
        <v>89.339149999999989</v>
      </c>
      <c r="J22" s="96">
        <f>'Kharif-Cereals U'!J23+'Kharif-pulses U'!J22</f>
        <v>126.61702141248111</v>
      </c>
      <c r="K22" s="96">
        <f>'Kharif-Cereals U'!K23+'Kharif-pulses U'!K22</f>
        <v>127.50342599999999</v>
      </c>
      <c r="L22" s="106">
        <f t="shared" si="1"/>
        <v>3676.4592933947774</v>
      </c>
      <c r="M22" s="106">
        <f t="shared" si="2"/>
        <v>3421.1811277767233</v>
      </c>
      <c r="N22" s="106">
        <f t="shared" si="3"/>
        <v>2288.9866769151931</v>
      </c>
      <c r="O22" s="106">
        <f t="shared" si="4"/>
        <v>3340.8144487119139</v>
      </c>
      <c r="P22" s="106">
        <f t="shared" si="5"/>
        <v>2356.3745333579745</v>
      </c>
    </row>
    <row r="23" spans="1:16" ht="24.75" customHeight="1" x14ac:dyDescent="0.2">
      <c r="A23" s="255" t="s">
        <v>26</v>
      </c>
      <c r="B23" s="96">
        <f>'Kharif-Cereals U'!B24+'Kharif-pulses U'!B23</f>
        <v>119.74999999999999</v>
      </c>
      <c r="C23" s="96">
        <f>'Kharif-Cereals U'!C24+'Kharif-pulses U'!C23</f>
        <v>119.71199999999999</v>
      </c>
      <c r="D23" s="96">
        <f>'Kharif-Cereals U'!D24+'Kharif-pulses U'!D23</f>
        <v>119.556</v>
      </c>
      <c r="E23" s="96">
        <f>'Kharif-Cereals U'!E24+'Kharif-pulses U'!E23</f>
        <v>119.60000000000001</v>
      </c>
      <c r="F23" s="96">
        <f>'Kharif-Cereals U'!F24+'Kharif-pulses U'!F23</f>
        <v>116.23500000000001</v>
      </c>
      <c r="G23" s="96">
        <f>'Kharif-Cereals U'!G24+'Kharif-pulses U'!G23</f>
        <v>206.63666666666668</v>
      </c>
      <c r="H23" s="96">
        <f>'Kharif-Cereals U'!H24+'Kharif-pulses U'!H23</f>
        <v>287.04876999999999</v>
      </c>
      <c r="I23" s="96">
        <f>'Kharif-Cereals U'!I24+'Kharif-pulses U'!I23</f>
        <v>205.88963033333334</v>
      </c>
      <c r="J23" s="96">
        <f>'Kharif-Cereals U'!J24+'Kharif-pulses U'!J23</f>
        <v>286.39578999999992</v>
      </c>
      <c r="K23" s="96">
        <f>'Kharif-Cereals U'!K24+'Kharif-pulses U'!K23</f>
        <v>278.85462699999999</v>
      </c>
      <c r="L23" s="106">
        <f t="shared" si="1"/>
        <v>1725.5671537926239</v>
      </c>
      <c r="M23" s="106">
        <f t="shared" si="2"/>
        <v>2397.8278702218659</v>
      </c>
      <c r="N23" s="106">
        <f t="shared" si="3"/>
        <v>1722.1187588521977</v>
      </c>
      <c r="O23" s="106">
        <f t="shared" si="4"/>
        <v>2394.6136287625409</v>
      </c>
      <c r="P23" s="106">
        <f t="shared" si="5"/>
        <v>2399.0590355744821</v>
      </c>
    </row>
    <row r="24" spans="1:16" ht="24.75" customHeight="1" x14ac:dyDescent="0.2">
      <c r="A24" s="255" t="s">
        <v>30</v>
      </c>
      <c r="B24" s="96">
        <f>'Kharif-Cereals U'!B25+'Kharif-pulses U'!B24</f>
        <v>44.143000000000001</v>
      </c>
      <c r="C24" s="96">
        <f>'Kharif-Cereals U'!C25+'Kharif-pulses U'!C24</f>
        <v>43.243500000000004</v>
      </c>
      <c r="D24" s="96">
        <f>'Kharif-Cereals U'!D25+'Kharif-pulses U'!D24</f>
        <v>42.920999999999999</v>
      </c>
      <c r="E24" s="96">
        <f>'Kharif-Cereals U'!E25+'Kharif-pulses U'!E24</f>
        <v>42.734000000000002</v>
      </c>
      <c r="F24" s="96">
        <f>'Kharif-Cereals U'!F25+'Kharif-pulses U'!F24</f>
        <v>43.428999999999995</v>
      </c>
      <c r="G24" s="96">
        <f>'Kharif-Cereals U'!G25+'Kharif-pulses U'!G24</f>
        <v>71.771000000000001</v>
      </c>
      <c r="H24" s="96">
        <f>'Kharif-Cereals U'!H25+'Kharif-pulses U'!H24</f>
        <v>70.672800000000009</v>
      </c>
      <c r="I24" s="96">
        <f>'Kharif-Cereals U'!I25+'Kharif-pulses U'!I24</f>
        <v>72.772999999999996</v>
      </c>
      <c r="J24" s="96">
        <f>'Kharif-Cereals U'!J25+'Kharif-pulses U'!J24</f>
        <v>72.161779999999993</v>
      </c>
      <c r="K24" s="96">
        <f>'Kharif-Cereals U'!K25+'Kharif-pulses U'!K24</f>
        <v>75.902552</v>
      </c>
      <c r="L24" s="106">
        <f t="shared" si="1"/>
        <v>1625.8749971682939</v>
      </c>
      <c r="M24" s="106">
        <f t="shared" si="2"/>
        <v>1634.2987963508967</v>
      </c>
      <c r="N24" s="106">
        <f t="shared" si="3"/>
        <v>1695.5103562358752</v>
      </c>
      <c r="O24" s="106">
        <f t="shared" si="4"/>
        <v>1688.6268544952495</v>
      </c>
      <c r="P24" s="106">
        <f t="shared" si="5"/>
        <v>1747.7388841557486</v>
      </c>
    </row>
    <row r="25" spans="1:16" ht="24.75" customHeight="1" x14ac:dyDescent="0.2">
      <c r="A25" s="255" t="s">
        <v>20</v>
      </c>
      <c r="B25" s="96">
        <f>'Kharif-Cereals U'!B26+'Kharif-pulses U'!B25</f>
        <v>294.63000000000005</v>
      </c>
      <c r="C25" s="96">
        <f>'Kharif-Cereals U'!C26+'Kharif-pulses U'!C25</f>
        <v>301.09999999999997</v>
      </c>
      <c r="D25" s="96">
        <f>'Kharif-Cereals U'!D26+'Kharif-pulses U'!D25</f>
        <v>298.76</v>
      </c>
      <c r="E25" s="96">
        <f>'Kharif-Cereals U'!E26+'Kharif-pulses U'!E25</f>
        <v>303.58</v>
      </c>
      <c r="F25" s="96">
        <f>'Kharif-Cereals U'!F26+'Kharif-pulses U'!F25</f>
        <v>305.39999999999998</v>
      </c>
      <c r="G25" s="96">
        <f>'Kharif-Cereals U'!G26+'Kharif-pulses U'!G25</f>
        <v>487.16333333333336</v>
      </c>
      <c r="H25" s="96">
        <f>'Kharif-Cereals U'!H26+'Kharif-pulses U'!H25</f>
        <v>500.95198666666664</v>
      </c>
      <c r="I25" s="96">
        <f>'Kharif-Cereals U'!I26+'Kharif-pulses U'!I25</f>
        <v>505.52074999999996</v>
      </c>
      <c r="J25" s="96">
        <f>'Kharif-Cereals U'!J26+'Kharif-pulses U'!J25</f>
        <v>512.18236333333334</v>
      </c>
      <c r="K25" s="96">
        <f>'Kharif-Cereals U'!K26+'Kharif-pulses U'!K25</f>
        <v>516.38160000000005</v>
      </c>
      <c r="L25" s="106">
        <f t="shared" si="1"/>
        <v>1653.4749799183155</v>
      </c>
      <c r="M25" s="106">
        <f t="shared" si="2"/>
        <v>1663.7395771061665</v>
      </c>
      <c r="N25" s="106">
        <f t="shared" si="3"/>
        <v>1692.0630271790064</v>
      </c>
      <c r="O25" s="106">
        <f t="shared" si="4"/>
        <v>1687.1413246371083</v>
      </c>
      <c r="P25" s="106">
        <f t="shared" si="5"/>
        <v>1690.8369351669942</v>
      </c>
    </row>
    <row r="26" spans="1:16" ht="24.75" customHeight="1" x14ac:dyDescent="0.2">
      <c r="A26" s="255" t="s">
        <v>107</v>
      </c>
      <c r="B26" s="96">
        <f>'Kharif-Cereals U'!B27+'Kharif-pulses U'!B26</f>
        <v>4307.2199999999993</v>
      </c>
      <c r="C26" s="96">
        <f>'Kharif-Cereals U'!C27+'Kharif-pulses U'!C26</f>
        <v>4109.68</v>
      </c>
      <c r="D26" s="96">
        <f>'Kharif-Cereals U'!D27+'Kharif-pulses U'!D26</f>
        <v>4114.5300000000007</v>
      </c>
      <c r="E26" s="96">
        <f>'Kharif-Cereals U'!E27+'Kharif-pulses U'!E26</f>
        <v>4211.4799999999996</v>
      </c>
      <c r="F26" s="96">
        <f>'Kharif-Cereals U'!F27+'Kharif-pulses U'!F26</f>
        <v>4250.6899999999996</v>
      </c>
      <c r="G26" s="96">
        <f>'Kharif-Cereals U'!G27+'Kharif-pulses U'!G26</f>
        <v>8066.08</v>
      </c>
      <c r="H26" s="96">
        <f>'Kharif-Cereals U'!H27+'Kharif-pulses U'!H26</f>
        <v>6268.6352999999999</v>
      </c>
      <c r="I26" s="96">
        <f>'Kharif-Cereals U'!I27+'Kharif-pulses U'!I26</f>
        <v>7222.0067399999989</v>
      </c>
      <c r="J26" s="96">
        <f>'Kharif-Cereals U'!J27+'Kharif-pulses U'!J26</f>
        <v>7937.8882299999996</v>
      </c>
      <c r="K26" s="96">
        <f>'Kharif-Cereals U'!K27+'Kharif-pulses U'!K26</f>
        <v>8205.6729200000009</v>
      </c>
      <c r="L26" s="106">
        <f t="shared" si="1"/>
        <v>1872.6881840258918</v>
      </c>
      <c r="M26" s="106">
        <f t="shared" si="2"/>
        <v>1525.3341622705416</v>
      </c>
      <c r="N26" s="106">
        <f t="shared" si="3"/>
        <v>1755.2446427660018</v>
      </c>
      <c r="O26" s="106">
        <f t="shared" si="4"/>
        <v>1884.8215425456135</v>
      </c>
      <c r="P26" s="106">
        <f t="shared" si="5"/>
        <v>1930.4331579108336</v>
      </c>
    </row>
    <row r="27" spans="1:16" ht="24.75" customHeight="1" x14ac:dyDescent="0.2">
      <c r="A27" s="255" t="s">
        <v>21</v>
      </c>
      <c r="B27" s="96">
        <f>'Kharif-Cereals U'!B28+'Kharif-pulses U'!B27</f>
        <v>3027.7999999999997</v>
      </c>
      <c r="C27" s="96">
        <f>'Kharif-Cereals U'!C28+'Kharif-pulses U'!C27</f>
        <v>3187.7</v>
      </c>
      <c r="D27" s="96">
        <f>'Kharif-Cereals U'!D28+'Kharif-pulses U'!D27</f>
        <v>3220.6</v>
      </c>
      <c r="E27" s="96">
        <f>'Kharif-Cereals U'!E28+'Kharif-pulses U'!E27</f>
        <v>3061.7999999999997</v>
      </c>
      <c r="F27" s="96">
        <f>'Kharif-Cereals U'!F28+'Kharif-pulses U'!F27</f>
        <v>3042.6</v>
      </c>
      <c r="G27" s="96">
        <f>'Kharif-Cereals U'!G28+'Kharif-pulses U'!G27</f>
        <v>12041.904</v>
      </c>
      <c r="H27" s="96">
        <f>'Kharif-Cereals U'!H28+'Kharif-pulses U'!H27</f>
        <v>13811.663500000001</v>
      </c>
      <c r="I27" s="96">
        <f>'Kharif-Cereals U'!I28+'Kharif-pulses U'!I27</f>
        <v>13223.624</v>
      </c>
      <c r="J27" s="96">
        <f>'Kharif-Cereals U'!J28+'Kharif-pulses U'!J27</f>
        <v>12212.938900000001</v>
      </c>
      <c r="K27" s="96">
        <f>'Kharif-Cereals U'!K28+'Kharif-pulses U'!K27</f>
        <v>13184.8084</v>
      </c>
      <c r="L27" s="106">
        <f t="shared" si="1"/>
        <v>3977.1134156813537</v>
      </c>
      <c r="M27" s="106">
        <f t="shared" si="2"/>
        <v>4332.7990400602321</v>
      </c>
      <c r="N27" s="106">
        <f t="shared" si="3"/>
        <v>4105.9504440166429</v>
      </c>
      <c r="O27" s="106">
        <f t="shared" si="4"/>
        <v>3988.8101443595278</v>
      </c>
      <c r="P27" s="106">
        <f t="shared" si="5"/>
        <v>4333.401827384474</v>
      </c>
    </row>
    <row r="28" spans="1:16" ht="24.75" customHeight="1" x14ac:dyDescent="0.2">
      <c r="A28" s="255" t="s">
        <v>22</v>
      </c>
      <c r="B28" s="96">
        <f>'Kharif-Cereals U'!B29+'Kharif-pulses U'!B28</f>
        <v>9486.7109999999993</v>
      </c>
      <c r="C28" s="96">
        <f>'Kharif-Cereals U'!C29+'Kharif-pulses U'!C28</f>
        <v>9518.1809999999969</v>
      </c>
      <c r="D28" s="96">
        <f>'Kharif-Cereals U'!D29+'Kharif-pulses U'!D28</f>
        <v>10072.218000000001</v>
      </c>
      <c r="E28" s="96">
        <f>'Kharif-Cereals U'!E29+'Kharif-pulses U'!E28</f>
        <v>9873.5950000000012</v>
      </c>
      <c r="F28" s="96">
        <f>'Kharif-Cereals U'!F29+'Kharif-pulses U'!F28</f>
        <v>10116.915000000001</v>
      </c>
      <c r="G28" s="96">
        <f>'Kharif-Cereals U'!G29+'Kharif-pulses U'!G28</f>
        <v>7988.4030000000002</v>
      </c>
      <c r="H28" s="96">
        <f>'Kharif-Cereals U'!H29+'Kharif-pulses U'!H28</f>
        <v>7893.7789300000004</v>
      </c>
      <c r="I28" s="96">
        <f>'Kharif-Cereals U'!I29+'Kharif-pulses U'!I28</f>
        <v>8501.0238689999987</v>
      </c>
      <c r="J28" s="96">
        <f>'Kharif-Cereals U'!J29+'Kharif-pulses U'!J28</f>
        <v>8536.8868899999998</v>
      </c>
      <c r="K28" s="96">
        <f>'Kharif-Cereals U'!K29+'Kharif-pulses U'!K28</f>
        <v>9905.0165660000002</v>
      </c>
      <c r="L28" s="106">
        <f t="shared" si="1"/>
        <v>842.06243871031813</v>
      </c>
      <c r="M28" s="106">
        <f t="shared" si="2"/>
        <v>829.33692162399552</v>
      </c>
      <c r="N28" s="106">
        <f t="shared" si="3"/>
        <v>844.00713616405028</v>
      </c>
      <c r="O28" s="106">
        <f t="shared" si="4"/>
        <v>864.6178914569615</v>
      </c>
      <c r="P28" s="106">
        <f t="shared" si="5"/>
        <v>979.05503466224627</v>
      </c>
    </row>
    <row r="29" spans="1:16" ht="24.75" customHeight="1" x14ac:dyDescent="0.2">
      <c r="A29" s="255" t="s">
        <v>84</v>
      </c>
      <c r="B29" s="96">
        <f>'Kharif-Cereals U'!B30+'Kharif-pulses U'!B29</f>
        <v>61.94</v>
      </c>
      <c r="C29" s="96">
        <f>'Kharif-Cereals U'!C30+'Kharif-pulses U'!C29</f>
        <v>55.774999999999999</v>
      </c>
      <c r="D29" s="96">
        <f>'Kharif-Cereals U'!D30+'Kharif-pulses U'!D29</f>
        <v>54.148999999999994</v>
      </c>
      <c r="E29" s="96">
        <f>'Kharif-Cereals U'!E30+'Kharif-pulses U'!E29</f>
        <v>54.593000000000004</v>
      </c>
      <c r="F29" s="96">
        <f>'Kharif-Cereals U'!F30+'Kharif-pulses U'!F29</f>
        <v>54.284999999999997</v>
      </c>
      <c r="G29" s="96">
        <f>'Kharif-Cereals U'!G30+'Kharif-pulses U'!G29</f>
        <v>100.51</v>
      </c>
      <c r="H29" s="96">
        <f>'Kharif-Cereals U'!H30+'Kharif-pulses U'!H29</f>
        <v>93.236001000000002</v>
      </c>
      <c r="I29" s="96">
        <f>'Kharif-Cereals U'!I30+'Kharif-pulses U'!I29</f>
        <v>90.957335999999998</v>
      </c>
      <c r="J29" s="96">
        <f>'Kharif-Cereals U'!J30+'Kharif-pulses U'!J29</f>
        <v>91.447271000000001</v>
      </c>
      <c r="K29" s="96">
        <f>'Kharif-Cereals U'!K30+'Kharif-pulses U'!K29</f>
        <v>91.22947400000001</v>
      </c>
      <c r="L29" s="106">
        <f t="shared" si="1"/>
        <v>1622.6993865030677</v>
      </c>
      <c r="M29" s="106">
        <f t="shared" si="2"/>
        <v>1671.6450201703271</v>
      </c>
      <c r="N29" s="106">
        <f t="shared" si="3"/>
        <v>1679.7602171785259</v>
      </c>
      <c r="O29" s="106">
        <f t="shared" si="4"/>
        <v>1675.0731961973147</v>
      </c>
      <c r="P29" s="106">
        <f t="shared" si="5"/>
        <v>1680.565054803353</v>
      </c>
    </row>
    <row r="30" spans="1:16" ht="24.75" customHeight="1" x14ac:dyDescent="0.2">
      <c r="A30" s="255" t="s">
        <v>11</v>
      </c>
      <c r="B30" s="96">
        <f>'Kharif-Cereals U'!B31+'Kharif-pulses U'!B30</f>
        <v>1969.6799999999998</v>
      </c>
      <c r="C30" s="96">
        <f>'Kharif-Cereals U'!C31+'Kharif-pulses U'!C30</f>
        <v>2476.0873900000001</v>
      </c>
      <c r="D30" s="96">
        <f>'Kharif-Cereals U'!D31+'Kharif-pulses U'!D30</f>
        <v>2262.6588468977043</v>
      </c>
      <c r="E30" s="96">
        <f>'Kharif-Cereals U'!E31+'Kharif-pulses U'!E30</f>
        <v>2510.6470926503825</v>
      </c>
      <c r="F30" s="96">
        <f>'Kharif-Cereals U'!F31+'Kharif-pulses U'!F30</f>
        <v>2669.1695924512987</v>
      </c>
      <c r="G30" s="96">
        <f>'Kharif-Cereals U'!G31+'Kharif-pulses U'!G30</f>
        <v>3377.87</v>
      </c>
      <c r="H30" s="96">
        <f>'Kharif-Cereals U'!H31+'Kharif-pulses U'!H30</f>
        <v>8411.0891001600012</v>
      </c>
      <c r="I30" s="96">
        <f>'Kharif-Cereals U'!I31+'Kharif-pulses U'!I30</f>
        <v>7537.4137595102147</v>
      </c>
      <c r="J30" s="96">
        <f>'Kharif-Cereals U'!J31+'Kharif-pulses U'!J30</f>
        <v>8698.6363216563041</v>
      </c>
      <c r="K30" s="96">
        <f>'Kharif-Cereals U'!K31+'Kharif-pulses U'!K30</f>
        <v>8667.1182264892832</v>
      </c>
      <c r="L30" s="106">
        <f t="shared" si="1"/>
        <v>1714.9333901953619</v>
      </c>
      <c r="M30" s="106">
        <f t="shared" si="2"/>
        <v>3396.9274001108665</v>
      </c>
      <c r="N30" s="106">
        <f t="shared" si="3"/>
        <v>3331.2197151791765</v>
      </c>
      <c r="O30" s="106">
        <f t="shared" si="4"/>
        <v>3464.6989404128185</v>
      </c>
      <c r="P30" s="106">
        <f t="shared" si="5"/>
        <v>3247.1215957954992</v>
      </c>
    </row>
    <row r="31" spans="1:16" ht="24.75" customHeight="1" x14ac:dyDescent="0.2">
      <c r="A31" s="255" t="s">
        <v>109</v>
      </c>
      <c r="B31" s="96">
        <f>'Kharif-Cereals U'!B32+'Kharif-pulses U'!B31</f>
        <v>2169</v>
      </c>
      <c r="C31" s="96">
        <f>'Kharif-Cereals U'!C32+'Kharif-pulses U'!C31</f>
        <v>2019</v>
      </c>
      <c r="D31" s="96">
        <f>'Kharif-Cereals U'!D32+'Kharif-pulses U'!D31</f>
        <v>2049</v>
      </c>
      <c r="E31" s="96">
        <f>'Kharif-Cereals U'!E32+'Kharif-pulses U'!E31</f>
        <v>1927</v>
      </c>
      <c r="F31" s="96">
        <f>'Kharif-Cereals U'!F32+'Kharif-pulses U'!F31</f>
        <v>2349.6999999999998</v>
      </c>
      <c r="G31" s="96">
        <f>'Kharif-Cereals U'!G32+'Kharif-pulses U'!G31</f>
        <v>4865.8879999999999</v>
      </c>
      <c r="H31" s="96">
        <f>'Kharif-Cereals U'!H32+'Kharif-pulses U'!H31</f>
        <v>4944.7099999999991</v>
      </c>
      <c r="I31" s="96">
        <f>'Kharif-Cereals U'!I32+'Kharif-pulses U'!I31</f>
        <v>5751.2620000000006</v>
      </c>
      <c r="J31" s="96">
        <f>'Kharif-Cereals U'!J32+'Kharif-pulses U'!J31</f>
        <v>6327.1369999999997</v>
      </c>
      <c r="K31" s="96">
        <f>'Kharif-Cereals U'!K32+'Kharif-pulses U'!K31</f>
        <v>6181.0125000000007</v>
      </c>
      <c r="L31" s="106">
        <f t="shared" si="1"/>
        <v>2243.3785154449051</v>
      </c>
      <c r="M31" s="106">
        <f t="shared" si="2"/>
        <v>2449.0886577513616</v>
      </c>
      <c r="N31" s="106">
        <f t="shared" si="3"/>
        <v>2806.8628599316744</v>
      </c>
      <c r="O31" s="106">
        <f t="shared" si="4"/>
        <v>3283.4130773222623</v>
      </c>
      <c r="P31" s="106">
        <f t="shared" si="5"/>
        <v>2630.5539004979364</v>
      </c>
    </row>
    <row r="32" spans="1:16" ht="24.75" customHeight="1" x14ac:dyDescent="0.2">
      <c r="A32" s="255" t="s">
        <v>85</v>
      </c>
      <c r="B32" s="96">
        <f>'Kharif-Cereals U'!B33+'Kharif-pulses U'!B32</f>
        <v>232.53699999999998</v>
      </c>
      <c r="C32" s="96">
        <f>'Kharif-Cereals U'!C33+'Kharif-pulses U'!C32</f>
        <v>232.22799999999998</v>
      </c>
      <c r="D32" s="96">
        <f>'Kharif-Cereals U'!D33+'Kharif-pulses U'!D32</f>
        <v>227.81799999999998</v>
      </c>
      <c r="E32" s="96">
        <f>'Kharif-Cereals U'!E33+'Kharif-pulses U'!E32</f>
        <v>224.45</v>
      </c>
      <c r="F32" s="96">
        <f>'Kharif-Cereals U'!F33+'Kharif-pulses U'!F32</f>
        <v>229.43900000000002</v>
      </c>
      <c r="G32" s="96">
        <f>'Kharif-Cereals U'!G33+'Kharif-pulses U'!G32</f>
        <v>616.01499999999999</v>
      </c>
      <c r="H32" s="96">
        <f>'Kharif-Cereals U'!H33+'Kharif-pulses U'!H32</f>
        <v>607.63392299999998</v>
      </c>
      <c r="I32" s="96">
        <f>'Kharif-Cereals U'!I33+'Kharif-pulses U'!I32</f>
        <v>589.32809199999997</v>
      </c>
      <c r="J32" s="96">
        <f>'Kharif-Cereals U'!J33+'Kharif-pulses U'!J32</f>
        <v>611.22030400000006</v>
      </c>
      <c r="K32" s="96">
        <f>'Kharif-Cereals U'!K33+'Kharif-pulses U'!K32</f>
        <v>622.44051700000011</v>
      </c>
      <c r="L32" s="106">
        <f t="shared" si="1"/>
        <v>2649.1053036721041</v>
      </c>
      <c r="M32" s="106">
        <f t="shared" si="2"/>
        <v>2616.5403095233996</v>
      </c>
      <c r="N32" s="106">
        <f t="shared" si="3"/>
        <v>2586.8372648342097</v>
      </c>
      <c r="O32" s="106">
        <f t="shared" si="4"/>
        <v>2723.1913744709291</v>
      </c>
      <c r="P32" s="106">
        <f t="shared" si="5"/>
        <v>2712.8801860189424</v>
      </c>
    </row>
    <row r="33" spans="1:16" ht="24.75" customHeight="1" x14ac:dyDescent="0.2">
      <c r="A33" s="255" t="s">
        <v>12</v>
      </c>
      <c r="B33" s="96">
        <f>'Kharif-Cereals U'!B34+'Kharif-pulses U'!B33</f>
        <v>8769</v>
      </c>
      <c r="C33" s="96">
        <f>'Kharif-Cereals U'!C34+'Kharif-pulses U'!C33</f>
        <v>8447</v>
      </c>
      <c r="D33" s="96">
        <f>'Kharif-Cereals U'!D34+'Kharif-pulses U'!D33</f>
        <v>8246</v>
      </c>
      <c r="E33" s="96">
        <f>'Kharif-Cereals U'!E34+'Kharif-pulses U'!E33</f>
        <v>8322</v>
      </c>
      <c r="F33" s="96">
        <f>'Kharif-Cereals U'!F34+'Kharif-pulses U'!F33</f>
        <v>8297</v>
      </c>
      <c r="G33" s="96">
        <f>'Kharif-Cereals U'!G34+'Kharif-pulses U'!G33</f>
        <v>17670.038</v>
      </c>
      <c r="H33" s="96">
        <f>'Kharif-Cereals U'!H34+'Kharif-pulses U'!H33</f>
        <v>17299.253000000001</v>
      </c>
      <c r="I33" s="96">
        <f>'Kharif-Cereals U'!I34+'Kharif-pulses U'!I33</f>
        <v>19401.75</v>
      </c>
      <c r="J33" s="96">
        <f>'Kharif-Cereals U'!J34+'Kharif-pulses U'!J33</f>
        <v>19645.460999999999</v>
      </c>
      <c r="K33" s="96">
        <f>'Kharif-Cereals U'!K34+'Kharif-pulses U'!K33</f>
        <v>19960.689999999999</v>
      </c>
      <c r="L33" s="106">
        <f t="shared" si="1"/>
        <v>2015.0573611586271</v>
      </c>
      <c r="M33" s="106">
        <f t="shared" si="2"/>
        <v>2047.9759677992186</v>
      </c>
      <c r="N33" s="106">
        <f t="shared" si="3"/>
        <v>2352.8680572398739</v>
      </c>
      <c r="O33" s="106">
        <f t="shared" si="4"/>
        <v>2360.6658255227107</v>
      </c>
      <c r="P33" s="106">
        <f t="shared" si="5"/>
        <v>2405.7719657707603</v>
      </c>
    </row>
    <row r="34" spans="1:16" ht="24.75" customHeight="1" x14ac:dyDescent="0.2">
      <c r="A34" s="255" t="s">
        <v>90</v>
      </c>
      <c r="B34" s="96">
        <f>'Kharif-Cereals U'!B35+'Kharif-pulses U'!B34</f>
        <v>482</v>
      </c>
      <c r="C34" s="96">
        <f>'Kharif-Cereals U'!C35+'Kharif-pulses U'!C34</f>
        <v>469</v>
      </c>
      <c r="D34" s="96">
        <f>'Kharif-Cereals U'!D35+'Kharif-pulses U'!D34</f>
        <v>451</v>
      </c>
      <c r="E34" s="96">
        <f>'Kharif-Cereals U'!E35+'Kharif-pulses U'!E34</f>
        <v>428</v>
      </c>
      <c r="F34" s="96">
        <f>'Kharif-Cereals U'!F35+'Kharif-pulses U'!F34</f>
        <v>439</v>
      </c>
      <c r="G34" s="96">
        <f>'Kharif-Cereals U'!G35+'Kharif-pulses U'!G34</f>
        <v>893</v>
      </c>
      <c r="H34" s="96">
        <f>'Kharif-Cereals U'!H35+'Kharif-pulses U'!H34</f>
        <v>906.50199999999995</v>
      </c>
      <c r="I34" s="96">
        <f>'Kharif-Cereals U'!I35+'Kharif-pulses U'!I34</f>
        <v>820.40300000000002</v>
      </c>
      <c r="J34" s="96">
        <f>'Kharif-Cereals U'!J35+'Kharif-pulses U'!J34</f>
        <v>868.06700000000001</v>
      </c>
      <c r="K34" s="96">
        <f>'Kharif-Cereals U'!K35+'Kharif-pulses U'!K34</f>
        <v>945.07100000000003</v>
      </c>
      <c r="L34" s="106">
        <f t="shared" si="1"/>
        <v>1852.6970954356848</v>
      </c>
      <c r="M34" s="106">
        <f t="shared" si="2"/>
        <v>1932.8400852878465</v>
      </c>
      <c r="N34" s="106">
        <f t="shared" si="3"/>
        <v>1819.0753880266075</v>
      </c>
      <c r="O34" s="106">
        <f t="shared" si="4"/>
        <v>2028.1939252336447</v>
      </c>
      <c r="P34" s="106">
        <f t="shared" si="5"/>
        <v>2152.78132118451</v>
      </c>
    </row>
    <row r="35" spans="1:16" ht="24.75" customHeight="1" x14ac:dyDescent="0.2">
      <c r="A35" s="255" t="s">
        <v>13</v>
      </c>
      <c r="B35" s="96">
        <f>'Kharif-Cereals U'!B36+'Kharif-pulses U'!B35</f>
        <v>4341.1810000000005</v>
      </c>
      <c r="C35" s="96">
        <f>'Kharif-Cereals U'!C36+'Kharif-pulses U'!C35</f>
        <v>4003.6800000000003</v>
      </c>
      <c r="D35" s="96">
        <f>'Kharif-Cereals U'!D36+'Kharif-pulses U'!D35</f>
        <v>4370.2860000000001</v>
      </c>
      <c r="E35" s="96">
        <f>'Kharif-Cereals U'!E36+'Kharif-pulses U'!E35</f>
        <v>4353.8950000000004</v>
      </c>
      <c r="F35" s="96">
        <f>'Kharif-Cereals U'!F36+'Kharif-pulses U'!F35</f>
        <v>4434.8790000000008</v>
      </c>
      <c r="G35" s="96">
        <f>'Kharif-Cereals U'!G36+'Kharif-pulses U'!G35</f>
        <v>11131.28972225</v>
      </c>
      <c r="H35" s="96">
        <f>'Kharif-Cereals U'!H36+'Kharif-pulses U'!H35</f>
        <v>10914.166000000001</v>
      </c>
      <c r="I35" s="96">
        <f>'Kharif-Cereals U'!I36+'Kharif-pulses U'!I35</f>
        <v>12134.283651999998</v>
      </c>
      <c r="J35" s="96">
        <f>'Kharif-Cereals U'!J36+'Kharif-pulses U'!J35</f>
        <v>11573.236181000002</v>
      </c>
      <c r="K35" s="96">
        <f>'Kharif-Cereals U'!K36+'Kharif-pulses U'!K35</f>
        <v>12076.787654000002</v>
      </c>
      <c r="L35" s="106">
        <f t="shared" si="1"/>
        <v>2564.1155534058585</v>
      </c>
      <c r="M35" s="106">
        <f t="shared" si="2"/>
        <v>2726.033549134796</v>
      </c>
      <c r="N35" s="106">
        <f t="shared" si="3"/>
        <v>2776.5422336204078</v>
      </c>
      <c r="O35" s="106">
        <f t="shared" si="4"/>
        <v>2658.133965334488</v>
      </c>
      <c r="P35" s="106">
        <f t="shared" si="5"/>
        <v>2723.1380278920797</v>
      </c>
    </row>
    <row r="36" spans="1:16" ht="24.75" customHeight="1" x14ac:dyDescent="0.2">
      <c r="A36" s="255" t="s">
        <v>32</v>
      </c>
      <c r="B36" s="96">
        <f>'Kharif-Cereals U'!B37+'Kharif-pulses U'!B36</f>
        <v>4.9870000000000001</v>
      </c>
      <c r="C36" s="96">
        <f>'Kharif-Cereals U'!C37+'Kharif-pulses U'!C36</f>
        <v>5.3853499999999999</v>
      </c>
      <c r="D36" s="96">
        <f>'Kharif-Cereals U'!D37+'Kharif-pulses U'!D36</f>
        <v>5.8857400000000002</v>
      </c>
      <c r="E36" s="96">
        <f>'Kharif-Cereals U'!E37+'Kharif-pulses U'!E36</f>
        <v>5.7011000000000003</v>
      </c>
      <c r="F36" s="96">
        <f>'Kharif-Cereals U'!F37+'Kharif-pulses U'!F36</f>
        <v>6.299100000000001</v>
      </c>
      <c r="G36" s="96">
        <f>'Kharif-Cereals U'!G37+'Kharif-pulses U'!G36</f>
        <v>12.809999999999999</v>
      </c>
      <c r="H36" s="96">
        <f>'Kharif-Cereals U'!H37+'Kharif-pulses U'!H36</f>
        <v>16.882277900000002</v>
      </c>
      <c r="I36" s="96">
        <f>'Kharif-Cereals U'!I37+'Kharif-pulses U'!I36</f>
        <v>11.622304633333332</v>
      </c>
      <c r="J36" s="96">
        <f>'Kharif-Cereals U'!J37+'Kharif-pulses U'!J36</f>
        <v>17.981269400000002</v>
      </c>
      <c r="K36" s="96">
        <f>'Kharif-Cereals U'!K37+'Kharif-pulses U'!K36</f>
        <v>13.454138</v>
      </c>
      <c r="L36" s="106">
        <f t="shared" si="1"/>
        <v>2568.6785642670943</v>
      </c>
      <c r="M36" s="106">
        <f t="shared" si="2"/>
        <v>3134.852497980633</v>
      </c>
      <c r="N36" s="106">
        <f t="shared" si="3"/>
        <v>1974.6547814435112</v>
      </c>
      <c r="O36" s="106">
        <f t="shared" si="4"/>
        <v>3154.0000000000005</v>
      </c>
      <c r="P36" s="106">
        <f t="shared" si="5"/>
        <v>2135.8825864012315</v>
      </c>
    </row>
    <row r="37" spans="1:16" ht="24.75" customHeight="1" x14ac:dyDescent="0.2">
      <c r="A37" s="263" t="s">
        <v>111</v>
      </c>
      <c r="B37" s="96">
        <f>'Kharif-Cereals U'!B43</f>
        <v>8.0000000000000004E-4</v>
      </c>
      <c r="C37" s="96">
        <f>'Kharif-Cereals U'!C43</f>
        <v>1E-3</v>
      </c>
      <c r="D37" s="96">
        <f>'Kharif-Cereals U'!D43</f>
        <v>1E-3</v>
      </c>
      <c r="E37" s="96">
        <f>'Kharif-Cereals U'!E43</f>
        <v>0.88</v>
      </c>
      <c r="F37" s="96">
        <f>'Kharif-Cereals U'!F43</f>
        <v>8.7999999999999995E-2</v>
      </c>
      <c r="G37" s="96">
        <f>'Kharif-Cereals U'!G43</f>
        <v>2.8E-3</v>
      </c>
      <c r="H37" s="96">
        <f>'Kharif-Cereals U'!H43</f>
        <v>7.3333333333333334E-4</v>
      </c>
      <c r="I37" s="96">
        <f>'Kharif-Cereals U'!I43</f>
        <v>3.5333333333333332E-3</v>
      </c>
      <c r="J37" s="96">
        <f>'Kharif-Cereals U'!J43</f>
        <v>4.6400000000000006</v>
      </c>
      <c r="K37" s="96">
        <f>'Kharif-Cereals U'!K43</f>
        <v>0.46400000000000002</v>
      </c>
      <c r="L37" s="106">
        <f t="shared" si="1"/>
        <v>3500</v>
      </c>
      <c r="M37" s="106">
        <f t="shared" si="2"/>
        <v>733.33333333333326</v>
      </c>
      <c r="N37" s="106">
        <f t="shared" si="3"/>
        <v>3533.333333333333</v>
      </c>
      <c r="O37" s="106">
        <f t="shared" si="4"/>
        <v>5272.727272727273</v>
      </c>
      <c r="P37" s="106">
        <f t="shared" si="5"/>
        <v>5272.727272727273</v>
      </c>
    </row>
    <row r="38" spans="1:16" ht="24.75" customHeight="1" x14ac:dyDescent="0.2">
      <c r="A38" s="255" t="s">
        <v>54</v>
      </c>
      <c r="B38" s="96">
        <f>'Kharif-Cereals U'!B38+'Kharif-pulses U'!B37</f>
        <v>17.658000000000001</v>
      </c>
      <c r="C38" s="96">
        <f>'Kharif-Cereals U'!C38+'Kharif-pulses U'!C37</f>
        <v>17.565000000000001</v>
      </c>
      <c r="D38" s="96">
        <f>'Kharif-Cereals U'!D38+'Kharif-pulses U'!D37</f>
        <v>18.09</v>
      </c>
      <c r="E38" s="96">
        <f>'Kharif-Cereals U'!E38+'Kharif-pulses U'!E37</f>
        <v>16.664999999999999</v>
      </c>
      <c r="F38" s="96">
        <f>'Kharif-Cereals U'!F38+'Kharif-pulses U'!F37</f>
        <v>16.698</v>
      </c>
      <c r="G38" s="96">
        <f>'Kharif-Cereals U'!G38+'Kharif-pulses U'!G37</f>
        <v>38.288866666666671</v>
      </c>
      <c r="H38" s="96">
        <f>'Kharif-Cereals U'!H38+'Kharif-pulses U'!H37</f>
        <v>35.267200000000003</v>
      </c>
      <c r="I38" s="96">
        <f>'Kharif-Cereals U'!I38+'Kharif-pulses U'!I37</f>
        <v>34.558259999999997</v>
      </c>
      <c r="J38" s="96">
        <f>'Kharif-Cereals U'!J38+'Kharif-pulses U'!J37</f>
        <v>31.567866666666664</v>
      </c>
      <c r="K38" s="96">
        <f>'Kharif-Cereals U'!K38+'Kharif-pulses U'!K37</f>
        <v>34.338474000000005</v>
      </c>
      <c r="L38" s="106">
        <f t="shared" si="1"/>
        <v>2168.3580624457281</v>
      </c>
      <c r="M38" s="106">
        <f t="shared" si="2"/>
        <v>2007.8109877597497</v>
      </c>
      <c r="N38" s="106">
        <f t="shared" si="3"/>
        <v>1910.3515754560528</v>
      </c>
      <c r="O38" s="106">
        <f t="shared" si="4"/>
        <v>1894.2614261426143</v>
      </c>
      <c r="P38" s="106">
        <f t="shared" si="5"/>
        <v>2056.4423284225659</v>
      </c>
    </row>
    <row r="39" spans="1:16" ht="24.75" customHeight="1" x14ac:dyDescent="0.2">
      <c r="A39" s="255" t="s">
        <v>23</v>
      </c>
      <c r="B39" s="96">
        <f>'Kharif-Cereals U'!B39+'Kharif-pulses U'!B40</f>
        <v>10.693000000000001</v>
      </c>
      <c r="C39" s="96">
        <f>'Kharif-Cereals U'!C39+'Kharif-pulses U'!C40</f>
        <v>10.530999999999999</v>
      </c>
      <c r="D39" s="96">
        <f>'Kharif-Cereals U'!D39+'Kharif-pulses U'!D40</f>
        <v>10.51</v>
      </c>
      <c r="E39" s="96">
        <f>'Kharif-Cereals U'!E39+'Kharif-pulses U'!E40</f>
        <v>10.484999999999999</v>
      </c>
      <c r="F39" s="96">
        <f>'Kharif-Cereals U'!F39+'Kharif-pulses U'!F40</f>
        <v>10.468</v>
      </c>
      <c r="G39" s="96">
        <f>'Kharif-Cereals U'!G39+'Kharif-pulses U'!G40</f>
        <v>23.777666666666665</v>
      </c>
      <c r="H39" s="96">
        <f>'Kharif-Cereals U'!H39+'Kharif-pulses U'!H40</f>
        <v>23.300629999999998</v>
      </c>
      <c r="I39" s="96">
        <f>'Kharif-Cereals U'!I39+'Kharif-pulses U'!I40</f>
        <v>23.22442134062927</v>
      </c>
      <c r="J39" s="96">
        <f>'Kharif-Cereals U'!J39+'Kharif-pulses U'!J40</f>
        <v>23.142000000000003</v>
      </c>
      <c r="K39" s="96">
        <f>'Kharif-Cereals U'!K39+'Kharif-pulses U'!K40</f>
        <v>28.010302000000003</v>
      </c>
      <c r="L39" s="106">
        <f t="shared" si="1"/>
        <v>2223.6665731475414</v>
      </c>
      <c r="M39" s="106">
        <f t="shared" si="2"/>
        <v>2212.5752540119647</v>
      </c>
      <c r="N39" s="106">
        <f t="shared" si="3"/>
        <v>2209.7451323148689</v>
      </c>
      <c r="O39" s="106">
        <f t="shared" si="4"/>
        <v>2207.153075822604</v>
      </c>
      <c r="P39" s="106">
        <f t="shared" si="5"/>
        <v>2675.802636606802</v>
      </c>
    </row>
    <row r="40" spans="1:16" ht="24.75" customHeight="1" x14ac:dyDescent="0.2">
      <c r="A40" s="255" t="s">
        <v>86</v>
      </c>
      <c r="B40" s="96">
        <f>'Kharif-Cereals U'!B40+'Kharif-pulses U'!B38</f>
        <v>2.2170000000000001</v>
      </c>
      <c r="C40" s="96">
        <f>'Kharif-Cereals U'!C40+'Kharif-pulses U'!C38</f>
        <v>2.2170000000000001</v>
      </c>
      <c r="D40" s="96">
        <f>'Kharif-Cereals U'!D40+'Kharif-pulses U'!D38</f>
        <v>1.9279999999999999</v>
      </c>
      <c r="E40" s="96">
        <f>'Kharif-Cereals U'!E40+'Kharif-pulses U'!E38</f>
        <v>1.46</v>
      </c>
      <c r="F40" s="96">
        <f>'Kharif-Cereals U'!F40+'Kharif-pulses U'!F38</f>
        <v>1.93</v>
      </c>
      <c r="G40" s="96">
        <f>'Kharif-Cereals U'!G40+'Kharif-pulses U'!G38</f>
        <v>2.5086666666666666</v>
      </c>
      <c r="H40" s="96">
        <f>'Kharif-Cereals U'!H40+'Kharif-pulses U'!H38</f>
        <v>2.7573479999999999</v>
      </c>
      <c r="I40" s="96">
        <f>'Kharif-Cereals U'!I40+'Kharif-pulses U'!I38</f>
        <v>2.4704426666666666</v>
      </c>
      <c r="J40" s="96">
        <f>'Kharif-Cereals U'!J40+'Kharif-pulses U'!J38</f>
        <v>2.6004166666666668</v>
      </c>
      <c r="K40" s="96">
        <f>'Kharif-Cereals U'!K40+'Kharif-pulses U'!K38</f>
        <v>3.5533679999999999</v>
      </c>
      <c r="L40" s="106">
        <f t="shared" si="1"/>
        <v>1131.5591640354835</v>
      </c>
      <c r="M40" s="106">
        <f t="shared" si="2"/>
        <v>1243.7293640054127</v>
      </c>
      <c r="N40" s="106">
        <f t="shared" si="3"/>
        <v>1281.3499308437069</v>
      </c>
      <c r="O40" s="106">
        <f t="shared" si="4"/>
        <v>1781.1073059360731</v>
      </c>
      <c r="P40" s="106">
        <f t="shared" si="5"/>
        <v>1841.1233160621759</v>
      </c>
    </row>
    <row r="41" spans="1:16" ht="24.75" customHeight="1" x14ac:dyDescent="0.2">
      <c r="A41" s="263" t="s">
        <v>205</v>
      </c>
      <c r="B41" s="96">
        <f>'Kharif-Cereals U'!B41+'Kharif-pulses U'!B39</f>
        <v>0</v>
      </c>
      <c r="C41" s="96">
        <f>'Kharif-Cereals U'!C41+'Kharif-pulses U'!C39</f>
        <v>0</v>
      </c>
      <c r="D41" s="96">
        <f>'Kharif-Cereals U'!D41+'Kharif-pulses U'!D39</f>
        <v>0</v>
      </c>
      <c r="E41" s="96">
        <f>'Kharif-Cereals U'!E41+'Kharif-pulses U'!E39</f>
        <v>0</v>
      </c>
      <c r="F41" s="96">
        <f>'Kharif-Cereals U'!F41+'Kharif-pulses U'!F39</f>
        <v>1.22</v>
      </c>
      <c r="G41" s="96">
        <f>'Kharif-Cereals U'!G41+'Kharif-pulses U'!G39</f>
        <v>0</v>
      </c>
      <c r="H41" s="96">
        <f>'Kharif-Cereals U'!H41+'Kharif-pulses U'!H39</f>
        <v>0</v>
      </c>
      <c r="I41" s="96">
        <f>'Kharif-Cereals U'!I41+'Kharif-pulses U'!I39</f>
        <v>0</v>
      </c>
      <c r="J41" s="96">
        <f>'Kharif-Cereals U'!J41+'Kharif-pulses U'!J39</f>
        <v>0</v>
      </c>
      <c r="K41" s="96">
        <f>'Kharif-Cereals U'!K41+'Kharif-pulses U'!K39</f>
        <v>1.095</v>
      </c>
      <c r="L41" s="106" t="e">
        <f t="shared" ref="L41" si="6">G41/B41*1000</f>
        <v>#DIV/0!</v>
      </c>
      <c r="M41" s="106" t="e">
        <f t="shared" ref="M41" si="7">H41/C41*1000</f>
        <v>#DIV/0!</v>
      </c>
      <c r="N41" s="106" t="e">
        <f t="shared" ref="N41" si="8">I41/D41*1000</f>
        <v>#DIV/0!</v>
      </c>
      <c r="O41" s="106" t="e">
        <f t="shared" ref="O41" si="9">J41/E41*1000</f>
        <v>#DIV/0!</v>
      </c>
      <c r="P41" s="106">
        <f t="shared" ref="P41" si="10">K41/F41*1000</f>
        <v>897.54098360655746</v>
      </c>
    </row>
    <row r="42" spans="1:16" ht="24.75" customHeight="1" x14ac:dyDescent="0.2">
      <c r="A42" s="255" t="s">
        <v>113</v>
      </c>
      <c r="B42" s="96">
        <f>'Kharif-Cereals U'!B42+'Kharif-pulses U'!B41</f>
        <v>12.576000000000001</v>
      </c>
      <c r="C42" s="96">
        <f>'Kharif-Cereals U'!C42+'Kharif-pulses U'!C41</f>
        <v>13.548000000000002</v>
      </c>
      <c r="D42" s="96">
        <f>'Kharif-Cereals U'!D42+'Kharif-pulses U'!D41</f>
        <v>13.694000000000001</v>
      </c>
      <c r="E42" s="96">
        <f>'Kharif-Cereals U'!E42+'Kharif-pulses U'!E41</f>
        <v>14.123200000000001</v>
      </c>
      <c r="F42" s="96">
        <f>'Kharif-Cereals U'!F42+'Kharif-pulses U'!F41</f>
        <v>4.4479999999999995</v>
      </c>
      <c r="G42" s="96">
        <f>'Kharif-Cereals U'!G42+'Kharif-pulses U'!G41</f>
        <v>36.657000000000004</v>
      </c>
      <c r="H42" s="96">
        <f>'Kharif-Cereals U'!H42+'Kharif-pulses U'!H41</f>
        <v>27.832342333333333</v>
      </c>
      <c r="I42" s="96">
        <f>'Kharif-Cereals U'!I42+'Kharif-pulses U'!I41</f>
        <v>47.219984999999994</v>
      </c>
      <c r="J42" s="96">
        <f>'Kharif-Cereals U'!J42+'Kharif-pulses U'!J41</f>
        <v>43.909914999999991</v>
      </c>
      <c r="K42" s="96">
        <f>'Kharif-Cereals U'!K42+'Kharif-pulses U'!K41</f>
        <v>14.750335999999999</v>
      </c>
      <c r="L42" s="106">
        <f t="shared" si="1"/>
        <v>2914.8377862595421</v>
      </c>
      <c r="M42" s="106">
        <f t="shared" si="2"/>
        <v>2054.3506298592656</v>
      </c>
      <c r="N42" s="106">
        <f t="shared" si="3"/>
        <v>3448.2244048488383</v>
      </c>
      <c r="O42" s="106">
        <f t="shared" si="4"/>
        <v>3109.0627478191905</v>
      </c>
      <c r="P42" s="106">
        <f t="shared" si="5"/>
        <v>3316.1726618705038</v>
      </c>
    </row>
    <row r="43" spans="1:16" s="8" customFormat="1" ht="24.75" customHeight="1" x14ac:dyDescent="0.2">
      <c r="A43" s="255" t="s">
        <v>46</v>
      </c>
      <c r="B43" s="103">
        <f>'Kharif-Cereals U'!B44+'Kharif-pulses U'!B42</f>
        <v>73203.867800000007</v>
      </c>
      <c r="C43" s="103">
        <f>'Kharif-Cereals U'!C44+'Kharif-pulses U'!C42</f>
        <v>71997.286939999991</v>
      </c>
      <c r="D43" s="103">
        <f>'Kharif-Cereals U'!D44+'Kharif-pulses U'!D42</f>
        <v>72329.013317139004</v>
      </c>
      <c r="E43" s="103">
        <f>'Kharif-Cereals U'!E44+'Kharif-pulses U'!E42</f>
        <v>70862.0022195536</v>
      </c>
      <c r="F43" s="103">
        <f>'Kharif-Cereals U'!F44+'Kharif-pulses U'!F42</f>
        <v>72441.546818684175</v>
      </c>
      <c r="G43" s="103">
        <f>'Kharif-Cereals U'!G44+'Kharif-pulses U'!G42</f>
        <v>138327.79487391666</v>
      </c>
      <c r="H43" s="103">
        <f>'Kharif-Cereals U'!H44+'Kharif-pulses U'!H42</f>
        <v>140466.22606342673</v>
      </c>
      <c r="I43" s="103">
        <f>'Kharif-Cereals U'!I44+'Kharif-pulses U'!I42</f>
        <v>141515.81948556483</v>
      </c>
      <c r="J43" s="103">
        <f>'Kharif-Cereals U'!J44+'Kharif-pulses U'!J42</f>
        <v>143812.15198221224</v>
      </c>
      <c r="K43" s="103">
        <f>'Kharif-Cereals U'!K44+'Kharif-pulses U'!K42</f>
        <v>150576.26084789436</v>
      </c>
      <c r="L43" s="107">
        <f t="shared" si="1"/>
        <v>1889.6241282201299</v>
      </c>
      <c r="M43" s="107">
        <f t="shared" si="2"/>
        <v>1950.9933225745901</v>
      </c>
      <c r="N43" s="107">
        <f t="shared" si="3"/>
        <v>1956.5567535819184</v>
      </c>
      <c r="O43" s="107">
        <f t="shared" si="4"/>
        <v>2029.4678033035996</v>
      </c>
      <c r="P43" s="107">
        <f t="shared" si="5"/>
        <v>2078.589807376361</v>
      </c>
    </row>
  </sheetData>
  <mergeCells count="20">
    <mergeCell ref="P4:P5"/>
    <mergeCell ref="G3:K3"/>
    <mergeCell ref="L3:P3"/>
    <mergeCell ref="A1:M1"/>
    <mergeCell ref="A3:A5"/>
    <mergeCell ref="G4:G5"/>
    <mergeCell ref="D4:D5"/>
    <mergeCell ref="B4:B5"/>
    <mergeCell ref="N4:N5"/>
    <mergeCell ref="I4:I5"/>
    <mergeCell ref="O4:O5"/>
    <mergeCell ref="B3:F3"/>
    <mergeCell ref="C4:C5"/>
    <mergeCell ref="H4:H5"/>
    <mergeCell ref="M4:M5"/>
    <mergeCell ref="L4:L5"/>
    <mergeCell ref="E4:E5"/>
    <mergeCell ref="J4:J5"/>
    <mergeCell ref="F4:F5"/>
    <mergeCell ref="K4:K5"/>
  </mergeCells>
  <phoneticPr fontId="0" type="noConversion"/>
  <printOptions horizontalCentered="1" verticalCentered="1"/>
  <pageMargins left="0.31496062992126" right="0.31496062992126" top="0.511811023622047" bottom="0.23622047244094499" header="0.511811023622047" footer="0.511811023622047"/>
  <pageSetup paperSize="9" scale="53" orientation="landscape" r:id="rId1"/>
  <headerFooter alignWithMargins="0"/>
  <rowBreaks count="1" manualBreakCount="1">
    <brk id="52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A43"/>
  <sheetViews>
    <sheetView tabSelected="1" view="pageBreakPreview" zoomScale="70" zoomScaleNormal="80" zoomScaleSheetLayoutView="70" workbookViewId="0">
      <pane xSplit="1" ySplit="6" topLeftCell="B37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6.42578125" style="4" customWidth="1"/>
    <col min="2" max="11" width="13.85546875" style="4" customWidth="1"/>
    <col min="12" max="16" width="11.5703125" style="4" customWidth="1"/>
    <col min="17" max="16384" width="9.140625" style="4"/>
  </cols>
  <sheetData>
    <row r="1" spans="1:157" ht="18" customHeight="1" x14ac:dyDescent="0.2">
      <c r="A1" s="344" t="s">
        <v>189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115"/>
      <c r="O1" s="115"/>
      <c r="P1" s="240"/>
    </row>
    <row r="2" spans="1:157" ht="18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6"/>
      <c r="M2" s="16"/>
      <c r="N2" s="16"/>
      <c r="O2" s="16"/>
      <c r="P2" s="16"/>
    </row>
    <row r="3" spans="1:157" s="3" customFormat="1" ht="18" x14ac:dyDescent="0.2">
      <c r="A3" s="340" t="s">
        <v>88</v>
      </c>
      <c r="B3" s="342" t="s">
        <v>174</v>
      </c>
      <c r="C3" s="342"/>
      <c r="D3" s="342"/>
      <c r="E3" s="342"/>
      <c r="F3" s="342"/>
      <c r="G3" s="342" t="s">
        <v>68</v>
      </c>
      <c r="H3" s="342"/>
      <c r="I3" s="342"/>
      <c r="J3" s="342"/>
      <c r="K3" s="342"/>
      <c r="L3" s="342" t="s">
        <v>89</v>
      </c>
      <c r="M3" s="342"/>
      <c r="N3" s="342"/>
      <c r="O3" s="342"/>
      <c r="P3" s="34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ht="15" customHeight="1" x14ac:dyDescent="0.2">
      <c r="A4" s="340"/>
      <c r="B4" s="341" t="s">
        <v>112</v>
      </c>
      <c r="C4" s="341" t="s">
        <v>164</v>
      </c>
      <c r="D4" s="341" t="s">
        <v>199</v>
      </c>
      <c r="E4" s="341" t="s">
        <v>200</v>
      </c>
      <c r="F4" s="341" t="s">
        <v>202</v>
      </c>
      <c r="G4" s="341" t="s">
        <v>112</v>
      </c>
      <c r="H4" s="341" t="s">
        <v>164</v>
      </c>
      <c r="I4" s="341" t="s">
        <v>199</v>
      </c>
      <c r="J4" s="341" t="s">
        <v>200</v>
      </c>
      <c r="K4" s="341" t="s">
        <v>202</v>
      </c>
      <c r="L4" s="341" t="s">
        <v>112</v>
      </c>
      <c r="M4" s="341" t="s">
        <v>164</v>
      </c>
      <c r="N4" s="341" t="s">
        <v>199</v>
      </c>
      <c r="O4" s="341" t="s">
        <v>200</v>
      </c>
      <c r="P4" s="341" t="s">
        <v>202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</row>
    <row r="5" spans="1:157" ht="20.25" customHeight="1" x14ac:dyDescent="0.2">
      <c r="A5" s="340"/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</row>
    <row r="6" spans="1:157" s="14" customFormat="1" ht="15.75" customHeight="1" x14ac:dyDescent="0.2">
      <c r="A6" s="187">
        <v>1</v>
      </c>
      <c r="B6" s="256">
        <v>2</v>
      </c>
      <c r="C6" s="256">
        <v>3</v>
      </c>
      <c r="D6" s="256">
        <v>4</v>
      </c>
      <c r="E6" s="256">
        <v>5</v>
      </c>
      <c r="F6" s="256">
        <v>6</v>
      </c>
      <c r="G6" s="256">
        <v>7</v>
      </c>
      <c r="H6" s="256">
        <v>8</v>
      </c>
      <c r="I6" s="256">
        <v>9</v>
      </c>
      <c r="J6" s="256">
        <v>10</v>
      </c>
      <c r="K6" s="256">
        <v>11</v>
      </c>
      <c r="L6" s="296">
        <v>12</v>
      </c>
      <c r="M6" s="296">
        <v>13</v>
      </c>
      <c r="N6" s="296">
        <v>14</v>
      </c>
      <c r="O6" s="296">
        <v>15</v>
      </c>
      <c r="P6" s="296">
        <v>16</v>
      </c>
    </row>
    <row r="7" spans="1:157" ht="19.5" customHeight="1" x14ac:dyDescent="0.2">
      <c r="A7" s="255" t="s">
        <v>2</v>
      </c>
      <c r="B7" s="76">
        <f>'Rabi Cereals U'!B8+'Rabi pulses U'!B7</f>
        <v>1795</v>
      </c>
      <c r="C7" s="76">
        <f>'Rabi Cereals U'!C8+'Rabi pulses U'!C7</f>
        <v>2059</v>
      </c>
      <c r="D7" s="76">
        <f>'Rabi Cereals U'!D8+'Rabi pulses U'!D7</f>
        <v>1910</v>
      </c>
      <c r="E7" s="76">
        <f>'Rabi Cereals U'!E8+'Rabi pulses U'!E7</f>
        <v>1986.1</v>
      </c>
      <c r="F7" s="76">
        <f>'Rabi Cereals U'!F8+'Rabi pulses U'!F7</f>
        <v>2093.5</v>
      </c>
      <c r="G7" s="76">
        <f>'Rabi Cereals U'!G8+'Rabi pulses U'!G7</f>
        <v>4801.3999999999996</v>
      </c>
      <c r="H7" s="76">
        <f>'Rabi Cereals U'!H8+'Rabi pulses U'!H7</f>
        <v>6353.644196131354</v>
      </c>
      <c r="I7" s="76">
        <f>'Rabi Cereals U'!I8+'Rabi pulses U'!I7</f>
        <v>5010.1563333333334</v>
      </c>
      <c r="J7" s="76">
        <f>'Rabi Cereals U'!J8+'Rabi pulses U'!J7</f>
        <v>6443.212987951807</v>
      </c>
      <c r="K7" s="76">
        <f>'Rabi Cereals U'!K8+'Rabi pulses U'!K7</f>
        <v>6402.9735000000001</v>
      </c>
      <c r="L7" s="106">
        <f>G7/B7*1000</f>
        <v>2674.8746518105845</v>
      </c>
      <c r="M7" s="106">
        <f t="shared" ref="M7:P7" si="0">H7/C7*1000</f>
        <v>3085.791256013285</v>
      </c>
      <c r="N7" s="106">
        <f t="shared" si="0"/>
        <v>2623.1184991273999</v>
      </c>
      <c r="O7" s="106">
        <f t="shared" si="0"/>
        <v>3244.1533598266992</v>
      </c>
      <c r="P7" s="106">
        <f t="shared" si="0"/>
        <v>3058.5017912586577</v>
      </c>
    </row>
    <row r="8" spans="1:157" ht="19.5" customHeight="1" x14ac:dyDescent="0.2">
      <c r="A8" s="255" t="s">
        <v>24</v>
      </c>
      <c r="B8" s="76">
        <f>'Rabi Cereals U'!B9+'Rabi pulses U'!B8</f>
        <v>20.710999999999999</v>
      </c>
      <c r="C8" s="76">
        <f>'Rabi Cereals U'!C9+'Rabi pulses U'!C8</f>
        <v>21.030999999999999</v>
      </c>
      <c r="D8" s="76">
        <f>'Rabi Cereals U'!D9+'Rabi pulses U'!D8</f>
        <v>11.934999999999999</v>
      </c>
      <c r="E8" s="76">
        <f>'Rabi Cereals U'!E9+'Rabi pulses U'!E8</f>
        <v>20.683</v>
      </c>
      <c r="F8" s="76">
        <f>'Rabi Cereals U'!F9+'Rabi pulses U'!F8</f>
        <v>21.253999999999998</v>
      </c>
      <c r="G8" s="76">
        <f>'Rabi Cereals U'!G9+'Rabi pulses U'!G8</f>
        <v>31.403999999999996</v>
      </c>
      <c r="H8" s="76">
        <f>'Rabi Cereals U'!H9+'Rabi pulses U'!H8</f>
        <v>32.418689333333333</v>
      </c>
      <c r="I8" s="76">
        <f>'Rabi Cereals U'!I9+'Rabi pulses U'!I8</f>
        <v>14.684081000000001</v>
      </c>
      <c r="J8" s="76">
        <f>'Rabi Cereals U'!J9+'Rabi pulses U'!J8</f>
        <v>32.205442000000005</v>
      </c>
      <c r="K8" s="76">
        <f>'Rabi Cereals U'!K9+'Rabi pulses U'!K8</f>
        <v>33.543889999999998</v>
      </c>
      <c r="L8" s="106">
        <f t="shared" ref="L8:L43" si="1">G8/B8*1000</f>
        <v>1516.2956882815895</v>
      </c>
      <c r="M8" s="106">
        <f t="shared" ref="M8:M43" si="2">H8/C8*1000</f>
        <v>1541.4716054078901</v>
      </c>
      <c r="N8" s="106">
        <f t="shared" ref="N8:N43" si="3">I8/D8*1000</f>
        <v>1230.3377461248431</v>
      </c>
      <c r="O8" s="106">
        <f t="shared" ref="O8:O43" si="4">J8/E8*1000</f>
        <v>1557.0972296088578</v>
      </c>
      <c r="P8" s="106">
        <f t="shared" ref="P8:P43" si="5">K8/F8*1000</f>
        <v>1578.2389197327561</v>
      </c>
    </row>
    <row r="9" spans="1:157" ht="19.5" customHeight="1" x14ac:dyDescent="0.2">
      <c r="A9" s="255" t="s">
        <v>25</v>
      </c>
      <c r="B9" s="76">
        <f>'Rabi Cereals U'!B10+'Rabi pulses U'!B9</f>
        <v>566.21800000000007</v>
      </c>
      <c r="C9" s="76">
        <f>'Rabi Cereals U'!C10+'Rabi pulses U'!C9</f>
        <v>567.28499999999997</v>
      </c>
      <c r="D9" s="76">
        <f>'Rabi Cereals U'!D10+'Rabi pulses U'!D9</f>
        <v>562.49699999999996</v>
      </c>
      <c r="E9" s="76">
        <f>'Rabi Cereals U'!E10+'Rabi pulses U'!E9</f>
        <v>544.98299999999995</v>
      </c>
      <c r="F9" s="76">
        <f>'Rabi Cereals U'!F10+'Rabi pulses U'!F9</f>
        <v>525.63299999999992</v>
      </c>
      <c r="G9" s="76">
        <f>'Rabi Cereals U'!G10+'Rabi pulses U'!G9</f>
        <v>1257.9449999999999</v>
      </c>
      <c r="H9" s="76">
        <f>'Rabi Cereals U'!H10+'Rabi pulses U'!H9</f>
        <v>1326.9400370000001</v>
      </c>
      <c r="I9" s="76">
        <f>'Rabi Cereals U'!I10+'Rabi pulses U'!I9</f>
        <v>1278.2609910000001</v>
      </c>
      <c r="J9" s="76">
        <f>'Rabi Cereals U'!J10+'Rabi pulses U'!J9</f>
        <v>1141.032782</v>
      </c>
      <c r="K9" s="76">
        <f>'Rabi Cereals U'!K10+'Rabi pulses U'!K9</f>
        <v>1188.082535</v>
      </c>
      <c r="L9" s="106">
        <f t="shared" si="1"/>
        <v>2221.6619747164518</v>
      </c>
      <c r="M9" s="106">
        <f t="shared" si="2"/>
        <v>2339.1065108367052</v>
      </c>
      <c r="N9" s="106">
        <f t="shared" si="3"/>
        <v>2272.4761038725542</v>
      </c>
      <c r="O9" s="106">
        <f t="shared" si="4"/>
        <v>2093.703440290798</v>
      </c>
      <c r="P9" s="106">
        <f t="shared" si="5"/>
        <v>2260.2890895358555</v>
      </c>
    </row>
    <row r="10" spans="1:157" ht="19.5" customHeight="1" x14ac:dyDescent="0.2">
      <c r="A10" s="255" t="s">
        <v>40</v>
      </c>
      <c r="B10" s="76">
        <f>'Rabi Cereals U'!B11+'Rabi pulses U'!B10</f>
        <v>3118.3009999999999</v>
      </c>
      <c r="C10" s="76">
        <f>'Rabi Cereals U'!C11+'Rabi pulses U'!C10</f>
        <v>3065.5319999999997</v>
      </c>
      <c r="D10" s="76">
        <f>'Rabi Cereals U'!D11+'Rabi pulses U'!D10</f>
        <v>3110.4540000000002</v>
      </c>
      <c r="E10" s="76">
        <f>'Rabi Cereals U'!E11+'Rabi pulses U'!E10</f>
        <v>3098.2449999999994</v>
      </c>
      <c r="F10" s="76">
        <f>'Rabi Cereals U'!F11+'Rabi pulses U'!F10</f>
        <v>3151.6150000000007</v>
      </c>
      <c r="G10" s="76">
        <f>'Rabi Cereals U'!G11+'Rabi pulses U'!G10</f>
        <v>7816.6034369999998</v>
      </c>
      <c r="H10" s="76">
        <f>'Rabi Cereals U'!H11+'Rabi pulses U'!H10</f>
        <v>8487.2497540000004</v>
      </c>
      <c r="I10" s="76">
        <f>'Rabi Cereals U'!I11+'Rabi pulses U'!I10</f>
        <v>9047.4837694500002</v>
      </c>
      <c r="J10" s="76">
        <f>'Rabi Cereals U'!J11+'Rabi pulses U'!J10</f>
        <v>7573.0188780000008</v>
      </c>
      <c r="K10" s="76">
        <f>'Rabi Cereals U'!K11+'Rabi pulses U'!K10</f>
        <v>8490.069845</v>
      </c>
      <c r="L10" s="106">
        <f t="shared" si="1"/>
        <v>2506.6866338432374</v>
      </c>
      <c r="M10" s="106">
        <f t="shared" si="2"/>
        <v>2768.6058256772399</v>
      </c>
      <c r="N10" s="106">
        <f t="shared" si="3"/>
        <v>2908.7341492431647</v>
      </c>
      <c r="O10" s="106">
        <f t="shared" si="4"/>
        <v>2444.2931007715665</v>
      </c>
      <c r="P10" s="106">
        <f t="shared" si="5"/>
        <v>2693.8791207047807</v>
      </c>
    </row>
    <row r="11" spans="1:157" ht="19.5" customHeight="1" x14ac:dyDescent="0.2">
      <c r="A11" s="255" t="s">
        <v>47</v>
      </c>
      <c r="B11" s="76">
        <f>'Rabi Cereals U'!B12+'Rabi pulses U'!B11</f>
        <v>792.3</v>
      </c>
      <c r="C11" s="76">
        <f>'Rabi Cereals U'!C12+'Rabi pulses U'!C11</f>
        <v>687.84</v>
      </c>
      <c r="D11" s="76">
        <f>'Rabi Cereals U'!D12+'Rabi pulses U'!D11</f>
        <v>650.42000000000007</v>
      </c>
      <c r="E11" s="76">
        <f>'Rabi Cereals U'!E12+'Rabi pulses U'!E11</f>
        <v>702.12</v>
      </c>
      <c r="F11" s="76">
        <f>'Rabi Cereals U'!F12+'Rabi pulses U'!F11</f>
        <v>647.57999999999993</v>
      </c>
      <c r="G11" s="76">
        <f>'Rabi Cereals U'!G12+'Rabi pulses U'!G11</f>
        <v>831.3</v>
      </c>
      <c r="H11" s="76">
        <f>'Rabi Cereals U'!H12+'Rabi pulses U'!H11</f>
        <v>596.36910999999998</v>
      </c>
      <c r="I11" s="76">
        <f>'Rabi Cereals U'!I12+'Rabi pulses U'!I11</f>
        <v>621.27258999999992</v>
      </c>
      <c r="J11" s="76">
        <f>'Rabi Cereals U'!J12+'Rabi pulses U'!J11</f>
        <v>284.15192000000002</v>
      </c>
      <c r="K11" s="76">
        <f>'Rabi Cereals U'!K12+'Rabi pulses U'!K11</f>
        <v>625.86047999999994</v>
      </c>
      <c r="L11" s="106">
        <f t="shared" si="1"/>
        <v>1049.2237788716395</v>
      </c>
      <c r="M11" s="106">
        <f t="shared" si="2"/>
        <v>867.01719876715515</v>
      </c>
      <c r="N11" s="106">
        <f t="shared" si="3"/>
        <v>955.18678699916961</v>
      </c>
      <c r="O11" s="106">
        <f t="shared" si="4"/>
        <v>404.70563436449612</v>
      </c>
      <c r="P11" s="106">
        <f t="shared" si="5"/>
        <v>966.46048364680814</v>
      </c>
    </row>
    <row r="12" spans="1:157" ht="19.5" customHeight="1" x14ac:dyDescent="0.2">
      <c r="A12" s="255" t="s">
        <v>15</v>
      </c>
      <c r="B12" s="76">
        <f>'Rabi Cereals U'!B13+'Rabi pulses U'!B12</f>
        <v>18.937999999999999</v>
      </c>
      <c r="C12" s="76">
        <f>'Rabi Cereals U'!C13+'Rabi pulses U'!C12</f>
        <v>16.646000000000001</v>
      </c>
      <c r="D12" s="76">
        <f>'Rabi Cereals U'!D13+'Rabi pulses U'!D12</f>
        <v>16.576000000000001</v>
      </c>
      <c r="E12" s="76">
        <f>'Rabi Cereals U'!E13+'Rabi pulses U'!E12</f>
        <v>14.684000000000001</v>
      </c>
      <c r="F12" s="76">
        <f>'Rabi Cereals U'!F13+'Rabi pulses U'!F12</f>
        <v>13.077</v>
      </c>
      <c r="G12" s="76">
        <f>'Rabi Cereals U'!G13+'Rabi pulses U'!G12</f>
        <v>41.911999999999999</v>
      </c>
      <c r="H12" s="76">
        <f>'Rabi Cereals U'!H13+'Rabi pulses U'!H12</f>
        <v>36.356907</v>
      </c>
      <c r="I12" s="76">
        <f>'Rabi Cereals U'!I13+'Rabi pulses U'!I12</f>
        <v>34.762073000000001</v>
      </c>
      <c r="J12" s="76">
        <f>'Rabi Cereals U'!J13+'Rabi pulses U'!J12</f>
        <v>33.677013000000002</v>
      </c>
      <c r="K12" s="76">
        <f>'Rabi Cereals U'!K13+'Rabi pulses U'!K12</f>
        <v>29.516920750000001</v>
      </c>
      <c r="L12" s="106">
        <f t="shared" si="1"/>
        <v>2213.1164853733235</v>
      </c>
      <c r="M12" s="106">
        <f t="shared" si="2"/>
        <v>2184.1227321879128</v>
      </c>
      <c r="N12" s="106">
        <f t="shared" si="3"/>
        <v>2097.1327823359075</v>
      </c>
      <c r="O12" s="106">
        <f t="shared" si="4"/>
        <v>2293.4495369109236</v>
      </c>
      <c r="P12" s="106">
        <f t="shared" si="5"/>
        <v>2257.1630152175576</v>
      </c>
    </row>
    <row r="13" spans="1:157" ht="19.5" customHeight="1" x14ac:dyDescent="0.2">
      <c r="A13" s="255" t="s">
        <v>4</v>
      </c>
      <c r="B13" s="76">
        <f>'Rabi Cereals U'!B14+'Rabi pulses U'!B13</f>
        <v>1421</v>
      </c>
      <c r="C13" s="76">
        <f>'Rabi Cereals U'!C14+'Rabi pulses U'!C13</f>
        <v>1585</v>
      </c>
      <c r="D13" s="76">
        <f>'Rabi Cereals U'!D14+'Rabi pulses U'!D13</f>
        <v>1182.6799999999998</v>
      </c>
      <c r="E13" s="76">
        <f>'Rabi Cereals U'!E14+'Rabi pulses U'!E13</f>
        <v>1728.44</v>
      </c>
      <c r="F13" s="76">
        <f>'Rabi Cereals U'!F14+'Rabi pulses U'!F13</f>
        <v>2152.16</v>
      </c>
      <c r="G13" s="76">
        <f>'Rabi Cereals U'!G14+'Rabi pulses U'!G13</f>
        <v>3423</v>
      </c>
      <c r="H13" s="76">
        <f>'Rabi Cereals U'!H14+'Rabi pulses U'!H13</f>
        <v>3850.3389999999999</v>
      </c>
      <c r="I13" s="76">
        <f>'Rabi Cereals U'!I14+'Rabi pulses U'!I13</f>
        <v>3078.5565599999995</v>
      </c>
      <c r="J13" s="76">
        <f>'Rabi Cereals U'!J14+'Rabi pulses U'!J13</f>
        <v>4586.3986500000001</v>
      </c>
      <c r="K13" s="76">
        <f>'Rabi Cereals U'!K14+'Rabi pulses U'!K13</f>
        <v>5128.6871284999997</v>
      </c>
      <c r="L13" s="106">
        <f t="shared" si="1"/>
        <v>2408.8669950738913</v>
      </c>
      <c r="M13" s="106">
        <f t="shared" si="2"/>
        <v>2429.2359621451105</v>
      </c>
      <c r="N13" s="106">
        <f t="shared" si="3"/>
        <v>2603.0342611695469</v>
      </c>
      <c r="O13" s="106">
        <f t="shared" si="4"/>
        <v>2653.4902281826385</v>
      </c>
      <c r="P13" s="106">
        <f t="shared" si="5"/>
        <v>2383.0417480577653</v>
      </c>
    </row>
    <row r="14" spans="1:157" ht="19.5" customHeight="1" x14ac:dyDescent="0.2">
      <c r="A14" s="255" t="s">
        <v>18</v>
      </c>
      <c r="B14" s="76">
        <f>'Rabi Cereals U'!B15+'Rabi pulses U'!B14</f>
        <v>2619.4</v>
      </c>
      <c r="C14" s="76">
        <f>'Rabi Cereals U'!C15+'Rabi pulses U'!C14</f>
        <v>2512</v>
      </c>
      <c r="D14" s="76">
        <f>'Rabi Cereals U'!D15+'Rabi pulses U'!D14</f>
        <v>2617.3000000000002</v>
      </c>
      <c r="E14" s="76">
        <f>'Rabi Cereals U'!E15+'Rabi pulses U'!E14</f>
        <v>2593.19</v>
      </c>
      <c r="F14" s="76">
        <f>'Rabi Cereals U'!F15+'Rabi pulses U'!F14</f>
        <v>2612.8200000000002</v>
      </c>
      <c r="G14" s="76">
        <f>'Rabi Cereals U'!G15+'Rabi pulses U'!G14</f>
        <v>11668.312</v>
      </c>
      <c r="H14" s="76">
        <f>'Rabi Cereals U'!H15+'Rabi pulses U'!H14</f>
        <v>10888.640500000001</v>
      </c>
      <c r="I14" s="76">
        <f>'Rabi Cereals U'!I15+'Rabi pulses U'!I14</f>
        <v>12698.2016</v>
      </c>
      <c r="J14" s="76">
        <f>'Rabi Cereals U'!J15+'Rabi pulses U'!J14</f>
        <v>11973.329580000001</v>
      </c>
      <c r="K14" s="76">
        <f>'Rabi Cereals U'!K15+'Rabi pulses U'!K14</f>
        <v>12465.24488</v>
      </c>
      <c r="L14" s="106">
        <f t="shared" si="1"/>
        <v>4454.5743299992364</v>
      </c>
      <c r="M14" s="106">
        <f t="shared" si="2"/>
        <v>4334.649880573249</v>
      </c>
      <c r="N14" s="106">
        <f t="shared" si="3"/>
        <v>4851.6416154051876</v>
      </c>
      <c r="O14" s="106">
        <f t="shared" si="4"/>
        <v>4617.220327087487</v>
      </c>
      <c r="P14" s="106">
        <f t="shared" si="5"/>
        <v>4770.8012339158458</v>
      </c>
    </row>
    <row r="15" spans="1:157" ht="19.5" customHeight="1" x14ac:dyDescent="0.2">
      <c r="A15" s="255" t="s">
        <v>56</v>
      </c>
      <c r="B15" s="76">
        <f>'Rabi Cereals U'!B16+'Rabi pulses U'!B15</f>
        <v>381.10599999999999</v>
      </c>
      <c r="C15" s="76">
        <f>'Rabi Cereals U'!C16+'Rabi pulses U'!C15</f>
        <v>351.26400000000007</v>
      </c>
      <c r="D15" s="76">
        <f>'Rabi Cereals U'!D16+'Rabi pulses U'!D15</f>
        <v>351.85199999999998</v>
      </c>
      <c r="E15" s="76">
        <f>'Rabi Cereals U'!E16+'Rabi pulses U'!E15</f>
        <v>318.93299999999999</v>
      </c>
      <c r="F15" s="76">
        <f>'Rabi Cereals U'!F16+'Rabi pulses U'!F15</f>
        <v>368.87600000000003</v>
      </c>
      <c r="G15" s="76">
        <f>'Rabi Cereals U'!G16+'Rabi pulses U'!G15</f>
        <v>790.41100000000006</v>
      </c>
      <c r="H15" s="76">
        <f>'Rabi Cereals U'!H16+'Rabi pulses U'!H15</f>
        <v>645.322</v>
      </c>
      <c r="I15" s="76">
        <f>'Rabi Cereals U'!I16+'Rabi pulses U'!I15</f>
        <v>642.86840000000007</v>
      </c>
      <c r="J15" s="76">
        <f>'Rabi Cereals U'!J16+'Rabi pulses U'!J15</f>
        <v>636.59031999999991</v>
      </c>
      <c r="K15" s="76">
        <f>'Rabi Cereals U'!K16+'Rabi pulses U'!K15</f>
        <v>641.03612899999996</v>
      </c>
      <c r="L15" s="106">
        <f t="shared" si="1"/>
        <v>2073.9925375092498</v>
      </c>
      <c r="M15" s="106">
        <f t="shared" si="2"/>
        <v>1837.1424341805591</v>
      </c>
      <c r="N15" s="106">
        <f t="shared" si="3"/>
        <v>1827.0988938530977</v>
      </c>
      <c r="O15" s="106">
        <f t="shared" si="4"/>
        <v>1996.0001630436484</v>
      </c>
      <c r="P15" s="106">
        <f t="shared" si="5"/>
        <v>1737.8092611067132</v>
      </c>
    </row>
    <row r="16" spans="1:157" ht="19.5" customHeight="1" x14ac:dyDescent="0.2">
      <c r="A16" s="255" t="s">
        <v>19</v>
      </c>
      <c r="B16" s="76">
        <f>'Rabi Cereals U'!B17+'Rabi pulses U'!B16</f>
        <v>299.35699999999997</v>
      </c>
      <c r="C16" s="76">
        <f>'Rabi Cereals U'!C17+'Rabi pulses U'!C16</f>
        <v>307.315</v>
      </c>
      <c r="D16" s="76">
        <f>'Rabi Cereals U'!D17+'Rabi pulses U'!D16</f>
        <v>297.64400000000001</v>
      </c>
      <c r="E16" s="76">
        <f>'Rabi Cereals U'!E17+'Rabi pulses U'!E16</f>
        <v>252.917</v>
      </c>
      <c r="F16" s="76">
        <f>'Rabi Cereals U'!F17+'Rabi pulses U'!F16</f>
        <v>249.14099999999999</v>
      </c>
      <c r="G16" s="76">
        <f>'Rabi Cereals U'!G17+'Rabi pulses U'!G16</f>
        <v>481.35803800000002</v>
      </c>
      <c r="H16" s="76">
        <f>'Rabi Cereals U'!H17+'Rabi pulses U'!H16</f>
        <v>492.26252700000003</v>
      </c>
      <c r="I16" s="76">
        <f>'Rabi Cereals U'!I17+'Rabi pulses U'!I16</f>
        <v>678.2108209999999</v>
      </c>
      <c r="J16" s="76">
        <f>'Rabi Cereals U'!J17+'Rabi pulses U'!J16</f>
        <v>493.92561499999999</v>
      </c>
      <c r="K16" s="76">
        <f>'Rabi Cereals U'!K17+'Rabi pulses U'!K16</f>
        <v>487.17397799999998</v>
      </c>
      <c r="L16" s="106">
        <f t="shared" si="1"/>
        <v>1607.9732159261353</v>
      </c>
      <c r="M16" s="106">
        <f t="shared" si="2"/>
        <v>1601.8174413875015</v>
      </c>
      <c r="N16" s="106">
        <f t="shared" si="3"/>
        <v>2278.59732096061</v>
      </c>
      <c r="O16" s="106">
        <f t="shared" si="4"/>
        <v>1952.9158380021904</v>
      </c>
      <c r="P16" s="106">
        <f t="shared" si="5"/>
        <v>1955.4147169675002</v>
      </c>
    </row>
    <row r="17" spans="1:16" ht="19.5" customHeight="1" x14ac:dyDescent="0.2">
      <c r="A17" s="255" t="s">
        <v>83</v>
      </c>
      <c r="B17" s="76">
        <f>'Rabi Cereals U'!B18+'Rabi pulses U'!B17</f>
        <v>570.07299999999998</v>
      </c>
      <c r="C17" s="76">
        <f>'Rabi Cereals U'!C18+'Rabi pulses U'!C17</f>
        <v>613.01099999999997</v>
      </c>
      <c r="D17" s="76">
        <f>'Rabi Cereals U'!D18+'Rabi pulses U'!D17</f>
        <v>480.83699999999999</v>
      </c>
      <c r="E17" s="76">
        <f>'Rabi Cereals U'!E18+'Rabi pulses U'!E17</f>
        <v>594.66599999999994</v>
      </c>
      <c r="F17" s="76">
        <f>'Rabi Cereals U'!F18+'Rabi pulses U'!F17</f>
        <v>663.42399999999998</v>
      </c>
      <c r="G17" s="76">
        <f>'Rabi Cereals U'!G18+'Rabi pulses U'!G17</f>
        <v>841.45610800000009</v>
      </c>
      <c r="H17" s="76">
        <f>'Rabi Cereals U'!H18+'Rabi pulses U'!H17</f>
        <v>922.91259799999989</v>
      </c>
      <c r="I17" s="76">
        <f>'Rabi Cereals U'!I18+'Rabi pulses U'!I17</f>
        <v>657.55369700000006</v>
      </c>
      <c r="J17" s="76">
        <f>'Rabi Cereals U'!J18+'Rabi pulses U'!J17</f>
        <v>873.11684800000012</v>
      </c>
      <c r="K17" s="76">
        <f>'Rabi Cereals U'!K18+'Rabi pulses U'!K17</f>
        <v>1054.9844640000001</v>
      </c>
      <c r="L17" s="106">
        <f t="shared" si="1"/>
        <v>1476.049748014728</v>
      </c>
      <c r="M17" s="106">
        <f t="shared" si="2"/>
        <v>1505.540027829843</v>
      </c>
      <c r="N17" s="106">
        <f t="shared" si="3"/>
        <v>1367.5189242924318</v>
      </c>
      <c r="O17" s="106">
        <f t="shared" si="4"/>
        <v>1468.2474666451424</v>
      </c>
      <c r="P17" s="106">
        <f t="shared" si="5"/>
        <v>1590.2114846613933</v>
      </c>
    </row>
    <row r="18" spans="1:16" ht="19.5" customHeight="1" x14ac:dyDescent="0.2">
      <c r="A18" s="255" t="s">
        <v>5</v>
      </c>
      <c r="B18" s="76">
        <f>'Rabi Cereals U'!B19+'Rabi pulses U'!B18</f>
        <v>2317.6999999999998</v>
      </c>
      <c r="C18" s="76">
        <f>'Rabi Cereals U'!C19+'Rabi pulses U'!C18</f>
        <v>2990.7</v>
      </c>
      <c r="D18" s="76">
        <f>'Rabi Cereals U'!D19+'Rabi pulses U'!D18</f>
        <v>2516.7399999999998</v>
      </c>
      <c r="E18" s="76">
        <f>'Rabi Cereals U'!E19+'Rabi pulses U'!E18</f>
        <v>2230.5</v>
      </c>
      <c r="F18" s="76">
        <f>'Rabi Cereals U'!F19+'Rabi pulses U'!F18</f>
        <v>2306.105</v>
      </c>
      <c r="G18" s="76">
        <f>'Rabi Cereals U'!G19+'Rabi pulses U'!G18</f>
        <v>2077.04</v>
      </c>
      <c r="H18" s="76">
        <f>'Rabi Cereals U'!H19+'Rabi pulses U'!H18</f>
        <v>3330.4480000000003</v>
      </c>
      <c r="I18" s="76">
        <f>'Rabi Cereals U'!I19+'Rabi pulses U'!I18</f>
        <v>2343.7233999999999</v>
      </c>
      <c r="J18" s="76">
        <f>'Rabi Cereals U'!J19+'Rabi pulses U'!J18</f>
        <v>3115.098</v>
      </c>
      <c r="K18" s="76">
        <f>'Rabi Cereals U'!K19+'Rabi pulses U'!K18</f>
        <v>3372.8043000000002</v>
      </c>
      <c r="L18" s="106">
        <f t="shared" si="1"/>
        <v>896.16430081546366</v>
      </c>
      <c r="M18" s="106">
        <f t="shared" si="2"/>
        <v>1113.6014979770623</v>
      </c>
      <c r="N18" s="106">
        <f t="shared" si="3"/>
        <v>931.25368532307675</v>
      </c>
      <c r="O18" s="106">
        <f t="shared" si="4"/>
        <v>1396.5917955615332</v>
      </c>
      <c r="P18" s="106">
        <f t="shared" si="5"/>
        <v>1462.5545237532551</v>
      </c>
    </row>
    <row r="19" spans="1:16" ht="19.5" customHeight="1" x14ac:dyDescent="0.2">
      <c r="A19" s="255" t="s">
        <v>17</v>
      </c>
      <c r="B19" s="76">
        <f>'Rabi Cereals U'!B20+'Rabi pulses U'!B19</f>
        <v>40.981999999999999</v>
      </c>
      <c r="C19" s="76">
        <f>'Rabi Cereals U'!C20+'Rabi pulses U'!C19</f>
        <v>45.943999999999996</v>
      </c>
      <c r="D19" s="76">
        <f>'Rabi Cereals U'!D20+'Rabi pulses U'!D19</f>
        <v>48.287469758691202</v>
      </c>
      <c r="E19" s="76">
        <f>'Rabi Cereals U'!E20+'Rabi pulses U'!E19</f>
        <v>48.053219135341443</v>
      </c>
      <c r="F19" s="76">
        <f>'Rabi Cereals U'!F20+'Rabi pulses U'!F19</f>
        <v>49.693873767140289</v>
      </c>
      <c r="G19" s="76">
        <f>'Rabi Cereals U'!G20+'Rabi pulses U'!G19</f>
        <v>115.07300000000001</v>
      </c>
      <c r="H19" s="76">
        <f>'Rabi Cereals U'!H20+'Rabi pulses U'!H19</f>
        <v>136.31915699999996</v>
      </c>
      <c r="I19" s="76">
        <f>'Rabi Cereals U'!I20+'Rabi pulses U'!I19</f>
        <v>150.55581936928874</v>
      </c>
      <c r="J19" s="76">
        <f>'Rabi Cereals U'!J20+'Rabi pulses U'!J19</f>
        <v>158.64549437426126</v>
      </c>
      <c r="K19" s="76">
        <f>'Rabi Cereals U'!K20+'Rabi pulses U'!K19</f>
        <v>165.74891463272974</v>
      </c>
      <c r="L19" s="106">
        <f t="shared" si="1"/>
        <v>2807.8912693377583</v>
      </c>
      <c r="M19" s="106">
        <f t="shared" si="2"/>
        <v>2967.0720224621273</v>
      </c>
      <c r="N19" s="106">
        <f t="shared" si="3"/>
        <v>3117.9065733132638</v>
      </c>
      <c r="O19" s="106">
        <f t="shared" si="4"/>
        <v>3301.4540384367947</v>
      </c>
      <c r="P19" s="106">
        <f t="shared" si="5"/>
        <v>3335.3993574622473</v>
      </c>
    </row>
    <row r="20" spans="1:16" ht="19.5" customHeight="1" x14ac:dyDescent="0.2">
      <c r="A20" s="255" t="s">
        <v>6</v>
      </c>
      <c r="B20" s="76">
        <f>'Rabi Cereals U'!B21+'Rabi pulses U'!B20</f>
        <v>10741.17</v>
      </c>
      <c r="C20" s="76">
        <f>'Rabi Cereals U'!C21+'Rabi pulses U'!C20</f>
        <v>10294</v>
      </c>
      <c r="D20" s="76">
        <f>'Rabi Cereals U'!D21+'Rabi pulses U'!D20</f>
        <v>9485</v>
      </c>
      <c r="E20" s="76">
        <f>'Rabi Cereals U'!E21+'Rabi pulses U'!E20</f>
        <v>9336.2000000000007</v>
      </c>
      <c r="F20" s="76">
        <f>'Rabi Cereals U'!F21+'Rabi pulses U'!F20</f>
        <v>9473</v>
      </c>
      <c r="G20" s="76">
        <f>'Rabi Cereals U'!G21+'Rabi pulses U'!G20</f>
        <v>22918.238813333333</v>
      </c>
      <c r="H20" s="76">
        <f>'Rabi Cereals U'!H21+'Rabi pulses U'!H20</f>
        <v>22200.461833333335</v>
      </c>
      <c r="I20" s="76">
        <f>'Rabi Cereals U'!I21+'Rabi pulses U'!I20</f>
        <v>21465.370999999999</v>
      </c>
      <c r="J20" s="76">
        <f>'Rabi Cereals U'!J21+'Rabi pulses U'!J20</f>
        <v>23205.076333333334</v>
      </c>
      <c r="K20" s="76">
        <f>'Rabi Cereals U'!K21+'Rabi pulses U'!K20</f>
        <v>23036.046000000002</v>
      </c>
      <c r="L20" s="106">
        <f t="shared" si="1"/>
        <v>2133.6817882347391</v>
      </c>
      <c r="M20" s="106">
        <f t="shared" si="2"/>
        <v>2156.6409397059779</v>
      </c>
      <c r="N20" s="106">
        <f t="shared" si="3"/>
        <v>2263.0860305745914</v>
      </c>
      <c r="O20" s="106">
        <f t="shared" si="4"/>
        <v>2485.4947766043283</v>
      </c>
      <c r="P20" s="106">
        <f t="shared" si="5"/>
        <v>2431.7582603188011</v>
      </c>
    </row>
    <row r="21" spans="1:16" ht="19.5" customHeight="1" x14ac:dyDescent="0.2">
      <c r="A21" s="255" t="s">
        <v>7</v>
      </c>
      <c r="B21" s="76">
        <f>'Rabi Cereals U'!B22+'Rabi pulses U'!B21</f>
        <v>6237.1999999999989</v>
      </c>
      <c r="C21" s="76">
        <f>'Rabi Cereals U'!C22+'Rabi pulses U'!C21</f>
        <v>5213.6000000000004</v>
      </c>
      <c r="D21" s="76">
        <f>'Rabi Cereals U'!D22+'Rabi pulses U'!D21</f>
        <v>4033.1000000000004</v>
      </c>
      <c r="E21" s="76">
        <f>'Rabi Cereals U'!E22+'Rabi pulses U'!E21</f>
        <v>5660.119999999999</v>
      </c>
      <c r="F21" s="76">
        <f>'Rabi Cereals U'!F22+'Rabi pulses U'!F21</f>
        <v>5744.77</v>
      </c>
      <c r="G21" s="76">
        <f>'Rabi Cereals U'!G22+'Rabi pulses U'!G21</f>
        <v>6432.4306999999999</v>
      </c>
      <c r="H21" s="76">
        <f>'Rabi Cereals U'!H22+'Rabi pulses U'!H21</f>
        <v>5606.9966000000004</v>
      </c>
      <c r="I21" s="76">
        <f>'Rabi Cereals U'!I22+'Rabi pulses U'!I21</f>
        <v>3685.02322</v>
      </c>
      <c r="J21" s="76">
        <f>'Rabi Cereals U'!J22+'Rabi pulses U'!J21</f>
        <v>6803.5775200000007</v>
      </c>
      <c r="K21" s="76">
        <f>'Rabi Cereals U'!K22+'Rabi pulses U'!K21</f>
        <v>7181.27513</v>
      </c>
      <c r="L21" s="106">
        <f t="shared" si="1"/>
        <v>1031.3010164817549</v>
      </c>
      <c r="M21" s="106">
        <f t="shared" si="2"/>
        <v>1075.4558462482737</v>
      </c>
      <c r="N21" s="106">
        <f t="shared" si="3"/>
        <v>913.69497904837465</v>
      </c>
      <c r="O21" s="106">
        <f t="shared" si="4"/>
        <v>1202.0200137099571</v>
      </c>
      <c r="P21" s="106">
        <f t="shared" si="5"/>
        <v>1250.0544199332608</v>
      </c>
    </row>
    <row r="22" spans="1:16" ht="19.5" customHeight="1" x14ac:dyDescent="0.2">
      <c r="A22" s="255" t="s">
        <v>29</v>
      </c>
      <c r="B22" s="76">
        <f>'Rabi Cereals U'!B23+'Rabi pulses U'!B22</f>
        <v>252.10000000000002</v>
      </c>
      <c r="C22" s="76">
        <f>'Rabi Cereals U'!C23+'Rabi pulses U'!C22</f>
        <v>244.35000000000002</v>
      </c>
      <c r="D22" s="76">
        <f>'Rabi Cereals U'!D23+'Rabi pulses U'!D22</f>
        <v>254.20999999999998</v>
      </c>
      <c r="E22" s="76">
        <f>'Rabi Cereals U'!E23+'Rabi pulses U'!E22</f>
        <v>169.66675396143606</v>
      </c>
      <c r="F22" s="76">
        <f>'Rabi Cereals U'!F23+'Rabi pulses U'!F22</f>
        <v>230.60000000000002</v>
      </c>
      <c r="G22" s="76">
        <f>'Rabi Cereals U'!G23+'Rabi pulses U'!G22</f>
        <v>333.64</v>
      </c>
      <c r="H22" s="76">
        <f>'Rabi Cereals U'!H23+'Rabi pulses U'!H22</f>
        <v>526.34811000000002</v>
      </c>
      <c r="I22" s="76">
        <f>'Rabi Cereals U'!I23+'Rabi pulses U'!I22</f>
        <v>405.68890999999991</v>
      </c>
      <c r="J22" s="76">
        <f>'Rabi Cereals U'!J23+'Rabi pulses U'!J22</f>
        <v>294.76339698751883</v>
      </c>
      <c r="K22" s="76">
        <f>'Rabi Cereals U'!K23+'Rabi pulses U'!K22</f>
        <v>569.58584399999995</v>
      </c>
      <c r="L22" s="106">
        <f t="shared" si="1"/>
        <v>1323.4430781435938</v>
      </c>
      <c r="M22" s="106">
        <f t="shared" si="2"/>
        <v>2154.0745242480048</v>
      </c>
      <c r="N22" s="106">
        <f t="shared" si="3"/>
        <v>1595.8810038944177</v>
      </c>
      <c r="O22" s="106">
        <f t="shared" si="4"/>
        <v>1737.3079292512207</v>
      </c>
      <c r="P22" s="106">
        <f t="shared" si="5"/>
        <v>2470.0166695576754</v>
      </c>
    </row>
    <row r="23" spans="1:16" ht="19.5" customHeight="1" x14ac:dyDescent="0.2">
      <c r="A23" s="255" t="s">
        <v>26</v>
      </c>
      <c r="B23" s="76">
        <f>'Rabi Cereals U'!B24+'Rabi pulses U'!B23</f>
        <v>21.15</v>
      </c>
      <c r="C23" s="76">
        <f>'Rabi Cereals U'!C24+'Rabi pulses U'!C23</f>
        <v>21.247</v>
      </c>
      <c r="D23" s="76">
        <f>'Rabi Cereals U'!D24+'Rabi pulses U'!D23</f>
        <v>22.478000000000002</v>
      </c>
      <c r="E23" s="76">
        <f>'Rabi Cereals U'!E24+'Rabi pulses U'!E23</f>
        <v>21.224</v>
      </c>
      <c r="F23" s="76">
        <f>'Rabi Cereals U'!F24+'Rabi pulses U'!F23</f>
        <v>21.244</v>
      </c>
      <c r="G23" s="76">
        <f>'Rabi Cereals U'!G24+'Rabi pulses U'!G23</f>
        <v>53.446666666666665</v>
      </c>
      <c r="H23" s="76">
        <f>'Rabi Cereals U'!H24+'Rabi pulses U'!H23</f>
        <v>74.713031999999998</v>
      </c>
      <c r="I23" s="76">
        <f>'Rabi Cereals U'!I24+'Rabi pulses U'!I23</f>
        <v>54.764881333333335</v>
      </c>
      <c r="J23" s="76">
        <f>'Rabi Cereals U'!J24+'Rabi pulses U'!J23</f>
        <v>74.428740000000005</v>
      </c>
      <c r="K23" s="76">
        <f>'Rabi Cereals U'!K24+'Rabi pulses U'!K23</f>
        <v>74.480048999999994</v>
      </c>
      <c r="L23" s="106">
        <f t="shared" si="1"/>
        <v>2527.0291568163912</v>
      </c>
      <c r="M23" s="106">
        <f t="shared" si="2"/>
        <v>3516.4038217160069</v>
      </c>
      <c r="N23" s="106">
        <f t="shared" si="3"/>
        <v>2436.3769611768544</v>
      </c>
      <c r="O23" s="106">
        <f t="shared" si="4"/>
        <v>3506.8196381454959</v>
      </c>
      <c r="P23" s="106">
        <f t="shared" si="5"/>
        <v>3505.9333929580112</v>
      </c>
    </row>
    <row r="24" spans="1:16" ht="19.5" customHeight="1" x14ac:dyDescent="0.2">
      <c r="A24" s="255" t="s">
        <v>30</v>
      </c>
      <c r="B24" s="76">
        <f>'Rabi Cereals U'!B25+'Rabi pulses U'!B24</f>
        <v>2.024</v>
      </c>
      <c r="C24" s="76">
        <f>'Rabi Cereals U'!C25+'Rabi pulses U'!C24</f>
        <v>2.1719999999999997</v>
      </c>
      <c r="D24" s="76">
        <f>'Rabi Cereals U'!D25+'Rabi pulses U'!D24</f>
        <v>2.56</v>
      </c>
      <c r="E24" s="76">
        <f>'Rabi Cereals U'!E25+'Rabi pulses U'!E24</f>
        <v>2.88</v>
      </c>
      <c r="F24" s="76">
        <f>'Rabi Cereals U'!F25+'Rabi pulses U'!F24</f>
        <v>3.05</v>
      </c>
      <c r="G24" s="76">
        <f>'Rabi Cereals U'!G25+'Rabi pulses U'!G24</f>
        <v>3.4299999999999997</v>
      </c>
      <c r="H24" s="76">
        <f>'Rabi Cereals U'!H25+'Rabi pulses U'!H24</f>
        <v>3.5341</v>
      </c>
      <c r="I24" s="76">
        <f>'Rabi Cereals U'!I25+'Rabi pulses U'!I24</f>
        <v>4.1370000000000005</v>
      </c>
      <c r="J24" s="76">
        <f>'Rabi Cereals U'!J25+'Rabi pulses U'!J24</f>
        <v>4.3</v>
      </c>
      <c r="K24" s="76">
        <f>'Rabi Cereals U'!K25+'Rabi pulses U'!K24</f>
        <v>4.7756659999999993</v>
      </c>
      <c r="L24" s="106">
        <f t="shared" si="1"/>
        <v>1694.6640316205533</v>
      </c>
      <c r="M24" s="106">
        <f t="shared" si="2"/>
        <v>1627.1178637200737</v>
      </c>
      <c r="N24" s="106">
        <f t="shared" si="3"/>
        <v>1616.0156250000002</v>
      </c>
      <c r="O24" s="106">
        <f t="shared" si="4"/>
        <v>1493.0555555555557</v>
      </c>
      <c r="P24" s="106">
        <f t="shared" si="5"/>
        <v>1565.7921311475409</v>
      </c>
    </row>
    <row r="25" spans="1:16" ht="19.5" customHeight="1" x14ac:dyDescent="0.2">
      <c r="A25" s="255" t="s">
        <v>20</v>
      </c>
      <c r="B25" s="76">
        <f>'Rabi Cereals U'!B26+'Rabi pulses U'!B25</f>
        <v>35.319999999999993</v>
      </c>
      <c r="C25" s="76">
        <f>'Rabi Cereals U'!C26+'Rabi pulses U'!C25</f>
        <v>35.43</v>
      </c>
      <c r="D25" s="76">
        <f>'Rabi Cereals U'!D26+'Rabi pulses U'!D25</f>
        <v>36.619999999999997</v>
      </c>
      <c r="E25" s="76">
        <f>'Rabi Cereals U'!E26+'Rabi pulses U'!E25</f>
        <v>36.97</v>
      </c>
      <c r="F25" s="76">
        <f>'Rabi Cereals U'!F26+'Rabi pulses U'!F25</f>
        <v>37.200000000000003</v>
      </c>
      <c r="G25" s="76">
        <f>'Rabi Cereals U'!G26+'Rabi pulses U'!G25</f>
        <v>50.203333333333333</v>
      </c>
      <c r="H25" s="76">
        <f>'Rabi Cereals U'!H26+'Rabi pulses U'!H25</f>
        <v>51.339750000000002</v>
      </c>
      <c r="I25" s="76">
        <f>'Rabi Cereals U'!I26+'Rabi pulses U'!I25</f>
        <v>52.610443333333329</v>
      </c>
      <c r="J25" s="76">
        <f>'Rabi Cereals U'!J26+'Rabi pulses U'!J25</f>
        <v>53.240369999999999</v>
      </c>
      <c r="K25" s="76">
        <f>'Rabi Cereals U'!K26+'Rabi pulses U'!K25</f>
        <v>53.859209999999997</v>
      </c>
      <c r="L25" s="106">
        <f t="shared" si="1"/>
        <v>1421.3854284635713</v>
      </c>
      <c r="M25" s="106">
        <f t="shared" si="2"/>
        <v>1449.0474174428452</v>
      </c>
      <c r="N25" s="106">
        <f t="shared" si="3"/>
        <v>1436.6587474968142</v>
      </c>
      <c r="O25" s="106">
        <f t="shared" si="4"/>
        <v>1440.0965647822559</v>
      </c>
      <c r="P25" s="106">
        <f t="shared" si="5"/>
        <v>1447.8282258064514</v>
      </c>
    </row>
    <row r="26" spans="1:16" ht="19.5" customHeight="1" x14ac:dyDescent="0.2">
      <c r="A26" s="255" t="s">
        <v>107</v>
      </c>
      <c r="B26" s="76">
        <f>'Rabi Cereals U'!B27+'Rabi pulses U'!B26</f>
        <v>576.34</v>
      </c>
      <c r="C26" s="76">
        <f>'Rabi Cereals U'!C27+'Rabi pulses U'!C26</f>
        <v>555.76</v>
      </c>
      <c r="D26" s="76">
        <f>'Rabi Cereals U'!D27+'Rabi pulses U'!D26</f>
        <v>594.04</v>
      </c>
      <c r="E26" s="76">
        <f>'Rabi Cereals U'!E27+'Rabi pulses U'!E26</f>
        <v>617.65</v>
      </c>
      <c r="F26" s="76">
        <f>'Rabi Cereals U'!F27+'Rabi pulses U'!F26</f>
        <v>727.7700000000001</v>
      </c>
      <c r="G26" s="76">
        <f>'Rabi Cereals U'!G27+'Rabi pulses U'!G26</f>
        <v>995.22</v>
      </c>
      <c r="H26" s="76">
        <f>'Rabi Cereals U'!H27+'Rabi pulses U'!H26</f>
        <v>882.64222000000018</v>
      </c>
      <c r="I26" s="76">
        <f>'Rabi Cereals U'!I27+'Rabi pulses U'!I26</f>
        <v>1093.2013400000001</v>
      </c>
      <c r="J26" s="76">
        <f>'Rabi Cereals U'!J27+'Rabi pulses U'!J26</f>
        <v>1092.1632500000001</v>
      </c>
      <c r="K26" s="76">
        <f>'Rabi Cereals U'!K27+'Rabi pulses U'!K26</f>
        <v>1317.89157</v>
      </c>
      <c r="L26" s="106">
        <f t="shared" si="1"/>
        <v>1726.793212339938</v>
      </c>
      <c r="M26" s="106">
        <f t="shared" si="2"/>
        <v>1588.1715488700161</v>
      </c>
      <c r="N26" s="106">
        <f t="shared" si="3"/>
        <v>1840.2823715574712</v>
      </c>
      <c r="O26" s="106">
        <f t="shared" si="4"/>
        <v>1768.2558892576703</v>
      </c>
      <c r="P26" s="106">
        <f t="shared" si="5"/>
        <v>1810.8627313574341</v>
      </c>
    </row>
    <row r="27" spans="1:16" ht="19.5" customHeight="1" x14ac:dyDescent="0.2">
      <c r="A27" s="255" t="s">
        <v>21</v>
      </c>
      <c r="B27" s="76">
        <f>'Rabi Cereals U'!B28+'Rabi pulses U'!B27</f>
        <v>3527.9</v>
      </c>
      <c r="C27" s="76">
        <f>'Rabi Cereals U'!C28+'Rabi pulses U'!C27</f>
        <v>3542.2</v>
      </c>
      <c r="D27" s="76">
        <f>'Rabi Cereals U'!D28+'Rabi pulses U'!D27</f>
        <v>3548.8</v>
      </c>
      <c r="E27" s="76">
        <f>'Rabi Cereals U'!E28+'Rabi pulses U'!E27</f>
        <v>3534</v>
      </c>
      <c r="F27" s="76">
        <f>'Rabi Cereals U'!F28+'Rabi pulses U'!F27</f>
        <v>3561.9</v>
      </c>
      <c r="G27" s="76">
        <f>'Rabi Cereals U'!G28+'Rabi pulses U'!G27</f>
        <v>16494.98</v>
      </c>
      <c r="H27" s="76">
        <f>'Rabi Cereals U'!H28+'Rabi pulses U'!H27</f>
        <v>17880.1937</v>
      </c>
      <c r="I27" s="76">
        <f>'Rabi Cereals U'!I28+'Rabi pulses U'!I27</f>
        <v>18308.723299999998</v>
      </c>
      <c r="J27" s="76">
        <f>'Rabi Cereals U'!J28+'Rabi pulses U'!J27</f>
        <v>17644.391999999996</v>
      </c>
      <c r="K27" s="76">
        <f>'Rabi Cereals U'!K28+'Rabi pulses U'!K27</f>
        <v>17233.529299999998</v>
      </c>
      <c r="L27" s="106">
        <f t="shared" si="1"/>
        <v>4675.580373593355</v>
      </c>
      <c r="M27" s="106">
        <f t="shared" si="2"/>
        <v>5047.7651459544923</v>
      </c>
      <c r="N27" s="106">
        <f t="shared" si="3"/>
        <v>5159.1307766005402</v>
      </c>
      <c r="O27" s="106">
        <f t="shared" si="4"/>
        <v>4992.753820033955</v>
      </c>
      <c r="P27" s="106">
        <f t="shared" si="5"/>
        <v>4838.2967798085283</v>
      </c>
    </row>
    <row r="28" spans="1:16" ht="19.5" customHeight="1" x14ac:dyDescent="0.2">
      <c r="A28" s="255" t="s">
        <v>22</v>
      </c>
      <c r="B28" s="76">
        <f>'Rabi Cereals U'!B29+'Rabi pulses U'!B28</f>
        <v>4751.125</v>
      </c>
      <c r="C28" s="76">
        <f>'Rabi Cereals U'!C29+'Rabi pulses U'!C28</f>
        <v>4718.7979999999998</v>
      </c>
      <c r="D28" s="76">
        <f>'Rabi Cereals U'!D29+'Rabi pulses U'!D28</f>
        <v>4738.982</v>
      </c>
      <c r="E28" s="76">
        <f>'Rabi Cereals U'!E29+'Rabi pulses U'!E28</f>
        <v>5936</v>
      </c>
      <c r="F28" s="76">
        <f>'Rabi Cereals U'!F29+'Rabi pulses U'!F28</f>
        <v>5439.4360000000006</v>
      </c>
      <c r="G28" s="76">
        <f>'Rabi Cereals U'!G29+'Rabi pulses U'!G28</f>
        <v>11365.232332</v>
      </c>
      <c r="H28" s="76">
        <f>'Rabi Cereals U'!H29+'Rabi pulses U'!H28</f>
        <v>12063.222579000001</v>
      </c>
      <c r="I28" s="76">
        <f>'Rabi Cereals U'!I29+'Rabi pulses U'!I28</f>
        <v>12787.742280999999</v>
      </c>
      <c r="J28" s="76">
        <f>'Rabi Cereals U'!J29+'Rabi pulses U'!J28</f>
        <v>14690.173770000001</v>
      </c>
      <c r="K28" s="76">
        <f>'Rabi Cereals U'!K29+'Rabi pulses U'!K28</f>
        <v>14377.296989831</v>
      </c>
      <c r="L28" s="106">
        <f t="shared" si="1"/>
        <v>2392.113937646347</v>
      </c>
      <c r="M28" s="106">
        <f t="shared" si="2"/>
        <v>2556.4185156898011</v>
      </c>
      <c r="N28" s="106">
        <f t="shared" si="3"/>
        <v>2698.41545737038</v>
      </c>
      <c r="O28" s="106">
        <f t="shared" si="4"/>
        <v>2474.759732142857</v>
      </c>
      <c r="P28" s="106">
        <f t="shared" si="5"/>
        <v>2643.1595095210232</v>
      </c>
    </row>
    <row r="29" spans="1:16" ht="19.5" customHeight="1" x14ac:dyDescent="0.2">
      <c r="A29" s="255" t="s">
        <v>84</v>
      </c>
      <c r="B29" s="76">
        <f>'Rabi Cereals U'!B30+'Rabi pulses U'!B29</f>
        <v>0.76</v>
      </c>
      <c r="C29" s="76">
        <f>'Rabi Cereals U'!C30+'Rabi pulses U'!C29</f>
        <v>0.59199999999999997</v>
      </c>
      <c r="D29" s="76">
        <f>'Rabi Cereals U'!D30+'Rabi pulses U'!D29</f>
        <v>0.94900000000000007</v>
      </c>
      <c r="E29" s="76">
        <f>'Rabi Cereals U'!E30+'Rabi pulses U'!E29</f>
        <v>0.56600000000000006</v>
      </c>
      <c r="F29" s="76">
        <f>'Rabi Cereals U'!F30+'Rabi pulses U'!F29</f>
        <v>0.44999999999999996</v>
      </c>
      <c r="G29" s="76">
        <f>'Rabi Cereals U'!G30+'Rabi pulses U'!G29</f>
        <v>0.81499999999999995</v>
      </c>
      <c r="H29" s="76">
        <f>'Rabi Cereals U'!H30+'Rabi pulses U'!H29</f>
        <v>0.63582800000000006</v>
      </c>
      <c r="I29" s="76">
        <f>'Rabi Cereals U'!I30+'Rabi pulses U'!I29</f>
        <v>1.019255</v>
      </c>
      <c r="J29" s="76">
        <f>'Rabi Cereals U'!J30+'Rabi pulses U'!J29</f>
        <v>0.64008100000000001</v>
      </c>
      <c r="K29" s="76">
        <f>'Rabi Cereals U'!K30+'Rabi pulses U'!K29</f>
        <v>0.52414399999999994</v>
      </c>
      <c r="L29" s="106">
        <f t="shared" si="1"/>
        <v>1072.3684210526314</v>
      </c>
      <c r="M29" s="106">
        <f t="shared" si="2"/>
        <v>1074.033783783784</v>
      </c>
      <c r="N29" s="106">
        <f t="shared" si="3"/>
        <v>1074.0305584826133</v>
      </c>
      <c r="O29" s="106">
        <f t="shared" si="4"/>
        <v>1130.8851590106005</v>
      </c>
      <c r="P29" s="106">
        <f t="shared" si="5"/>
        <v>1164.7644444444445</v>
      </c>
    </row>
    <row r="30" spans="1:16" ht="19.5" customHeight="1" x14ac:dyDescent="0.2">
      <c r="A30" s="255" t="s">
        <v>11</v>
      </c>
      <c r="B30" s="76">
        <f>'Rabi Cereals U'!B31+'Rabi pulses U'!B30</f>
        <v>976.23</v>
      </c>
      <c r="C30" s="76">
        <f>'Rabi Cereals U'!C31+'Rabi pulses U'!C30</f>
        <v>1062.4960000000001</v>
      </c>
      <c r="D30" s="76">
        <f>'Rabi Cereals U'!D31+'Rabi pulses U'!D30</f>
        <v>1233.2811531022958</v>
      </c>
      <c r="E30" s="76">
        <f>'Rabi Cereals U'!E31+'Rabi pulses U'!E30</f>
        <v>1181.7629073496169</v>
      </c>
      <c r="F30" s="76">
        <f>'Rabi Cereals U'!F31+'Rabi pulses U'!F30</f>
        <v>1150.4104075487016</v>
      </c>
      <c r="G30" s="76">
        <f>'Rabi Cereals U'!G31+'Rabi pulses U'!G30</f>
        <v>763.75619799999993</v>
      </c>
      <c r="H30" s="76">
        <f>'Rabi Cereals U'!H31+'Rabi pulses U'!H30</f>
        <v>2302.472186</v>
      </c>
      <c r="I30" s="76">
        <f>'Rabi Cereals U'!I31+'Rabi pulses U'!I30</f>
        <v>2852.7086713052158</v>
      </c>
      <c r="J30" s="76">
        <f>'Rabi Cereals U'!J31+'Rabi pulses U'!J30</f>
        <v>2571.1433867969372</v>
      </c>
      <c r="K30" s="76">
        <f>'Rabi Cereals U'!K31+'Rabi pulses U'!K30</f>
        <v>2156.5041478177782</v>
      </c>
      <c r="L30" s="106">
        <f t="shared" si="1"/>
        <v>782.35272220685692</v>
      </c>
      <c r="M30" s="106">
        <f t="shared" si="2"/>
        <v>2167.0408039183203</v>
      </c>
      <c r="N30" s="106">
        <f t="shared" si="3"/>
        <v>2313.1048943132555</v>
      </c>
      <c r="O30" s="106">
        <f t="shared" si="4"/>
        <v>2175.684624053174</v>
      </c>
      <c r="P30" s="106">
        <f t="shared" si="5"/>
        <v>1874.5520152350364</v>
      </c>
    </row>
    <row r="31" spans="1:16" ht="19.5" customHeight="1" x14ac:dyDescent="0.2">
      <c r="A31" s="255" t="s">
        <v>109</v>
      </c>
      <c r="B31" s="76">
        <f>'Rabi Cereals U'!B32+'Rabi pulses U'!B31</f>
        <v>1123.17</v>
      </c>
      <c r="C31" s="76">
        <f>'Rabi Cereals U'!C32+'Rabi pulses U'!C31</f>
        <v>1226</v>
      </c>
      <c r="D31" s="76">
        <f>'Rabi Cereals U'!D32+'Rabi pulses U'!D31</f>
        <v>1007</v>
      </c>
      <c r="E31" s="76">
        <f>'Rabi Cereals U'!E32+'Rabi pulses U'!E31</f>
        <v>1267</v>
      </c>
      <c r="F31" s="76">
        <f>'Rabi Cereals U'!F32+'Rabi pulses U'!F31</f>
        <v>1795.4</v>
      </c>
      <c r="G31" s="76">
        <f>'Rabi Cereals U'!G32+'Rabi pulses U'!G31</f>
        <v>3618.7457300000001</v>
      </c>
      <c r="H31" s="76">
        <f>'Rabi Cereals U'!H32+'Rabi pulses U'!H31</f>
        <v>4476.3737499999997</v>
      </c>
      <c r="I31" s="76">
        <f>'Rabi Cereals U'!I32+'Rabi pulses U'!I31</f>
        <v>3523.9030000000002</v>
      </c>
      <c r="J31" s="76">
        <f>'Rabi Cereals U'!J32+'Rabi pulses U'!J31</f>
        <v>4797.9103000000005</v>
      </c>
      <c r="K31" s="76">
        <f>'Rabi Cereals U'!K32+'Rabi pulses U'!K31</f>
        <v>6564.6084000000001</v>
      </c>
      <c r="L31" s="106">
        <f t="shared" si="1"/>
        <v>3221.9038346821944</v>
      </c>
      <c r="M31" s="106">
        <f t="shared" si="2"/>
        <v>3651.202079934747</v>
      </c>
      <c r="N31" s="106">
        <f t="shared" si="3"/>
        <v>3499.407149950348</v>
      </c>
      <c r="O31" s="106">
        <f t="shared" si="4"/>
        <v>3786.8273875295981</v>
      </c>
      <c r="P31" s="106">
        <f t="shared" si="5"/>
        <v>3656.3486688203188</v>
      </c>
    </row>
    <row r="32" spans="1:16" ht="19.5" customHeight="1" x14ac:dyDescent="0.2">
      <c r="A32" s="255" t="s">
        <v>85</v>
      </c>
      <c r="B32" s="76">
        <f>'Rabi Cereals U'!B33+'Rabi pulses U'!B32</f>
        <v>84.826999999999998</v>
      </c>
      <c r="C32" s="76">
        <f>'Rabi Cereals U'!C33+'Rabi pulses U'!C32</f>
        <v>86.375</v>
      </c>
      <c r="D32" s="76">
        <f>'Rabi Cereals U'!D33+'Rabi pulses U'!D32</f>
        <v>85.100999999999999</v>
      </c>
      <c r="E32" s="76">
        <f>'Rabi Cereals U'!E33+'Rabi pulses U'!E32</f>
        <v>83.575999999999993</v>
      </c>
      <c r="F32" s="76">
        <f>'Rabi Cereals U'!F33+'Rabi pulses U'!F32</f>
        <v>84.117000000000019</v>
      </c>
      <c r="G32" s="76">
        <f>'Rabi Cereals U'!G33+'Rabi pulses U'!G32</f>
        <v>243.57300000000001</v>
      </c>
      <c r="H32" s="76">
        <f>'Rabi Cereals U'!H33+'Rabi pulses U'!H32</f>
        <v>247.71554</v>
      </c>
      <c r="I32" s="76">
        <f>'Rabi Cereals U'!I33+'Rabi pulses U'!I32</f>
        <v>247.02089900000001</v>
      </c>
      <c r="J32" s="76">
        <f>'Rabi Cereals U'!J33+'Rabi pulses U'!J32</f>
        <v>242.09143499999999</v>
      </c>
      <c r="K32" s="76">
        <f>'Rabi Cereals U'!K33+'Rabi pulses U'!K32</f>
        <v>245.20144400000004</v>
      </c>
      <c r="L32" s="106">
        <f t="shared" si="1"/>
        <v>2871.4088674596533</v>
      </c>
      <c r="M32" s="106">
        <f t="shared" si="2"/>
        <v>2867.9078437047756</v>
      </c>
      <c r="N32" s="106">
        <f t="shared" si="3"/>
        <v>2902.6791577067252</v>
      </c>
      <c r="O32" s="106">
        <f t="shared" si="4"/>
        <v>2896.6621398487605</v>
      </c>
      <c r="P32" s="106">
        <f t="shared" si="5"/>
        <v>2915.0046245110975</v>
      </c>
    </row>
    <row r="33" spans="1:16" ht="19.5" customHeight="1" x14ac:dyDescent="0.2">
      <c r="A33" s="255" t="s">
        <v>12</v>
      </c>
      <c r="B33" s="76">
        <f>'Rabi Cereals U'!B34+'Rabi pulses U'!B33</f>
        <v>11395</v>
      </c>
      <c r="C33" s="76">
        <f>'Rabi Cereals U'!C34+'Rabi pulses U'!C33</f>
        <v>11353</v>
      </c>
      <c r="D33" s="76">
        <f>'Rabi Cereals U'!D34+'Rabi pulses U'!D33</f>
        <v>11247</v>
      </c>
      <c r="E33" s="76">
        <f>'Rabi Cereals U'!E34+'Rabi pulses U'!E33</f>
        <v>11627</v>
      </c>
      <c r="F33" s="76">
        <f>'Rabi Cereals U'!F34+'Rabi pulses U'!F33</f>
        <v>11636</v>
      </c>
      <c r="G33" s="76">
        <f>'Rabi Cereals U'!G34+'Rabi pulses U'!G33</f>
        <v>32233.079999999998</v>
      </c>
      <c r="H33" s="76">
        <f>'Rabi Cereals U'!H34+'Rabi pulses U'!H33</f>
        <v>34070.678449999999</v>
      </c>
      <c r="I33" s="76">
        <f>'Rabi Cereals U'!I34+'Rabi pulses U'!I33</f>
        <v>35241.667999999998</v>
      </c>
      <c r="J33" s="76">
        <f>'Rabi Cereals U'!J34+'Rabi pulses U'!J33</f>
        <v>36523.677000000003</v>
      </c>
      <c r="K33" s="76">
        <f>'Rabi Cereals U'!K34+'Rabi pulses U'!K33</f>
        <v>38146.228999999999</v>
      </c>
      <c r="L33" s="106">
        <f t="shared" si="1"/>
        <v>2828.7038174637996</v>
      </c>
      <c r="M33" s="106">
        <f t="shared" si="2"/>
        <v>3001.02866643178</v>
      </c>
      <c r="N33" s="106">
        <f t="shared" si="3"/>
        <v>3133.4282919889747</v>
      </c>
      <c r="O33" s="106">
        <f t="shared" si="4"/>
        <v>3141.2812419368711</v>
      </c>
      <c r="P33" s="106">
        <f t="shared" si="5"/>
        <v>3278.2940013750431</v>
      </c>
    </row>
    <row r="34" spans="1:16" ht="19.5" customHeight="1" x14ac:dyDescent="0.2">
      <c r="A34" s="255" t="s">
        <v>90</v>
      </c>
      <c r="B34" s="76">
        <f>'Rabi Cereals U'!B35+'Rabi pulses U'!B34</f>
        <v>395</v>
      </c>
      <c r="C34" s="76">
        <f>'Rabi Cereals U'!C35+'Rabi pulses U'!C34</f>
        <v>382</v>
      </c>
      <c r="D34" s="76">
        <f>'Rabi Cereals U'!D35+'Rabi pulses U'!D34</f>
        <v>384</v>
      </c>
      <c r="E34" s="76">
        <f>'Rabi Cereals U'!E35+'Rabi pulses U'!E34</f>
        <v>377</v>
      </c>
      <c r="F34" s="76">
        <f>'Rabi Cereals U'!F35+'Rabi pulses U'!F34</f>
        <v>370</v>
      </c>
      <c r="G34" s="76">
        <f>'Rabi Cereals U'!G35+'Rabi pulses U'!G34</f>
        <v>980</v>
      </c>
      <c r="H34" s="76">
        <f>'Rabi Cereals U'!H35+'Rabi pulses U'!H34</f>
        <v>996.68100000000004</v>
      </c>
      <c r="I34" s="76">
        <f>'Rabi Cereals U'!I35+'Rabi pulses U'!I34</f>
        <v>1055.7370000000001</v>
      </c>
      <c r="J34" s="76">
        <f>'Rabi Cereals U'!J35+'Rabi pulses U'!J34</f>
        <v>1017.9420000000001</v>
      </c>
      <c r="K34" s="76">
        <f>'Rabi Cereals U'!K35+'Rabi pulses U'!K34</f>
        <v>1056.771</v>
      </c>
      <c r="L34" s="106">
        <f t="shared" si="1"/>
        <v>2481.0126582278481</v>
      </c>
      <c r="M34" s="106">
        <f t="shared" si="2"/>
        <v>2609.1125654450266</v>
      </c>
      <c r="N34" s="106">
        <f t="shared" si="3"/>
        <v>2749.315104166667</v>
      </c>
      <c r="O34" s="106">
        <f t="shared" si="4"/>
        <v>2700.1114058355438</v>
      </c>
      <c r="P34" s="106">
        <f t="shared" si="5"/>
        <v>2856.1378378378377</v>
      </c>
    </row>
    <row r="35" spans="1:16" ht="19.5" customHeight="1" x14ac:dyDescent="0.2">
      <c r="A35" s="255" t="s">
        <v>13</v>
      </c>
      <c r="B35" s="76">
        <f>'Rabi Cereals U'!B36+'Rabi pulses U'!B35</f>
        <v>1921.46</v>
      </c>
      <c r="C35" s="76">
        <f>'Rabi Cereals U'!C36+'Rabi pulses U'!C35</f>
        <v>1940.98</v>
      </c>
      <c r="D35" s="76">
        <f>'Rabi Cereals U'!D36+'Rabi pulses U'!D35</f>
        <v>1991.0349999999999</v>
      </c>
      <c r="E35" s="76">
        <f>'Rabi Cereals U'!E36+'Rabi pulses U'!E35</f>
        <v>2117.6790000000001</v>
      </c>
      <c r="F35" s="76">
        <f>'Rabi Cereals U'!F36+'Rabi pulses U'!F35</f>
        <v>2177.4629999999997</v>
      </c>
      <c r="G35" s="76">
        <f>'Rabi Cereals U'!G36+'Rabi pulses U'!G35</f>
        <v>6015.1419999999989</v>
      </c>
      <c r="H35" s="76">
        <f>'Rabi Cereals U'!H36+'Rabi pulses U'!H35</f>
        <v>5963.3600000000006</v>
      </c>
      <c r="I35" s="76">
        <f>'Rabi Cereals U'!I36+'Rabi pulses U'!I35</f>
        <v>6555.588146000001</v>
      </c>
      <c r="J35" s="76">
        <f>'Rabi Cereals U'!J36+'Rabi pulses U'!J35</f>
        <v>7221.0892290000002</v>
      </c>
      <c r="K35" s="76">
        <f>'Rabi Cereals U'!K36+'Rabi pulses U'!K35</f>
        <v>7927.8520659999995</v>
      </c>
      <c r="L35" s="106">
        <f t="shared" si="1"/>
        <v>3130.5059694190873</v>
      </c>
      <c r="M35" s="106">
        <f t="shared" si="2"/>
        <v>3072.3448979381551</v>
      </c>
      <c r="N35" s="106">
        <f t="shared" si="3"/>
        <v>3292.5529415605456</v>
      </c>
      <c r="O35" s="106">
        <f t="shared" si="4"/>
        <v>3409.9073698138386</v>
      </c>
      <c r="P35" s="106">
        <f t="shared" si="5"/>
        <v>3640.8664882020962</v>
      </c>
    </row>
    <row r="36" spans="1:16" ht="19.5" customHeight="1" x14ac:dyDescent="0.2">
      <c r="A36" s="255" t="s">
        <v>32</v>
      </c>
      <c r="B36" s="76">
        <f>'Rabi pulses U'!B36</f>
        <v>1.53</v>
      </c>
      <c r="C36" s="76">
        <f>'Rabi pulses U'!C36</f>
        <v>0.54879999999999995</v>
      </c>
      <c r="D36" s="76">
        <f>'Rabi pulses U'!D36</f>
        <v>9.98E-2</v>
      </c>
      <c r="E36" s="76">
        <f>'Rabi pulses U'!E36</f>
        <v>0.51939999999999997</v>
      </c>
      <c r="F36" s="76">
        <f>'Rabi pulses U'!F36</f>
        <v>0.64440000000000008</v>
      </c>
      <c r="G36" s="76">
        <f>'Rabi pulses U'!G36</f>
        <v>0.46750000000000003</v>
      </c>
      <c r="H36" s="76">
        <f>'Rabi pulses U'!H36</f>
        <v>0.1763536</v>
      </c>
      <c r="I36" s="76">
        <f>'Rabi pulses U'!I36</f>
        <v>2.0957999999999997E-2</v>
      </c>
      <c r="J36" s="76">
        <f>'Rabi pulses U'!J36</f>
        <v>0.30010419999999999</v>
      </c>
      <c r="K36" s="76">
        <f>'Rabi pulses U'!K36</f>
        <v>0.26239600000000002</v>
      </c>
      <c r="L36" s="106">
        <f t="shared" si="1"/>
        <v>305.5555555555556</v>
      </c>
      <c r="M36" s="106">
        <f t="shared" si="2"/>
        <v>321.34402332361515</v>
      </c>
      <c r="N36" s="106">
        <f t="shared" si="3"/>
        <v>209.99999999999997</v>
      </c>
      <c r="O36" s="106">
        <f t="shared" si="4"/>
        <v>577.79014247208318</v>
      </c>
      <c r="P36" s="106">
        <f t="shared" si="5"/>
        <v>407.19428926132832</v>
      </c>
    </row>
    <row r="37" spans="1:16" ht="19.5" customHeight="1" x14ac:dyDescent="0.2">
      <c r="A37" s="255" t="s">
        <v>111</v>
      </c>
      <c r="B37" s="76">
        <f>'Rabi Cereals U'!B37</f>
        <v>5.5E-2</v>
      </c>
      <c r="C37" s="76">
        <f>'Rabi Cereals U'!C37</f>
        <v>5.4600000000000003E-2</v>
      </c>
      <c r="D37" s="76">
        <f>'Rabi Cereals U'!D37</f>
        <v>5.4600000000000003E-2</v>
      </c>
      <c r="E37" s="76">
        <f>'Rabi Cereals U'!E37</f>
        <v>0.54600000000000004</v>
      </c>
      <c r="F37" s="76">
        <f>'Rabi Cereals U'!F37</f>
        <v>0.54600000000000004</v>
      </c>
      <c r="G37" s="76">
        <f>'Rabi Cereals U'!G37</f>
        <v>0.25850000000000001</v>
      </c>
      <c r="H37" s="76">
        <f>'Rabi Cereals U'!H37</f>
        <v>0.2565654</v>
      </c>
      <c r="I37" s="76">
        <f>'Rabi Cereals U'!I37</f>
        <v>0.27300000000000002</v>
      </c>
      <c r="J37" s="76">
        <f>'Rabi Cereals U'!J37</f>
        <v>2.4569999999999999</v>
      </c>
      <c r="K37" s="76">
        <f>'Rabi Cereals U'!K37</f>
        <v>2.4569999999999999</v>
      </c>
      <c r="L37" s="106">
        <f t="shared" si="1"/>
        <v>4700</v>
      </c>
      <c r="M37" s="106">
        <f t="shared" si="2"/>
        <v>4699</v>
      </c>
      <c r="N37" s="106">
        <f t="shared" si="3"/>
        <v>5000</v>
      </c>
      <c r="O37" s="106">
        <f t="shared" si="4"/>
        <v>4499.9999999999991</v>
      </c>
      <c r="P37" s="106">
        <f t="shared" si="5"/>
        <v>4499.9999999999991</v>
      </c>
    </row>
    <row r="38" spans="1:16" ht="19.5" customHeight="1" x14ac:dyDescent="0.2">
      <c r="A38" s="255" t="s">
        <v>51</v>
      </c>
      <c r="B38" s="76">
        <f>'Rabi Cereals U'!B38+'Rabi pulses U'!B37</f>
        <v>0.44</v>
      </c>
      <c r="C38" s="76">
        <f>'Rabi Cereals U'!C38+'Rabi pulses U'!C37</f>
        <v>0.19</v>
      </c>
      <c r="D38" s="76">
        <f>'Rabi Cereals U'!D38+'Rabi pulses U'!D37</f>
        <v>1.58</v>
      </c>
      <c r="E38" s="76">
        <f>'Rabi Cereals U'!E38+'Rabi pulses U'!E37</f>
        <v>3.56</v>
      </c>
      <c r="F38" s="76">
        <f>'Rabi Cereals U'!F38+'Rabi pulses U'!F37</f>
        <v>0</v>
      </c>
      <c r="G38" s="76">
        <f>'Rabi Cereals U'!G38+'Rabi pulses U'!G37</f>
        <v>0.65200000000000002</v>
      </c>
      <c r="H38" s="76">
        <f>'Rabi Cereals U'!H38+'Rabi pulses U'!H37</f>
        <v>0.44199999999999995</v>
      </c>
      <c r="I38" s="76">
        <f>'Rabi Cereals U'!I38+'Rabi pulses U'!I37</f>
        <v>1.8932000000000002</v>
      </c>
      <c r="J38" s="76">
        <f>'Rabi Cereals U'!J38+'Rabi pulses U'!J37</f>
        <v>8.7666666666666675</v>
      </c>
      <c r="K38" s="76">
        <f>'Rabi Cereals U'!K38+'Rabi pulses U'!K37</f>
        <v>0</v>
      </c>
      <c r="L38" s="106">
        <f t="shared" si="1"/>
        <v>1481.818181818182</v>
      </c>
      <c r="M38" s="106">
        <f t="shared" si="2"/>
        <v>2326.3157894736837</v>
      </c>
      <c r="N38" s="106">
        <f t="shared" si="3"/>
        <v>1198.2278481012659</v>
      </c>
      <c r="O38" s="106">
        <f t="shared" si="4"/>
        <v>2462.5468164794011</v>
      </c>
      <c r="P38" s="106" t="e">
        <f t="shared" si="5"/>
        <v>#DIV/0!</v>
      </c>
    </row>
    <row r="39" spans="1:16" ht="19.5" customHeight="1" x14ac:dyDescent="0.2">
      <c r="A39" s="263" t="s">
        <v>203</v>
      </c>
      <c r="B39" s="76">
        <f>'Rabi Cereals U'!B39</f>
        <v>0</v>
      </c>
      <c r="C39" s="76">
        <f>'Rabi Cereals U'!C39</f>
        <v>0</v>
      </c>
      <c r="D39" s="76">
        <f>'Rabi Cereals U'!D39</f>
        <v>0</v>
      </c>
      <c r="E39" s="76">
        <f>'Rabi Cereals U'!E39</f>
        <v>0</v>
      </c>
      <c r="F39" s="76">
        <f>'Rabi Cereals U'!F39</f>
        <v>10.466000000000001</v>
      </c>
      <c r="G39" s="76">
        <f>'Rabi Cereals U'!G39</f>
        <v>0</v>
      </c>
      <c r="H39" s="76">
        <f>'Rabi Cereals U'!H39</f>
        <v>0</v>
      </c>
      <c r="I39" s="76">
        <f>'Rabi Cereals U'!I39</f>
        <v>0</v>
      </c>
      <c r="J39" s="76">
        <f>'Rabi Cereals U'!J39</f>
        <v>0</v>
      </c>
      <c r="K39" s="76">
        <f>'Rabi Cereals U'!K39</f>
        <v>10.865293999999999</v>
      </c>
      <c r="L39" s="106" t="e">
        <f t="shared" ref="L39" si="6">G39/B39*1000</f>
        <v>#DIV/0!</v>
      </c>
      <c r="M39" s="106" t="e">
        <f t="shared" ref="M39" si="7">H39/C39*1000</f>
        <v>#DIV/0!</v>
      </c>
      <c r="N39" s="106" t="e">
        <f t="shared" ref="N39" si="8">I39/D39*1000</f>
        <v>#DIV/0!</v>
      </c>
      <c r="O39" s="106" t="e">
        <f t="shared" ref="O39" si="9">J39/E39*1000</f>
        <v>#DIV/0!</v>
      </c>
      <c r="P39" s="106">
        <f t="shared" ref="P39" si="10">K39/F39*1000</f>
        <v>1038.151538314542</v>
      </c>
    </row>
    <row r="40" spans="1:16" ht="19.5" customHeight="1" x14ac:dyDescent="0.2">
      <c r="A40" s="255" t="s">
        <v>52</v>
      </c>
      <c r="B40" s="76">
        <f>'Rabi Cereals U'!B40+'Rabi pulses U'!B38</f>
        <v>19.754999999999999</v>
      </c>
      <c r="C40" s="76">
        <f>'Rabi Cereals U'!C40+'Rabi pulses U'!C38</f>
        <v>19.417000000000002</v>
      </c>
      <c r="D40" s="76">
        <f>'Rabi Cereals U'!D40+'Rabi pulses U'!D38</f>
        <v>19.280999999999999</v>
      </c>
      <c r="E40" s="76">
        <f>'Rabi Cereals U'!E40+'Rabi pulses U'!E38</f>
        <v>19.261999999999997</v>
      </c>
      <c r="F40" s="76">
        <f>'Rabi Cereals U'!F40+'Rabi pulses U'!F38</f>
        <v>19.231999999999999</v>
      </c>
      <c r="G40" s="76">
        <f>'Rabi Cereals U'!G40+'Rabi pulses U'!G38</f>
        <v>87.418999999999997</v>
      </c>
      <c r="H40" s="76">
        <f>'Rabi Cereals U'!H40+'Rabi pulses U'!H38</f>
        <v>83.608828000000003</v>
      </c>
      <c r="I40" s="76">
        <f>'Rabi Cereals U'!I40+'Rabi pulses U'!I38</f>
        <v>83.052625000000006</v>
      </c>
      <c r="J40" s="76">
        <f>'Rabi Cereals U'!J40+'Rabi pulses U'!J38</f>
        <v>83.05400000000003</v>
      </c>
      <c r="K40" s="76">
        <f>'Rabi Cereals U'!K40+'Rabi pulses U'!K38</f>
        <v>83.778800000000018</v>
      </c>
      <c r="L40" s="106">
        <f t="shared" si="1"/>
        <v>4425.1581878005572</v>
      </c>
      <c r="M40" s="106">
        <f t="shared" si="2"/>
        <v>4305.9601380233808</v>
      </c>
      <c r="N40" s="106">
        <f t="shared" si="3"/>
        <v>4307.4853482703184</v>
      </c>
      <c r="O40" s="106">
        <f t="shared" si="4"/>
        <v>4311.8056276606812</v>
      </c>
      <c r="P40" s="106">
        <f t="shared" si="5"/>
        <v>4356.2188019966734</v>
      </c>
    </row>
    <row r="41" spans="1:16" ht="19.5" customHeight="1" x14ac:dyDescent="0.2">
      <c r="A41" s="255" t="s">
        <v>86</v>
      </c>
      <c r="B41" s="76">
        <f>'Rabi pulses U'!B39</f>
        <v>0</v>
      </c>
      <c r="C41" s="76">
        <f>'Rabi pulses U'!C39</f>
        <v>0</v>
      </c>
      <c r="D41" s="76">
        <f>'Rabi pulses U'!D39</f>
        <v>0</v>
      </c>
      <c r="E41" s="76">
        <f>'Rabi pulses U'!E39</f>
        <v>0.34</v>
      </c>
      <c r="F41" s="76">
        <f>'Rabi pulses U'!F39</f>
        <v>0</v>
      </c>
      <c r="G41" s="76">
        <f>'Rabi pulses U'!G39</f>
        <v>0</v>
      </c>
      <c r="H41" s="76">
        <f>'Rabi pulses U'!H39</f>
        <v>0</v>
      </c>
      <c r="I41" s="76">
        <f>'Rabi pulses U'!I39</f>
        <v>0</v>
      </c>
      <c r="J41" s="76">
        <f>'Rabi pulses U'!J39</f>
        <v>0.34</v>
      </c>
      <c r="K41" s="76">
        <f>'Rabi pulses U'!K39</f>
        <v>0</v>
      </c>
      <c r="L41" s="106" t="e">
        <f t="shared" si="1"/>
        <v>#DIV/0!</v>
      </c>
      <c r="M41" s="106" t="e">
        <f t="shared" si="2"/>
        <v>#DIV/0!</v>
      </c>
      <c r="N41" s="106" t="e">
        <f t="shared" si="3"/>
        <v>#DIV/0!</v>
      </c>
      <c r="O41" s="106">
        <f t="shared" si="4"/>
        <v>1000</v>
      </c>
      <c r="P41" s="106" t="e">
        <f t="shared" si="5"/>
        <v>#DIV/0!</v>
      </c>
    </row>
    <row r="42" spans="1:16" ht="19.5" customHeight="1" x14ac:dyDescent="0.2">
      <c r="A42" s="255" t="s">
        <v>113</v>
      </c>
      <c r="B42" s="76">
        <f>'Rabi Cereals U'!B41+'Rabi pulses U'!B40</f>
        <v>5.27</v>
      </c>
      <c r="C42" s="76">
        <f>'Rabi Cereals U'!C41+'Rabi pulses U'!C40</f>
        <v>5.22</v>
      </c>
      <c r="D42" s="76">
        <f>'Rabi Cereals U'!D41+'Rabi pulses U'!D40</f>
        <v>5.5229999999999997</v>
      </c>
      <c r="E42" s="76">
        <f>'Rabi Cereals U'!E41+'Rabi pulses U'!E40</f>
        <v>5.4889999999999999</v>
      </c>
      <c r="F42" s="76">
        <f>'Rabi Cereals U'!F41+'Rabi pulses U'!F40</f>
        <v>14.88</v>
      </c>
      <c r="G42" s="76">
        <f>'Rabi Cereals U'!G41+'Rabi pulses U'!G40</f>
        <v>16.193999999999999</v>
      </c>
      <c r="H42" s="76">
        <f>'Rabi Cereals U'!H41+'Rabi pulses U'!H40</f>
        <v>16.235946999999999</v>
      </c>
      <c r="I42" s="76">
        <f>'Rabi Cereals U'!I41+'Rabi pulses U'!I40</f>
        <v>17.060230000000001</v>
      </c>
      <c r="J42" s="76">
        <f>'Rabi Cereals U'!J41+'Rabi pulses U'!J40</f>
        <v>16.373474999999999</v>
      </c>
      <c r="K42" s="76">
        <f>'Rabi Cereals U'!K41+'Rabi pulses U'!K40</f>
        <v>35.951460000000004</v>
      </c>
      <c r="L42" s="106">
        <f t="shared" si="1"/>
        <v>3072.8652751423151</v>
      </c>
      <c r="M42" s="106">
        <f t="shared" si="2"/>
        <v>3110.3346743295019</v>
      </c>
      <c r="N42" s="106">
        <f t="shared" si="3"/>
        <v>3088.9426036574328</v>
      </c>
      <c r="O42" s="106">
        <f t="shared" si="4"/>
        <v>2982.9613773000547</v>
      </c>
      <c r="P42" s="106">
        <f t="shared" si="5"/>
        <v>2416.0927419354839</v>
      </c>
    </row>
    <row r="43" spans="1:16" s="8" customFormat="1" ht="19.5" customHeight="1" x14ac:dyDescent="0.2">
      <c r="A43" s="255" t="s">
        <v>46</v>
      </c>
      <c r="B43" s="93">
        <f>'Rabi Cereals U'!B42+'Rabi pulses U'!B41</f>
        <v>56028.913</v>
      </c>
      <c r="C43" s="93">
        <f>'Rabi Cereals U'!C42+'Rabi pulses U'!C41</f>
        <v>55526.998399999989</v>
      </c>
      <c r="D43" s="93">
        <f>'Rabi Cereals U'!D42+'Rabi pulses U'!D41</f>
        <v>52447.918422860981</v>
      </c>
      <c r="E43" s="93">
        <f>'Rabi Cereals U'!E42+'Rabi pulses U'!E41</f>
        <v>56132.525380446394</v>
      </c>
      <c r="F43" s="93">
        <f>'Rabi Cereals U'!F42+'Rabi pulses U'!F41</f>
        <v>57353.459681315835</v>
      </c>
      <c r="G43" s="93">
        <f>'Rabi Cereals U'!G42+'Rabi pulses U'!G41</f>
        <v>136784.13935633335</v>
      </c>
      <c r="H43" s="93">
        <f>'Rabi Cereals U'!H42+'Rabi pulses U'!H41</f>
        <v>144547.31084779801</v>
      </c>
      <c r="I43" s="93">
        <f>'Rabi Cereals U'!I42+'Rabi pulses U'!I41</f>
        <v>143693.49749512452</v>
      </c>
      <c r="J43" s="93">
        <f>'Rabi Cereals U'!J42+'Rabi pulses U'!J41</f>
        <v>153692.30358831052</v>
      </c>
      <c r="K43" s="93">
        <f>'Rabi Cereals U'!K42+'Rabi pulses U'!K41</f>
        <v>160165.47487553151</v>
      </c>
      <c r="L43" s="107">
        <f t="shared" si="1"/>
        <v>2441.3134582199255</v>
      </c>
      <c r="M43" s="107">
        <f t="shared" si="2"/>
        <v>2603.1897097430365</v>
      </c>
      <c r="N43" s="107">
        <f t="shared" si="3"/>
        <v>2739.7369012168738</v>
      </c>
      <c r="O43" s="107">
        <f t="shared" si="4"/>
        <v>2738.0258156325317</v>
      </c>
      <c r="P43" s="107">
        <f t="shared" si="5"/>
        <v>2792.6035458974929</v>
      </c>
    </row>
  </sheetData>
  <mergeCells count="20">
    <mergeCell ref="P4:P5"/>
    <mergeCell ref="G3:K3"/>
    <mergeCell ref="L3:P3"/>
    <mergeCell ref="A1:M1"/>
    <mergeCell ref="A3:A5"/>
    <mergeCell ref="L4:L5"/>
    <mergeCell ref="G4:G5"/>
    <mergeCell ref="C4:C5"/>
    <mergeCell ref="N4:N5"/>
    <mergeCell ref="I4:I5"/>
    <mergeCell ref="O4:O5"/>
    <mergeCell ref="B3:F3"/>
    <mergeCell ref="H4:H5"/>
    <mergeCell ref="M4:M5"/>
    <mergeCell ref="D4:D5"/>
    <mergeCell ref="B4:B5"/>
    <mergeCell ref="E4:E5"/>
    <mergeCell ref="J4:J5"/>
    <mergeCell ref="F4:F5"/>
    <mergeCell ref="K4:K5"/>
  </mergeCells>
  <phoneticPr fontId="0" type="noConversion"/>
  <printOptions horizontalCentered="1" verticalCentered="1"/>
  <pageMargins left="0.31496062992126" right="0.31496062992126" top="0.23622047244094499" bottom="0.511811023622047" header="0.511811023622047" footer="0.511811023622047"/>
  <pageSetup paperSize="9" scale="61" orientation="landscape" r:id="rId1"/>
  <headerFooter alignWithMargins="0"/>
  <rowBreaks count="1" manualBreakCount="1">
    <brk id="46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1"/>
  <sheetViews>
    <sheetView tabSelected="1" view="pageBreakPreview" zoomScale="80" zoomScaleNormal="80" zoomScaleSheetLayoutView="80" workbookViewId="0">
      <pane xSplit="1" ySplit="6" topLeftCell="B40" activePane="bottomRight" state="frozen"/>
      <selection activeCell="U34" sqref="U34"/>
      <selection pane="topRight" activeCell="U34" sqref="U34"/>
      <selection pane="bottomLeft" activeCell="U34" sqref="U34"/>
      <selection pane="bottomRight" activeCell="L4" sqref="L4:P6"/>
    </sheetView>
  </sheetViews>
  <sheetFormatPr defaultRowHeight="15" x14ac:dyDescent="0.2"/>
  <cols>
    <col min="1" max="1" width="27.28515625" style="4" customWidth="1"/>
    <col min="2" max="6" width="13.5703125" style="4" customWidth="1"/>
    <col min="7" max="11" width="14.85546875" style="4" customWidth="1"/>
    <col min="12" max="16" width="11.85546875" style="4" customWidth="1"/>
    <col min="17" max="16384" width="9.140625" style="4"/>
  </cols>
  <sheetData>
    <row r="1" spans="1:16" ht="24" customHeight="1" x14ac:dyDescent="0.2"/>
    <row r="2" spans="1:16" ht="18" x14ac:dyDescent="0.2">
      <c r="A2" s="344" t="s">
        <v>190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6" ht="18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6"/>
      <c r="M3" s="16"/>
      <c r="N3" s="16"/>
      <c r="O3" s="16"/>
      <c r="P3" s="16"/>
    </row>
    <row r="4" spans="1:16" ht="24.75" customHeight="1" x14ac:dyDescent="0.2">
      <c r="A4" s="340" t="s">
        <v>88</v>
      </c>
      <c r="B4" s="342" t="s">
        <v>174</v>
      </c>
      <c r="C4" s="342"/>
      <c r="D4" s="342"/>
      <c r="E4" s="342"/>
      <c r="F4" s="342"/>
      <c r="G4" s="342" t="s">
        <v>68</v>
      </c>
      <c r="H4" s="342"/>
      <c r="I4" s="342"/>
      <c r="J4" s="342"/>
      <c r="K4" s="342"/>
      <c r="L4" s="342" t="s">
        <v>89</v>
      </c>
      <c r="M4" s="342"/>
      <c r="N4" s="342"/>
      <c r="O4" s="342"/>
      <c r="P4" s="342"/>
    </row>
    <row r="5" spans="1:16" ht="39.75" customHeight="1" x14ac:dyDescent="0.2">
      <c r="A5" s="340"/>
      <c r="B5" s="282" t="s">
        <v>112</v>
      </c>
      <c r="C5" s="282" t="s">
        <v>164</v>
      </c>
      <c r="D5" s="282" t="s">
        <v>199</v>
      </c>
      <c r="E5" s="282" t="s">
        <v>200</v>
      </c>
      <c r="F5" s="273" t="s">
        <v>202</v>
      </c>
      <c r="G5" s="282" t="s">
        <v>112</v>
      </c>
      <c r="H5" s="282" t="s">
        <v>164</v>
      </c>
      <c r="I5" s="282" t="s">
        <v>199</v>
      </c>
      <c r="J5" s="282" t="s">
        <v>200</v>
      </c>
      <c r="K5" s="273" t="s">
        <v>202</v>
      </c>
      <c r="L5" s="339" t="s">
        <v>112</v>
      </c>
      <c r="M5" s="339" t="s">
        <v>164</v>
      </c>
      <c r="N5" s="339" t="s">
        <v>199</v>
      </c>
      <c r="O5" s="339" t="s">
        <v>200</v>
      </c>
      <c r="P5" s="339" t="s">
        <v>202</v>
      </c>
    </row>
    <row r="6" spans="1:16" s="14" customFormat="1" ht="15.75" customHeight="1" x14ac:dyDescent="0.2">
      <c r="A6" s="268">
        <v>1</v>
      </c>
      <c r="B6" s="256">
        <v>2</v>
      </c>
      <c r="C6" s="256">
        <v>3</v>
      </c>
      <c r="D6" s="256">
        <v>4</v>
      </c>
      <c r="E6" s="256">
        <v>5</v>
      </c>
      <c r="F6" s="256">
        <v>6</v>
      </c>
      <c r="G6" s="256">
        <v>7</v>
      </c>
      <c r="H6" s="256">
        <v>8</v>
      </c>
      <c r="I6" s="256">
        <v>9</v>
      </c>
      <c r="J6" s="256">
        <v>10</v>
      </c>
      <c r="K6" s="256">
        <v>11</v>
      </c>
      <c r="L6" s="296">
        <v>12</v>
      </c>
      <c r="M6" s="296">
        <v>13</v>
      </c>
      <c r="N6" s="296">
        <v>14</v>
      </c>
      <c r="O6" s="296">
        <v>15</v>
      </c>
      <c r="P6" s="296">
        <v>16</v>
      </c>
    </row>
    <row r="7" spans="1:16" ht="24" customHeight="1" x14ac:dyDescent="0.2">
      <c r="A7" s="255" t="s">
        <v>2</v>
      </c>
      <c r="B7" s="76">
        <f>'Kharif-foodgrains U'!B7+'Rabi-foodgrains U'!B7</f>
        <v>3970</v>
      </c>
      <c r="C7" s="76">
        <f>'Kharif-foodgrains U'!C7+'Rabi-foodgrains U'!C7</f>
        <v>4144</v>
      </c>
      <c r="D7" s="76">
        <f>'Kharif-foodgrains U'!D7+'Rabi-foodgrains U'!D7</f>
        <v>4023</v>
      </c>
      <c r="E7" s="76">
        <f>'Kharif-foodgrains U'!E7+'Rabi-foodgrains U'!E7</f>
        <v>4089.1</v>
      </c>
      <c r="F7" s="76">
        <f>'Kharif-foodgrains U'!F7+'Rabi-foodgrains U'!F7</f>
        <v>4074.5</v>
      </c>
      <c r="G7" s="76">
        <f>'Kharif-foodgrains U'!G7+'Rabi-foodgrains U'!G7</f>
        <v>10365.432000000001</v>
      </c>
      <c r="H7" s="76">
        <f>'Kharif-foodgrains U'!H7+'Rabi-foodgrains U'!H7</f>
        <v>12159.774529464688</v>
      </c>
      <c r="I7" s="76">
        <f>'Kharif-foodgrains U'!I7+'Rabi-foodgrains U'!I7</f>
        <v>10838.805666666667</v>
      </c>
      <c r="J7" s="76">
        <f>'Kharif-foodgrains U'!J7+'Rabi-foodgrains U'!J7</f>
        <v>12356.778987951806</v>
      </c>
      <c r="K7" s="76">
        <f>'Kharif-foodgrains U'!K7+'Rabi-foodgrains U'!K7</f>
        <v>11299.039499999999</v>
      </c>
      <c r="L7" s="106">
        <f>G7/B7*1000</f>
        <v>2610.9400503778338</v>
      </c>
      <c r="M7" s="106">
        <f t="shared" ref="M7:P7" si="0">H7/C7*1000</f>
        <v>2934.3085254499729</v>
      </c>
      <c r="N7" s="106">
        <f t="shared" si="0"/>
        <v>2694.2097108293979</v>
      </c>
      <c r="O7" s="106">
        <f t="shared" si="0"/>
        <v>3021.8823183467771</v>
      </c>
      <c r="P7" s="106">
        <f t="shared" si="0"/>
        <v>2773.110688428028</v>
      </c>
    </row>
    <row r="8" spans="1:16" ht="24" customHeight="1" x14ac:dyDescent="0.2">
      <c r="A8" s="255" t="s">
        <v>24</v>
      </c>
      <c r="B8" s="76">
        <f>'Kharif-foodgrains U'!B8+'Rabi-foodgrains U'!B8</f>
        <v>203.49099999999999</v>
      </c>
      <c r="C8" s="76">
        <f>'Kharif-foodgrains U'!C8+'Rabi-foodgrains U'!C8</f>
        <v>226.69199999999998</v>
      </c>
      <c r="D8" s="76">
        <f>'Kharif-foodgrains U'!D8+'Rabi-foodgrains U'!D8</f>
        <v>228.20699999999999</v>
      </c>
      <c r="E8" s="76">
        <f>'Kharif-foodgrains U'!E8+'Rabi-foodgrains U'!E8</f>
        <v>228.756</v>
      </c>
      <c r="F8" s="76">
        <f>'Kharif-foodgrains U'!F8+'Rabi-foodgrains U'!F8</f>
        <v>229.041</v>
      </c>
      <c r="G8" s="76">
        <f>'Kharif-foodgrains U'!G8+'Rabi-foodgrains U'!G8</f>
        <v>343.31</v>
      </c>
      <c r="H8" s="76">
        <f>'Kharif-foodgrains U'!H8+'Rabi-foodgrains U'!H8</f>
        <v>359.07774433333327</v>
      </c>
      <c r="I8" s="76">
        <f>'Kharif-foodgrains U'!I8+'Rabi-foodgrains U'!I8</f>
        <v>365.15018999999995</v>
      </c>
      <c r="J8" s="76">
        <f>'Kharif-foodgrains U'!J8+'Rabi-foodgrains U'!J8</f>
        <v>373.18811900000003</v>
      </c>
      <c r="K8" s="76">
        <f>'Kharif-foodgrains U'!K8+'Rabi-foodgrains U'!K8</f>
        <v>377.06870599999996</v>
      </c>
      <c r="L8" s="106">
        <f t="shared" ref="L8:L43" si="1">G8/B8*1000</f>
        <v>1687.1016408588096</v>
      </c>
      <c r="M8" s="106">
        <f t="shared" ref="M8:M43" si="2">H8/C8*1000</f>
        <v>1583.9894849987352</v>
      </c>
      <c r="N8" s="106">
        <f t="shared" ref="N8:N43" si="3">I8/D8*1000</f>
        <v>1600.0832139242002</v>
      </c>
      <c r="O8" s="106">
        <f t="shared" ref="O8:O43" si="4">J8/E8*1000</f>
        <v>1631.3806807253145</v>
      </c>
      <c r="P8" s="106">
        <f t="shared" ref="P8:P43" si="5">K8/F8*1000</f>
        <v>1646.2934845726309</v>
      </c>
    </row>
    <row r="9" spans="1:16" ht="24" customHeight="1" x14ac:dyDescent="0.2">
      <c r="A9" s="255" t="s">
        <v>25</v>
      </c>
      <c r="B9" s="76">
        <f>'Kharif-foodgrains U'!B9+'Rabi-foodgrains U'!B9</f>
        <v>2667.0249999999996</v>
      </c>
      <c r="C9" s="76">
        <f>'Kharif-foodgrains U'!C9+'Rabi-foodgrains U'!C9</f>
        <v>2642.973</v>
      </c>
      <c r="D9" s="76">
        <f>'Kharif-foodgrains U'!D9+'Rabi-foodgrains U'!D9</f>
        <v>2629.826</v>
      </c>
      <c r="E9" s="76">
        <f>'Kharif-foodgrains U'!E9+'Rabi-foodgrains U'!E9</f>
        <v>2487.6610000000001</v>
      </c>
      <c r="F9" s="76">
        <f>'Kharif-foodgrains U'!F9+'Rabi-foodgrains U'!F9</f>
        <v>2558.2419999999997</v>
      </c>
      <c r="G9" s="76">
        <f>'Kharif-foodgrains U'!G9+'Rabi-foodgrains U'!G9</f>
        <v>4952.5039999999999</v>
      </c>
      <c r="H9" s="76">
        <f>'Kharif-foodgrains U'!H9+'Rabi-foodgrains U'!H9</f>
        <v>5525.9112900000009</v>
      </c>
      <c r="I9" s="76">
        <f>'Kharif-foodgrains U'!I9+'Rabi-foodgrains U'!I9</f>
        <v>5465.8554320000012</v>
      </c>
      <c r="J9" s="76">
        <f>'Kharif-foodgrains U'!J9+'Rabi-foodgrains U'!J9</f>
        <v>5236.4027672043821</v>
      </c>
      <c r="K9" s="76">
        <f>'Kharif-foodgrains U'!K9+'Rabi-foodgrains U'!K9</f>
        <v>5487.5109109999994</v>
      </c>
      <c r="L9" s="106">
        <f t="shared" si="1"/>
        <v>1856.9394737582138</v>
      </c>
      <c r="M9" s="106">
        <f t="shared" si="2"/>
        <v>2090.7936970979276</v>
      </c>
      <c r="N9" s="106">
        <f t="shared" si="3"/>
        <v>2078.4095343190011</v>
      </c>
      <c r="O9" s="106">
        <f t="shared" si="4"/>
        <v>2104.9502995803614</v>
      </c>
      <c r="P9" s="106">
        <f t="shared" si="5"/>
        <v>2145.0319832916512</v>
      </c>
    </row>
    <row r="10" spans="1:16" ht="24" customHeight="1" x14ac:dyDescent="0.2">
      <c r="A10" s="255" t="s">
        <v>40</v>
      </c>
      <c r="B10" s="76">
        <f>'Kharif-foodgrains U'!B10+'Rabi-foodgrains U'!B10</f>
        <v>6683.7999999999993</v>
      </c>
      <c r="C10" s="76">
        <f>'Kharif-foodgrains U'!C10+'Rabi-foodgrains U'!C10</f>
        <v>6586.473</v>
      </c>
      <c r="D10" s="76">
        <f>'Kharif-foodgrains U'!D10+'Rabi-foodgrains U'!D10</f>
        <v>6495.5160000000005</v>
      </c>
      <c r="E10" s="76">
        <f>'Kharif-foodgrains U'!E10+'Rabi-foodgrains U'!E10</f>
        <v>6183.1459999999988</v>
      </c>
      <c r="F10" s="76">
        <f>'Kharif-foodgrains U'!F10+'Rabi-foodgrains U'!F10</f>
        <v>6359.4260000000004</v>
      </c>
      <c r="G10" s="76">
        <f>'Kharif-foodgrains U'!G10+'Rabi-foodgrains U'!G10</f>
        <v>16530.816185</v>
      </c>
      <c r="H10" s="76">
        <f>'Kharif-foodgrains U'!H10+'Rabi-foodgrains U'!H10</f>
        <v>17036.892932999999</v>
      </c>
      <c r="I10" s="76">
        <f>'Kharif-foodgrains U'!I10+'Rabi-foodgrains U'!I10</f>
        <v>15600.057996449999</v>
      </c>
      <c r="J10" s="76">
        <f>'Kharif-foodgrains U'!J10+'Rabi-foodgrains U'!J10</f>
        <v>14233.000752</v>
      </c>
      <c r="K10" s="76">
        <f>'Kharif-foodgrains U'!K10+'Rabi-foodgrains U'!K10</f>
        <v>15382.585858999999</v>
      </c>
      <c r="L10" s="106">
        <f t="shared" si="1"/>
        <v>2473.26613378617</v>
      </c>
      <c r="M10" s="106">
        <f t="shared" si="2"/>
        <v>2586.6488685218933</v>
      </c>
      <c r="N10" s="106">
        <f t="shared" si="3"/>
        <v>2401.6657023783791</v>
      </c>
      <c r="O10" s="106">
        <f t="shared" si="4"/>
        <v>2301.9027453015024</v>
      </c>
      <c r="P10" s="106">
        <f t="shared" si="5"/>
        <v>2418.8638815830232</v>
      </c>
    </row>
    <row r="11" spans="1:16" ht="24" customHeight="1" x14ac:dyDescent="0.2">
      <c r="A11" s="255" t="s">
        <v>47</v>
      </c>
      <c r="B11" s="76">
        <f>'Kharif-foodgrains U'!B11+'Rabi-foodgrains U'!B11</f>
        <v>5051</v>
      </c>
      <c r="C11" s="76">
        <f>'Kharif-foodgrains U'!C11+'Rabi-foodgrains U'!C11</f>
        <v>4884.99</v>
      </c>
      <c r="D11" s="76">
        <f>'Kharif-foodgrains U'!D11+'Rabi-foodgrains U'!D11</f>
        <v>4674.66</v>
      </c>
      <c r="E11" s="76">
        <f>'Kharif-foodgrains U'!E11+'Rabi-foodgrains U'!E11</f>
        <v>4735.49</v>
      </c>
      <c r="F11" s="76">
        <f>'Kharif-foodgrains U'!F11+'Rabi-foodgrains U'!F11</f>
        <v>4804.45</v>
      </c>
      <c r="G11" s="76">
        <f>'Kharif-foodgrains U'!G11+'Rabi-foodgrains U'!G11</f>
        <v>9324.1425999999992</v>
      </c>
      <c r="H11" s="76">
        <f>'Kharif-foodgrains U'!H11+'Rabi-foodgrains U'!H11</f>
        <v>5958.6722399999999</v>
      </c>
      <c r="I11" s="76">
        <f>'Kharif-foodgrains U'!I11+'Rabi-foodgrains U'!I11</f>
        <v>7558.5773699999991</v>
      </c>
      <c r="J11" s="76">
        <f>'Kharif-foodgrains U'!J11+'Rabi-foodgrains U'!J11</f>
        <v>7501.8447500000002</v>
      </c>
      <c r="K11" s="76">
        <f>'Kharif-foodgrains U'!K11+'Rabi-foodgrains U'!K11</f>
        <v>8225.5224999999991</v>
      </c>
      <c r="L11" s="106">
        <f t="shared" si="1"/>
        <v>1845.9993268659669</v>
      </c>
      <c r="M11" s="106">
        <f t="shared" si="2"/>
        <v>1219.792106022735</v>
      </c>
      <c r="N11" s="106">
        <f t="shared" si="3"/>
        <v>1616.9255881711183</v>
      </c>
      <c r="O11" s="106">
        <f t="shared" si="4"/>
        <v>1584.174974501055</v>
      </c>
      <c r="P11" s="106">
        <f t="shared" si="5"/>
        <v>1712.0632954864761</v>
      </c>
    </row>
    <row r="12" spans="1:16" ht="24" customHeight="1" x14ac:dyDescent="0.2">
      <c r="A12" s="255" t="s">
        <v>15</v>
      </c>
      <c r="B12" s="76">
        <f>'Kharif-foodgrains U'!B12+'Rabi-foodgrains U'!B12</f>
        <v>46.709999999999994</v>
      </c>
      <c r="C12" s="76">
        <f>'Kharif-foodgrains U'!C12+'Rabi-foodgrains U'!C12</f>
        <v>44.06</v>
      </c>
      <c r="D12" s="76">
        <f>'Kharif-foodgrains U'!D12+'Rabi-foodgrains U'!D12</f>
        <v>42.587000000000003</v>
      </c>
      <c r="E12" s="76">
        <f>'Kharif-foodgrains U'!E12+'Rabi-foodgrains U'!E12</f>
        <v>39.096000000000004</v>
      </c>
      <c r="F12" s="76">
        <f>'Kharif-foodgrains U'!F12+'Rabi-foodgrains U'!F12</f>
        <v>36.517000000000003</v>
      </c>
      <c r="G12" s="76">
        <f>'Kharif-foodgrains U'!G12+'Rabi-foodgrains U'!G12</f>
        <v>119.13899999999998</v>
      </c>
      <c r="H12" s="76">
        <f>'Kharif-foodgrains U'!H12+'Rabi-foodgrains U'!H12</f>
        <v>107.830468</v>
      </c>
      <c r="I12" s="76">
        <f>'Kharif-foodgrains U'!I12+'Rabi-foodgrains U'!I12</f>
        <v>105.162752</v>
      </c>
      <c r="J12" s="76">
        <f>'Kharif-foodgrains U'!J12+'Rabi-foodgrains U'!J12</f>
        <v>94.241184000000004</v>
      </c>
      <c r="K12" s="76">
        <f>'Kharif-foodgrains U'!K12+'Rabi-foodgrains U'!K12</f>
        <v>91.088878350000002</v>
      </c>
      <c r="L12" s="106">
        <f t="shared" si="1"/>
        <v>2550.6101477199745</v>
      </c>
      <c r="M12" s="106">
        <f t="shared" si="2"/>
        <v>2447.355152065365</v>
      </c>
      <c r="N12" s="106">
        <f t="shared" si="3"/>
        <v>2469.3627632845701</v>
      </c>
      <c r="O12" s="106">
        <f t="shared" si="4"/>
        <v>2410.5070595457337</v>
      </c>
      <c r="P12" s="106">
        <f t="shared" si="5"/>
        <v>2494.4239217350823</v>
      </c>
    </row>
    <row r="13" spans="1:16" ht="24" customHeight="1" x14ac:dyDescent="0.2">
      <c r="A13" s="255" t="s">
        <v>4</v>
      </c>
      <c r="B13" s="76">
        <f>'Kharif-foodgrains U'!B13+'Rabi-foodgrains U'!B13</f>
        <v>3802</v>
      </c>
      <c r="C13" s="76">
        <f>'Kharif-foodgrains U'!C13+'Rabi-foodgrains U'!C13</f>
        <v>3737</v>
      </c>
      <c r="D13" s="76">
        <f>'Kharif-foodgrains U'!D13+'Rabi-foodgrains U'!D13</f>
        <v>3187.66</v>
      </c>
      <c r="E13" s="76">
        <f>'Kharif-foodgrains U'!E13+'Rabi-foodgrains U'!E13</f>
        <v>3759.1499999999996</v>
      </c>
      <c r="F13" s="76">
        <f>'Kharif-foodgrains U'!F13+'Rabi-foodgrains U'!F13</f>
        <v>4230.29</v>
      </c>
      <c r="G13" s="76">
        <f>'Kharif-foodgrains U'!G13+'Rabi-foodgrains U'!G13</f>
        <v>7422</v>
      </c>
      <c r="H13" s="76">
        <f>'Kharif-foodgrains U'!H13+'Rabi-foodgrains U'!H13</f>
        <v>7664.6849999999995</v>
      </c>
      <c r="I13" s="76">
        <f>'Kharif-foodgrains U'!I13+'Rabi-foodgrains U'!I13</f>
        <v>6803.6278899999998</v>
      </c>
      <c r="J13" s="76">
        <f>'Kharif-foodgrains U'!J13+'Rabi-foodgrains U'!J13</f>
        <v>8153.4265400000004</v>
      </c>
      <c r="K13" s="76">
        <f>'Kharif-foodgrains U'!K13+'Rabi-foodgrains U'!K13</f>
        <v>8973.9280184999989</v>
      </c>
      <c r="L13" s="106">
        <f t="shared" si="1"/>
        <v>1952.1304576538662</v>
      </c>
      <c r="M13" s="106">
        <f t="shared" si="2"/>
        <v>2051.0262242440458</v>
      </c>
      <c r="N13" s="106">
        <f t="shared" si="3"/>
        <v>2134.3643581812362</v>
      </c>
      <c r="O13" s="106">
        <f t="shared" si="4"/>
        <v>2168.9548275541015</v>
      </c>
      <c r="P13" s="106">
        <f t="shared" si="5"/>
        <v>2121.3505500804904</v>
      </c>
    </row>
    <row r="14" spans="1:16" ht="24" customHeight="1" x14ac:dyDescent="0.2">
      <c r="A14" s="255" t="s">
        <v>18</v>
      </c>
      <c r="B14" s="76">
        <f>'Kharif-foodgrains U'!B14+'Rabi-foodgrains U'!B14</f>
        <v>4593.6000000000004</v>
      </c>
      <c r="C14" s="76">
        <f>'Kharif-foodgrains U'!C14+'Rabi-foodgrains U'!C14</f>
        <v>4458.2</v>
      </c>
      <c r="D14" s="76">
        <f>'Kharif-foodgrains U'!D14+'Rabi-foodgrains U'!D14</f>
        <v>4557.9000000000005</v>
      </c>
      <c r="E14" s="76">
        <f>'Kharif-foodgrains U'!E14+'Rabi-foodgrains U'!E14</f>
        <v>4591.38</v>
      </c>
      <c r="F14" s="76">
        <f>'Kharif-foodgrains U'!F14+'Rabi-foodgrains U'!F14</f>
        <v>4595.1400000000003</v>
      </c>
      <c r="G14" s="76">
        <f>'Kharif-foodgrains U'!G14+'Rabi-foodgrains U'!G14</f>
        <v>17162.722000000002</v>
      </c>
      <c r="H14" s="76">
        <f>'Kharif-foodgrains U'!H14+'Rabi-foodgrains U'!H14</f>
        <v>16191.8318</v>
      </c>
      <c r="I14" s="76">
        <f>'Kharif-foodgrains U'!I14+'Rabi-foodgrains U'!I14</f>
        <v>18144.998500000002</v>
      </c>
      <c r="J14" s="76">
        <f>'Kharif-foodgrains U'!J14+'Rabi-foodgrains U'!J14</f>
        <v>17863.469260000002</v>
      </c>
      <c r="K14" s="76">
        <f>'Kharif-foodgrains U'!K14+'Rabi-foodgrains U'!K14</f>
        <v>18309.49886</v>
      </c>
      <c r="L14" s="106">
        <f t="shared" si="1"/>
        <v>3736.2247474747473</v>
      </c>
      <c r="M14" s="106">
        <f t="shared" si="2"/>
        <v>3631.9213583957653</v>
      </c>
      <c r="N14" s="106">
        <f t="shared" si="3"/>
        <v>3980.999692841001</v>
      </c>
      <c r="O14" s="106">
        <f t="shared" si="4"/>
        <v>3890.6536291920952</v>
      </c>
      <c r="P14" s="106">
        <f t="shared" si="5"/>
        <v>3984.5355875990717</v>
      </c>
    </row>
    <row r="15" spans="1:16" ht="24" customHeight="1" x14ac:dyDescent="0.2">
      <c r="A15" s="255" t="s">
        <v>16</v>
      </c>
      <c r="B15" s="76">
        <f>'Kharif-foodgrains U'!B15+'Rabi-foodgrains U'!B15</f>
        <v>774.08899999999994</v>
      </c>
      <c r="C15" s="76">
        <f>'Kharif-foodgrains U'!C15+'Rabi-foodgrains U'!C15</f>
        <v>724.91399999999999</v>
      </c>
      <c r="D15" s="76">
        <f>'Kharif-foodgrains U'!D15+'Rabi-foodgrains U'!D15</f>
        <v>732.62200000000007</v>
      </c>
      <c r="E15" s="76">
        <f>'Kharif-foodgrains U'!E15+'Rabi-foodgrains U'!E15</f>
        <v>701.94299999999998</v>
      </c>
      <c r="F15" s="76">
        <f>'Kharif-foodgrains U'!F15+'Rabi-foodgrains U'!F15</f>
        <v>727.02499999999998</v>
      </c>
      <c r="G15" s="76">
        <f>'Kharif-foodgrains U'!G15+'Rabi-foodgrains U'!G15</f>
        <v>1740.561332</v>
      </c>
      <c r="H15" s="76">
        <f>'Kharif-foodgrains U'!H15+'Rabi-foodgrains U'!H15</f>
        <v>1488.2509949999999</v>
      </c>
      <c r="I15" s="76">
        <f>'Kharif-foodgrains U'!I15+'Rabi-foodgrains U'!I15</f>
        <v>1501.0482999999999</v>
      </c>
      <c r="J15" s="76">
        <f>'Kharif-foodgrains U'!J15+'Rabi-foodgrains U'!J15</f>
        <v>1530.1234999999999</v>
      </c>
      <c r="K15" s="76">
        <f>'Kharif-foodgrains U'!K15+'Rabi-foodgrains U'!K15</f>
        <v>1535.50596</v>
      </c>
      <c r="L15" s="106">
        <f t="shared" si="1"/>
        <v>2248.5286988963803</v>
      </c>
      <c r="M15" s="106">
        <f t="shared" si="2"/>
        <v>2053.0035217970681</v>
      </c>
      <c r="N15" s="106">
        <f t="shared" si="3"/>
        <v>2048.8714507617842</v>
      </c>
      <c r="O15" s="106">
        <f t="shared" si="4"/>
        <v>2179.84010097686</v>
      </c>
      <c r="P15" s="106">
        <f t="shared" si="5"/>
        <v>2112.0401086620132</v>
      </c>
    </row>
    <row r="16" spans="1:16" ht="24" customHeight="1" x14ac:dyDescent="0.2">
      <c r="A16" s="255" t="s">
        <v>19</v>
      </c>
      <c r="B16" s="76">
        <f>'Kharif-foodgrains U'!B16+'Rabi-foodgrains U'!B16</f>
        <v>925.84199999999998</v>
      </c>
      <c r="C16" s="76">
        <f>'Kharif-foodgrains U'!C16+'Rabi-foodgrains U'!C16</f>
        <v>919.32500000000005</v>
      </c>
      <c r="D16" s="76">
        <f>'Kharif-foodgrains U'!D16+'Rabi-foodgrains U'!D16</f>
        <v>868.98500000000001</v>
      </c>
      <c r="E16" s="76">
        <f>'Kharif-foodgrains U'!E16+'Rabi-foodgrains U'!E16</f>
        <v>835.56200000000001</v>
      </c>
      <c r="F16" s="76">
        <f>'Kharif-foodgrains U'!F16+'Rabi-foodgrains U'!F16</f>
        <v>841.89</v>
      </c>
      <c r="G16" s="76">
        <f>'Kharif-foodgrains U'!G16+'Rabi-foodgrains U'!G16</f>
        <v>1618.8617046666668</v>
      </c>
      <c r="H16" s="76">
        <f>'Kharif-foodgrains U'!H16+'Rabi-foodgrains U'!H16</f>
        <v>1571.072647</v>
      </c>
      <c r="I16" s="76">
        <f>'Kharif-foodgrains U'!I16+'Rabi-foodgrains U'!I16</f>
        <v>1892.5078343333332</v>
      </c>
      <c r="J16" s="76">
        <f>'Kharif-foodgrains U'!J16+'Rabi-foodgrains U'!J16</f>
        <v>1671.2064515799998</v>
      </c>
      <c r="K16" s="76">
        <f>'Kharif-foodgrains U'!K16+'Rabi-foodgrains U'!K16</f>
        <v>1594.9480429999999</v>
      </c>
      <c r="L16" s="106">
        <f t="shared" si="1"/>
        <v>1748.5291277201368</v>
      </c>
      <c r="M16" s="106">
        <f t="shared" si="2"/>
        <v>1708.9415027329833</v>
      </c>
      <c r="N16" s="106">
        <f t="shared" si="3"/>
        <v>2177.837171335907</v>
      </c>
      <c r="O16" s="106">
        <f t="shared" si="4"/>
        <v>2000.0986779915793</v>
      </c>
      <c r="P16" s="106">
        <f t="shared" si="5"/>
        <v>1894.4850788107708</v>
      </c>
    </row>
    <row r="17" spans="1:16" ht="24" customHeight="1" x14ac:dyDescent="0.2">
      <c r="A17" s="255" t="s">
        <v>83</v>
      </c>
      <c r="B17" s="76">
        <f>'Kharif-foodgrains U'!B17+'Rabi-foodgrains U'!B17</f>
        <v>3052.7179999999998</v>
      </c>
      <c r="C17" s="76">
        <f>'Kharif-foodgrains U'!C17+'Rabi-foodgrains U'!C17</f>
        <v>3067.078</v>
      </c>
      <c r="D17" s="76">
        <f>'Kharif-foodgrains U'!D17+'Rabi-foodgrains U'!D17</f>
        <v>2711.0169999999998</v>
      </c>
      <c r="E17" s="76">
        <f>'Kharif-foodgrains U'!E17+'Rabi-foodgrains U'!E17</f>
        <v>2637.4259999999999</v>
      </c>
      <c r="F17" s="76">
        <f>'Kharif-foodgrains U'!F17+'Rabi-foodgrains U'!F17</f>
        <v>2811.0230000000001</v>
      </c>
      <c r="G17" s="76">
        <f>'Kharif-foodgrains U'!G17+'Rabi-foodgrains U'!G17</f>
        <v>5664.3667079999996</v>
      </c>
      <c r="H17" s="76">
        <f>'Kharif-foodgrains U'!H17+'Rabi-foodgrains U'!H17</f>
        <v>6001.3040379000004</v>
      </c>
      <c r="I17" s="76">
        <f>'Kharif-foodgrains U'!I17+'Rabi-foodgrains U'!I17</f>
        <v>4399.693636</v>
      </c>
      <c r="J17" s="76">
        <f>'Kharif-foodgrains U'!J17+'Rabi-foodgrains U'!J17</f>
        <v>4792.3008570000002</v>
      </c>
      <c r="K17" s="76">
        <f>'Kharif-foodgrains U'!K17+'Rabi-foodgrains U'!K17</f>
        <v>4871.6934240000001</v>
      </c>
      <c r="L17" s="106">
        <f t="shared" si="1"/>
        <v>1855.5158740506001</v>
      </c>
      <c r="M17" s="106">
        <f t="shared" si="2"/>
        <v>1956.6845179353118</v>
      </c>
      <c r="N17" s="106">
        <f t="shared" si="3"/>
        <v>1622.8941522683187</v>
      </c>
      <c r="O17" s="106">
        <f t="shared" si="4"/>
        <v>1817.0370872964779</v>
      </c>
      <c r="P17" s="106">
        <f t="shared" si="5"/>
        <v>1733.067792045814</v>
      </c>
    </row>
    <row r="18" spans="1:16" ht="24" customHeight="1" x14ac:dyDescent="0.2">
      <c r="A18" s="255" t="s">
        <v>5</v>
      </c>
      <c r="B18" s="76">
        <f>'Kharif-foodgrains U'!B18+'Rabi-foodgrains U'!B18</f>
        <v>7348.7</v>
      </c>
      <c r="C18" s="76">
        <f>'Kharif-foodgrains U'!C18+'Rabi-foodgrains U'!C18</f>
        <v>7647.7</v>
      </c>
      <c r="D18" s="76">
        <f>'Kharif-foodgrains U'!D18+'Rabi-foodgrains U'!D18</f>
        <v>7659.02</v>
      </c>
      <c r="E18" s="76">
        <f>'Kharif-foodgrains U'!E18+'Rabi-foodgrains U'!E18</f>
        <v>7709.1</v>
      </c>
      <c r="F18" s="76">
        <f>'Kharif-foodgrains U'!F18+'Rabi-foodgrains U'!F18</f>
        <v>8235.1049999999996</v>
      </c>
      <c r="G18" s="76">
        <f>'Kharif-foodgrains U'!G18+'Rabi-foodgrains U'!G18</f>
        <v>9794.7164999999986</v>
      </c>
      <c r="H18" s="76">
        <f>'Kharif-foodgrains U'!H18+'Rabi-foodgrains U'!H18</f>
        <v>11791.192650000001</v>
      </c>
      <c r="I18" s="76">
        <f>'Kharif-foodgrains U'!I18+'Rabi-foodgrains U'!I18</f>
        <v>10888.351920000001</v>
      </c>
      <c r="J18" s="76">
        <f>'Kharif-foodgrains U'!J18+'Rabi-foodgrains U'!J18</f>
        <v>12783.6942</v>
      </c>
      <c r="K18" s="76">
        <f>'Kharif-foodgrains U'!K18+'Rabi-foodgrains U'!K18</f>
        <v>14550.068299999999</v>
      </c>
      <c r="L18" s="106">
        <f t="shared" si="1"/>
        <v>1332.8502320138255</v>
      </c>
      <c r="M18" s="106">
        <f t="shared" si="2"/>
        <v>1541.7959190344811</v>
      </c>
      <c r="N18" s="106">
        <f t="shared" si="3"/>
        <v>1421.637744776747</v>
      </c>
      <c r="O18" s="106">
        <f t="shared" si="4"/>
        <v>1658.2602638440285</v>
      </c>
      <c r="P18" s="106">
        <f t="shared" si="5"/>
        <v>1766.8345819512926</v>
      </c>
    </row>
    <row r="19" spans="1:16" ht="24" customHeight="1" x14ac:dyDescent="0.2">
      <c r="A19" s="255" t="s">
        <v>17</v>
      </c>
      <c r="B19" s="76">
        <f>'Kharif-foodgrains U'!B19+'Rabi-foodgrains U'!B19</f>
        <v>173.375</v>
      </c>
      <c r="C19" s="76">
        <f>'Kharif-foodgrains U'!C19+'Rabi-foodgrains U'!C19</f>
        <v>191.44569999999999</v>
      </c>
      <c r="D19" s="76">
        <f>'Kharif-foodgrains U'!D19+'Rabi-foodgrains U'!D19</f>
        <v>201.10020000000006</v>
      </c>
      <c r="E19" s="76">
        <f>'Kharif-foodgrains U'!E19+'Rabi-foodgrains U'!E19</f>
        <v>201.108</v>
      </c>
      <c r="F19" s="76">
        <f>'Kharif-foodgrains U'!F19+'Rabi-foodgrains U'!F19</f>
        <v>207.66399999999999</v>
      </c>
      <c r="G19" s="76">
        <f>'Kharif-foodgrains U'!G19+'Rabi-foodgrains U'!G19</f>
        <v>439.03700000000003</v>
      </c>
      <c r="H19" s="76">
        <f>'Kharif-foodgrains U'!H19+'Rabi-foodgrains U'!H19</f>
        <v>523.76695180000002</v>
      </c>
      <c r="I19" s="76">
        <f>'Kharif-foodgrains U'!I19+'Rabi-foodgrains U'!I19</f>
        <v>581.18062080000016</v>
      </c>
      <c r="J19" s="76">
        <f>'Kharif-foodgrains U'!J19+'Rabi-foodgrains U'!J19</f>
        <v>608.43059700000003</v>
      </c>
      <c r="K19" s="76">
        <f>'Kharif-foodgrains U'!K19+'Rabi-foodgrains U'!K19</f>
        <v>636.37759243781591</v>
      </c>
      <c r="L19" s="106">
        <f t="shared" si="1"/>
        <v>2532.2970439798128</v>
      </c>
      <c r="M19" s="106">
        <f t="shared" si="2"/>
        <v>2735.8512194319333</v>
      </c>
      <c r="N19" s="106">
        <f t="shared" si="3"/>
        <v>2890.0051854747035</v>
      </c>
      <c r="O19" s="106">
        <f t="shared" si="4"/>
        <v>3025.3923115937705</v>
      </c>
      <c r="P19" s="106">
        <f t="shared" si="5"/>
        <v>3064.4579341523613</v>
      </c>
    </row>
    <row r="20" spans="1:16" ht="24" customHeight="1" x14ac:dyDescent="0.2">
      <c r="A20" s="255" t="s">
        <v>6</v>
      </c>
      <c r="B20" s="76">
        <f>'Kharif-foodgrains U'!B20+'Rabi-foodgrains U'!B20</f>
        <v>17067.77</v>
      </c>
      <c r="C20" s="76">
        <f>'Kharif-foodgrains U'!C20+'Rabi-foodgrains U'!C20</f>
        <v>17042</v>
      </c>
      <c r="D20" s="76">
        <f>'Kharif-foodgrains U'!D20+'Rabi-foodgrains U'!D20</f>
        <v>16352</v>
      </c>
      <c r="E20" s="76">
        <f>'Kharif-foodgrains U'!E20+'Rabi-foodgrains U'!E20</f>
        <v>15246.09</v>
      </c>
      <c r="F20" s="76">
        <f>'Kharif-foodgrains U'!F20+'Rabi-foodgrains U'!F20</f>
        <v>15014</v>
      </c>
      <c r="G20" s="76">
        <f>'Kharif-foodgrains U'!G20+'Rabi-foodgrains U'!G20</f>
        <v>33224.357313333334</v>
      </c>
      <c r="H20" s="76">
        <f>'Kharif-foodgrains U'!H20+'Rabi-foodgrains U'!H20</f>
        <v>33450.391333333333</v>
      </c>
      <c r="I20" s="76">
        <f>'Kharif-foodgrains U'!I20+'Rabi-foodgrains U'!I20</f>
        <v>32208.712436649963</v>
      </c>
      <c r="J20" s="76">
        <f>'Kharif-foodgrains U'!J20+'Rabi-foodgrains U'!J20</f>
        <v>33523.125910000002</v>
      </c>
      <c r="K20" s="76">
        <f>'Kharif-foodgrains U'!K20+'Rabi-foodgrains U'!K20</f>
        <v>32844.232000000004</v>
      </c>
      <c r="L20" s="106">
        <f t="shared" si="1"/>
        <v>1946.6138407849023</v>
      </c>
      <c r="M20" s="106">
        <f t="shared" si="2"/>
        <v>1962.8207565622188</v>
      </c>
      <c r="N20" s="106">
        <f t="shared" si="3"/>
        <v>1969.7108877599048</v>
      </c>
      <c r="O20" s="106">
        <f t="shared" si="4"/>
        <v>2198.8015228822605</v>
      </c>
      <c r="P20" s="106">
        <f t="shared" si="5"/>
        <v>2187.5737311842281</v>
      </c>
    </row>
    <row r="21" spans="1:16" ht="24" customHeight="1" x14ac:dyDescent="0.2">
      <c r="A21" s="255" t="s">
        <v>7</v>
      </c>
      <c r="B21" s="76">
        <f>'Kharif-foodgrains U'!B21+'Rabi-foodgrains U'!B21</f>
        <v>12377.4</v>
      </c>
      <c r="C21" s="76">
        <f>'Kharif-foodgrains U'!C21+'Rabi-foodgrains U'!C21</f>
        <v>10926.3</v>
      </c>
      <c r="D21" s="76">
        <f>'Kharif-foodgrains U'!D21+'Rabi-foodgrains U'!D21</f>
        <v>9621.6</v>
      </c>
      <c r="E21" s="76">
        <f>'Kharif-foodgrains U'!E21+'Rabi-foodgrains U'!E21</f>
        <v>11026.239999999998</v>
      </c>
      <c r="F21" s="76">
        <f>'Kharif-foodgrains U'!F21+'Rabi-foodgrains U'!F21</f>
        <v>11345.880000000001</v>
      </c>
      <c r="G21" s="76">
        <f>'Kharif-foodgrains U'!G21+'Rabi-foodgrains U'!G21</f>
        <v>15331.628904999998</v>
      </c>
      <c r="H21" s="76">
        <f>'Kharif-foodgrains U'!H21+'Rabi-foodgrains U'!H21</f>
        <v>13246.6769</v>
      </c>
      <c r="I21" s="76">
        <f>'Kharif-foodgrains U'!I21+'Rabi-foodgrains U'!I21</f>
        <v>10304.09937</v>
      </c>
      <c r="J21" s="76">
        <f>'Kharif-foodgrains U'!J21+'Rabi-foodgrains U'!J21</f>
        <v>12819.857970000001</v>
      </c>
      <c r="K21" s="76">
        <f>'Kharif-foodgrains U'!K21+'Rabi-foodgrains U'!K21</f>
        <v>15766.08531</v>
      </c>
      <c r="L21" s="106">
        <f t="shared" si="1"/>
        <v>1238.6792787661379</v>
      </c>
      <c r="M21" s="106">
        <f t="shared" si="2"/>
        <v>1212.3662081399925</v>
      </c>
      <c r="N21" s="106">
        <f t="shared" si="3"/>
        <v>1070.9340826889497</v>
      </c>
      <c r="O21" s="106">
        <f t="shared" si="4"/>
        <v>1162.6681416330503</v>
      </c>
      <c r="P21" s="106">
        <f t="shared" si="5"/>
        <v>1389.5868200615553</v>
      </c>
    </row>
    <row r="22" spans="1:16" ht="24" customHeight="1" x14ac:dyDescent="0.2">
      <c r="A22" s="255" t="s">
        <v>29</v>
      </c>
      <c r="B22" s="76">
        <f>'Kharif-foodgrains U'!B22+'Rabi-foodgrains U'!B22</f>
        <v>304.18</v>
      </c>
      <c r="C22" s="76">
        <f>'Kharif-foodgrains U'!C22+'Rabi-foodgrains U'!C22</f>
        <v>297.02000000000004</v>
      </c>
      <c r="D22" s="76">
        <f>'Kharif-foodgrains U'!D22+'Rabi-foodgrains U'!D22</f>
        <v>293.24</v>
      </c>
      <c r="E22" s="76">
        <f>'Kharif-foodgrains U'!E22+'Rabi-foodgrains U'!E22</f>
        <v>207.5668</v>
      </c>
      <c r="F22" s="76">
        <f>'Kharif-foodgrains U'!F22+'Rabi-foodgrains U'!F22</f>
        <v>284.71000000000004</v>
      </c>
      <c r="G22" s="76">
        <f>'Kharif-foodgrains U'!G22+'Rabi-foodgrains U'!G22</f>
        <v>525.11</v>
      </c>
      <c r="H22" s="76">
        <f>'Kharif-foodgrains U'!H22+'Rabi-foodgrains U'!H22</f>
        <v>706.54172000000005</v>
      </c>
      <c r="I22" s="76">
        <f>'Kharif-foodgrains U'!I22+'Rabi-foodgrains U'!I22</f>
        <v>495.02805999999987</v>
      </c>
      <c r="J22" s="76">
        <f>'Kharif-foodgrains U'!J22+'Rabi-foodgrains U'!J22</f>
        <v>421.38041839999994</v>
      </c>
      <c r="K22" s="76">
        <f>'Kharif-foodgrains U'!K22+'Rabi-foodgrains U'!K22</f>
        <v>697.08926999999994</v>
      </c>
      <c r="L22" s="106">
        <f t="shared" si="1"/>
        <v>1726.3133670852783</v>
      </c>
      <c r="M22" s="106">
        <f t="shared" si="2"/>
        <v>2378.7681637600163</v>
      </c>
      <c r="N22" s="106">
        <f t="shared" si="3"/>
        <v>1688.1327922520798</v>
      </c>
      <c r="O22" s="106">
        <f t="shared" si="4"/>
        <v>2030.095460353004</v>
      </c>
      <c r="P22" s="106">
        <f t="shared" si="5"/>
        <v>2448.4186365073224</v>
      </c>
    </row>
    <row r="23" spans="1:16" ht="24" customHeight="1" x14ac:dyDescent="0.2">
      <c r="A23" s="255" t="s">
        <v>26</v>
      </c>
      <c r="B23" s="76">
        <f>'Kharif-foodgrains U'!B23+'Rabi-foodgrains U'!B23</f>
        <v>140.89999999999998</v>
      </c>
      <c r="C23" s="76">
        <f>'Kharif-foodgrains U'!C23+'Rabi-foodgrains U'!C23</f>
        <v>140.959</v>
      </c>
      <c r="D23" s="76">
        <f>'Kharif-foodgrains U'!D23+'Rabi-foodgrains U'!D23</f>
        <v>142.03399999999999</v>
      </c>
      <c r="E23" s="76">
        <f>'Kharif-foodgrains U'!E23+'Rabi-foodgrains U'!E23</f>
        <v>140.82400000000001</v>
      </c>
      <c r="F23" s="76">
        <f>'Kharif-foodgrains U'!F23+'Rabi-foodgrains U'!F23</f>
        <v>137.47900000000001</v>
      </c>
      <c r="G23" s="76">
        <f>'Kharif-foodgrains U'!G23+'Rabi-foodgrains U'!G23</f>
        <v>260.08333333333337</v>
      </c>
      <c r="H23" s="76">
        <f>'Kharif-foodgrains U'!H23+'Rabi-foodgrains U'!H23</f>
        <v>361.76180199999999</v>
      </c>
      <c r="I23" s="76">
        <f>'Kharif-foodgrains U'!I23+'Rabi-foodgrains U'!I23</f>
        <v>260.65451166666668</v>
      </c>
      <c r="J23" s="76">
        <f>'Kharif-foodgrains U'!J23+'Rabi-foodgrains U'!J23</f>
        <v>360.82452999999992</v>
      </c>
      <c r="K23" s="76">
        <f>'Kharif-foodgrains U'!K23+'Rabi-foodgrains U'!K23</f>
        <v>353.334676</v>
      </c>
      <c r="L23" s="106">
        <f t="shared" si="1"/>
        <v>1845.8717766737645</v>
      </c>
      <c r="M23" s="106">
        <f t="shared" si="2"/>
        <v>2566.4328067026581</v>
      </c>
      <c r="N23" s="106">
        <f t="shared" si="3"/>
        <v>1835.1557490929404</v>
      </c>
      <c r="O23" s="106">
        <f t="shared" si="4"/>
        <v>2562.2374737260689</v>
      </c>
      <c r="P23" s="106">
        <f t="shared" si="5"/>
        <v>2570.0992587958885</v>
      </c>
    </row>
    <row r="24" spans="1:16" ht="24" customHeight="1" x14ac:dyDescent="0.2">
      <c r="A24" s="255" t="s">
        <v>30</v>
      </c>
      <c r="B24" s="76">
        <f>'Kharif-foodgrains U'!B24+'Rabi-foodgrains U'!B24</f>
        <v>46.167000000000002</v>
      </c>
      <c r="C24" s="76">
        <f>'Kharif-foodgrains U'!C24+'Rabi-foodgrains U'!C24</f>
        <v>45.415500000000002</v>
      </c>
      <c r="D24" s="76">
        <f>'Kharif-foodgrains U'!D24+'Rabi-foodgrains U'!D24</f>
        <v>45.481000000000002</v>
      </c>
      <c r="E24" s="76">
        <f>'Kharif-foodgrains U'!E24+'Rabi-foodgrains U'!E24</f>
        <v>45.614000000000004</v>
      </c>
      <c r="F24" s="76">
        <f>'Kharif-foodgrains U'!F24+'Rabi-foodgrains U'!F24</f>
        <v>46.478999999999992</v>
      </c>
      <c r="G24" s="76">
        <f>'Kharif-foodgrains U'!G24+'Rabi-foodgrains U'!G24</f>
        <v>75.200999999999993</v>
      </c>
      <c r="H24" s="76">
        <f>'Kharif-foodgrains U'!H24+'Rabi-foodgrains U'!H24</f>
        <v>74.206900000000005</v>
      </c>
      <c r="I24" s="76">
        <f>'Kharif-foodgrains U'!I24+'Rabi-foodgrains U'!I24</f>
        <v>76.91</v>
      </c>
      <c r="J24" s="76">
        <f>'Kharif-foodgrains U'!J24+'Rabi-foodgrains U'!J24</f>
        <v>76.46177999999999</v>
      </c>
      <c r="K24" s="76">
        <f>'Kharif-foodgrains U'!K24+'Rabi-foodgrains U'!K24</f>
        <v>80.678218000000001</v>
      </c>
      <c r="L24" s="106">
        <f t="shared" si="1"/>
        <v>1628.8907661316523</v>
      </c>
      <c r="M24" s="106">
        <f t="shared" si="2"/>
        <v>1633.9553676608207</v>
      </c>
      <c r="N24" s="106">
        <f t="shared" si="3"/>
        <v>1691.035817154416</v>
      </c>
      <c r="O24" s="106">
        <f t="shared" si="4"/>
        <v>1676.2787740605952</v>
      </c>
      <c r="P24" s="106">
        <f t="shared" si="5"/>
        <v>1735.7993502441966</v>
      </c>
    </row>
    <row r="25" spans="1:16" ht="24" customHeight="1" x14ac:dyDescent="0.2">
      <c r="A25" s="255" t="s">
        <v>20</v>
      </c>
      <c r="B25" s="76">
        <f>'Kharif-foodgrains U'!B25+'Rabi-foodgrains U'!B25</f>
        <v>329.95000000000005</v>
      </c>
      <c r="C25" s="76">
        <f>'Kharif-foodgrains U'!C25+'Rabi-foodgrains U'!C25</f>
        <v>336.53</v>
      </c>
      <c r="D25" s="76">
        <f>'Kharif-foodgrains U'!D25+'Rabi-foodgrains U'!D25</f>
        <v>335.38</v>
      </c>
      <c r="E25" s="76">
        <f>'Kharif-foodgrains U'!E25+'Rabi-foodgrains U'!E25</f>
        <v>340.54999999999995</v>
      </c>
      <c r="F25" s="76">
        <f>'Kharif-foodgrains U'!F25+'Rabi-foodgrains U'!F25</f>
        <v>342.59999999999997</v>
      </c>
      <c r="G25" s="76">
        <f>'Kharif-foodgrains U'!G25+'Rabi-foodgrains U'!G25</f>
        <v>537.36666666666667</v>
      </c>
      <c r="H25" s="76">
        <f>'Kharif-foodgrains U'!H25+'Rabi-foodgrains U'!H25</f>
        <v>552.29173666666668</v>
      </c>
      <c r="I25" s="76">
        <f>'Kharif-foodgrains U'!I25+'Rabi-foodgrains U'!I25</f>
        <v>558.13119333333327</v>
      </c>
      <c r="J25" s="76">
        <f>'Kharif-foodgrains U'!J25+'Rabi-foodgrains U'!J25</f>
        <v>565.42273333333333</v>
      </c>
      <c r="K25" s="76">
        <f>'Kharif-foodgrains U'!K25+'Rabi-foodgrains U'!K25</f>
        <v>570.24081000000001</v>
      </c>
      <c r="L25" s="106">
        <f t="shared" si="1"/>
        <v>1628.6306005960498</v>
      </c>
      <c r="M25" s="106">
        <f t="shared" si="2"/>
        <v>1641.1367089610635</v>
      </c>
      <c r="N25" s="106">
        <f t="shared" si="3"/>
        <v>1664.1755421710695</v>
      </c>
      <c r="O25" s="106">
        <f t="shared" si="4"/>
        <v>1660.3222238535704</v>
      </c>
      <c r="P25" s="106">
        <f t="shared" si="5"/>
        <v>1664.4507005253943</v>
      </c>
    </row>
    <row r="26" spans="1:16" ht="24" customHeight="1" x14ac:dyDescent="0.2">
      <c r="A26" s="255" t="s">
        <v>107</v>
      </c>
      <c r="B26" s="76">
        <f>'Kharif-foodgrains U'!B26+'Rabi-foodgrains U'!B26</f>
        <v>4883.5599999999995</v>
      </c>
      <c r="C26" s="76">
        <f>'Kharif-foodgrains U'!C26+'Rabi-foodgrains U'!C26</f>
        <v>4665.4400000000005</v>
      </c>
      <c r="D26" s="76">
        <f>'Kharif-foodgrains U'!D26+'Rabi-foodgrains U'!D26</f>
        <v>4708.5700000000006</v>
      </c>
      <c r="E26" s="76">
        <f>'Kharif-foodgrains U'!E26+'Rabi-foodgrains U'!E26</f>
        <v>4829.1299999999992</v>
      </c>
      <c r="F26" s="76">
        <f>'Kharif-foodgrains U'!F26+'Rabi-foodgrains U'!F26</f>
        <v>4978.46</v>
      </c>
      <c r="G26" s="76">
        <f>'Kharif-foodgrains U'!G26+'Rabi-foodgrains U'!G26</f>
        <v>9061.2999999999993</v>
      </c>
      <c r="H26" s="76">
        <f>'Kharif-foodgrains U'!H26+'Rabi-foodgrains U'!H26</f>
        <v>7151.2775199999996</v>
      </c>
      <c r="I26" s="76">
        <f>'Kharif-foodgrains U'!I26+'Rabi-foodgrains U'!I26</f>
        <v>8315.2080799999985</v>
      </c>
      <c r="J26" s="76">
        <f>'Kharif-foodgrains U'!J26+'Rabi-foodgrains U'!J26</f>
        <v>9030.0514800000001</v>
      </c>
      <c r="K26" s="76">
        <f>'Kharif-foodgrains U'!K26+'Rabi-foodgrains U'!K26</f>
        <v>9523.5644900000007</v>
      </c>
      <c r="L26" s="106">
        <f t="shared" si="1"/>
        <v>1855.4701897795871</v>
      </c>
      <c r="M26" s="106">
        <f t="shared" si="2"/>
        <v>1532.8195239891627</v>
      </c>
      <c r="N26" s="106">
        <f t="shared" si="3"/>
        <v>1765.9731255986419</v>
      </c>
      <c r="O26" s="106">
        <f t="shared" si="4"/>
        <v>1869.9126923483116</v>
      </c>
      <c r="P26" s="106">
        <f t="shared" si="5"/>
        <v>1912.9539034159159</v>
      </c>
    </row>
    <row r="27" spans="1:16" ht="24" customHeight="1" x14ac:dyDescent="0.2">
      <c r="A27" s="255" t="s">
        <v>21</v>
      </c>
      <c r="B27" s="76">
        <f>'Kharif-foodgrains U'!B27+'Rabi-foodgrains U'!B27</f>
        <v>6555.7</v>
      </c>
      <c r="C27" s="76">
        <f>'Kharif-foodgrains U'!C27+'Rabi-foodgrains U'!C27</f>
        <v>6729.9</v>
      </c>
      <c r="D27" s="76">
        <f>'Kharif-foodgrains U'!D27+'Rabi-foodgrains U'!D27</f>
        <v>6769.4</v>
      </c>
      <c r="E27" s="76">
        <f>'Kharif-foodgrains U'!E27+'Rabi-foodgrains U'!E27</f>
        <v>6595.7999999999993</v>
      </c>
      <c r="F27" s="76">
        <f>'Kharif-foodgrains U'!F27+'Rabi-foodgrains U'!F27</f>
        <v>6604.5</v>
      </c>
      <c r="G27" s="76">
        <f>'Kharif-foodgrains U'!G27+'Rabi-foodgrains U'!G27</f>
        <v>28536.883999999998</v>
      </c>
      <c r="H27" s="76">
        <f>'Kharif-foodgrains U'!H27+'Rabi-foodgrains U'!H27</f>
        <v>31691.857199999999</v>
      </c>
      <c r="I27" s="76">
        <f>'Kharif-foodgrains U'!I27+'Rabi-foodgrains U'!I27</f>
        <v>31532.347299999998</v>
      </c>
      <c r="J27" s="76">
        <f>'Kharif-foodgrains U'!J27+'Rabi-foodgrains U'!J27</f>
        <v>29857.330899999997</v>
      </c>
      <c r="K27" s="76">
        <f>'Kharif-foodgrains U'!K27+'Rabi-foodgrains U'!K27</f>
        <v>30418.337699999996</v>
      </c>
      <c r="L27" s="106">
        <f t="shared" si="1"/>
        <v>4352.9880867031743</v>
      </c>
      <c r="M27" s="106">
        <f t="shared" si="2"/>
        <v>4709.1126465474963</v>
      </c>
      <c r="N27" s="106">
        <f t="shared" si="3"/>
        <v>4658.071217537743</v>
      </c>
      <c r="O27" s="106">
        <f t="shared" si="4"/>
        <v>4526.7186542951576</v>
      </c>
      <c r="P27" s="106">
        <f t="shared" si="5"/>
        <v>4605.6987962752664</v>
      </c>
    </row>
    <row r="28" spans="1:16" ht="24" customHeight="1" x14ac:dyDescent="0.2">
      <c r="A28" s="255" t="s">
        <v>22</v>
      </c>
      <c r="B28" s="76">
        <f>'Kharif-foodgrains U'!B28+'Rabi-foodgrains U'!B28</f>
        <v>14237.835999999999</v>
      </c>
      <c r="C28" s="76">
        <f>'Kharif-foodgrains U'!C28+'Rabi-foodgrains U'!C28</f>
        <v>14236.978999999996</v>
      </c>
      <c r="D28" s="76">
        <f>'Kharif-foodgrains U'!D28+'Rabi-foodgrains U'!D28</f>
        <v>14811.2</v>
      </c>
      <c r="E28" s="76">
        <f>'Kharif-foodgrains U'!E28+'Rabi-foodgrains U'!E28</f>
        <v>15809.595000000001</v>
      </c>
      <c r="F28" s="76">
        <f>'Kharif-foodgrains U'!F28+'Rabi-foodgrains U'!F28</f>
        <v>15556.351000000002</v>
      </c>
      <c r="G28" s="76">
        <f>'Kharif-foodgrains U'!G28+'Rabi-foodgrains U'!G28</f>
        <v>19353.635331999998</v>
      </c>
      <c r="H28" s="76">
        <f>'Kharif-foodgrains U'!H28+'Rabi-foodgrains U'!H28</f>
        <v>19957.001509000002</v>
      </c>
      <c r="I28" s="76">
        <f>'Kharif-foodgrains U'!I28+'Rabi-foodgrains U'!I28</f>
        <v>21288.766149999996</v>
      </c>
      <c r="J28" s="76">
        <f>'Kharif-foodgrains U'!J28+'Rabi-foodgrains U'!J28</f>
        <v>23227.060660000003</v>
      </c>
      <c r="K28" s="76">
        <f>'Kharif-foodgrains U'!K28+'Rabi-foodgrains U'!K28</f>
        <v>24282.313555831002</v>
      </c>
      <c r="L28" s="106">
        <f t="shared" si="1"/>
        <v>1359.3101741023004</v>
      </c>
      <c r="M28" s="106">
        <f t="shared" si="2"/>
        <v>1401.7722094694391</v>
      </c>
      <c r="N28" s="106">
        <f t="shared" si="3"/>
        <v>1437.342426677109</v>
      </c>
      <c r="O28" s="106">
        <f t="shared" si="4"/>
        <v>1469.1749320586644</v>
      </c>
      <c r="P28" s="106">
        <f t="shared" si="5"/>
        <v>1560.9260523776429</v>
      </c>
    </row>
    <row r="29" spans="1:16" ht="24" customHeight="1" x14ac:dyDescent="0.2">
      <c r="A29" s="255" t="s">
        <v>84</v>
      </c>
      <c r="B29" s="76">
        <f>'Kharif-foodgrains U'!B29+'Rabi-foodgrains U'!B29</f>
        <v>62.699999999999996</v>
      </c>
      <c r="C29" s="76">
        <f>'Kharif-foodgrains U'!C29+'Rabi-foodgrains U'!C29</f>
        <v>56.366999999999997</v>
      </c>
      <c r="D29" s="76">
        <f>'Kharif-foodgrains U'!D29+'Rabi-foodgrains U'!D29</f>
        <v>55.097999999999992</v>
      </c>
      <c r="E29" s="76">
        <f>'Kharif-foodgrains U'!E29+'Rabi-foodgrains U'!E29</f>
        <v>55.159000000000006</v>
      </c>
      <c r="F29" s="76">
        <f>'Kharif-foodgrains U'!F29+'Rabi-foodgrains U'!F29</f>
        <v>54.734999999999999</v>
      </c>
      <c r="G29" s="76">
        <f>'Kharif-foodgrains U'!G29+'Rabi-foodgrains U'!G29</f>
        <v>101.325</v>
      </c>
      <c r="H29" s="76">
        <f>'Kharif-foodgrains U'!H29+'Rabi-foodgrains U'!H29</f>
        <v>93.871829000000005</v>
      </c>
      <c r="I29" s="76">
        <f>'Kharif-foodgrains U'!I29+'Rabi-foodgrains U'!I29</f>
        <v>91.976590999999999</v>
      </c>
      <c r="J29" s="76">
        <f>'Kharif-foodgrains U'!J29+'Rabi-foodgrains U'!J29</f>
        <v>92.087351999999996</v>
      </c>
      <c r="K29" s="76">
        <f>'Kharif-foodgrains U'!K29+'Rabi-foodgrains U'!K29</f>
        <v>91.753618000000017</v>
      </c>
      <c r="L29" s="106">
        <f t="shared" si="1"/>
        <v>1616.0287081339716</v>
      </c>
      <c r="M29" s="106">
        <f t="shared" si="2"/>
        <v>1665.3685489736904</v>
      </c>
      <c r="N29" s="106">
        <f t="shared" si="3"/>
        <v>1669.3272169588736</v>
      </c>
      <c r="O29" s="106">
        <f t="shared" si="4"/>
        <v>1669.489149549484</v>
      </c>
      <c r="P29" s="106">
        <f t="shared" si="5"/>
        <v>1676.3244359185167</v>
      </c>
    </row>
    <row r="30" spans="1:16" ht="24" customHeight="1" x14ac:dyDescent="0.2">
      <c r="A30" s="255" t="s">
        <v>11</v>
      </c>
      <c r="B30" s="76">
        <f>'Kharif-foodgrains U'!B30+'Rabi-foodgrains U'!B30</f>
        <v>2945.91</v>
      </c>
      <c r="C30" s="76">
        <f>'Kharif-foodgrains U'!C30+'Rabi-foodgrains U'!C30</f>
        <v>3538.5833900000002</v>
      </c>
      <c r="D30" s="76">
        <f>'Kharif-foodgrains U'!D30+'Rabi-foodgrains U'!D30</f>
        <v>3495.94</v>
      </c>
      <c r="E30" s="76">
        <f>'Kharif-foodgrains U'!E30+'Rabi-foodgrains U'!E30</f>
        <v>3692.4099999999994</v>
      </c>
      <c r="F30" s="76">
        <f>'Kharif-foodgrains U'!F30+'Rabi-foodgrains U'!F30</f>
        <v>3819.5800000000004</v>
      </c>
      <c r="G30" s="76">
        <f>'Kharif-foodgrains U'!G30+'Rabi-foodgrains U'!G30</f>
        <v>4141.6261979999999</v>
      </c>
      <c r="H30" s="76">
        <f>'Kharif-foodgrains U'!H30+'Rabi-foodgrains U'!H30</f>
        <v>10713.561286160002</v>
      </c>
      <c r="I30" s="76">
        <f>'Kharif-foodgrains U'!I30+'Rabi-foodgrains U'!I30</f>
        <v>10390.122430815431</v>
      </c>
      <c r="J30" s="76">
        <f>'Kharif-foodgrains U'!J30+'Rabi-foodgrains U'!J30</f>
        <v>11269.779708453241</v>
      </c>
      <c r="K30" s="76">
        <f>'Kharif-foodgrains U'!K30+'Rabi-foodgrains U'!K30</f>
        <v>10823.622374307062</v>
      </c>
      <c r="L30" s="106">
        <f t="shared" si="1"/>
        <v>1405.8902675234476</v>
      </c>
      <c r="M30" s="106">
        <f t="shared" si="2"/>
        <v>3027.6413200933503</v>
      </c>
      <c r="N30" s="106">
        <f t="shared" si="3"/>
        <v>2972.0539914344727</v>
      </c>
      <c r="O30" s="106">
        <f t="shared" si="4"/>
        <v>3052.1474344542571</v>
      </c>
      <c r="P30" s="106">
        <f t="shared" si="5"/>
        <v>2833.7205594089041</v>
      </c>
    </row>
    <row r="31" spans="1:16" ht="24" customHeight="1" x14ac:dyDescent="0.2">
      <c r="A31" s="255" t="s">
        <v>109</v>
      </c>
      <c r="B31" s="76">
        <f>'Kharif-foodgrains U'!B31+'Rabi-foodgrains U'!B31</f>
        <v>3292.17</v>
      </c>
      <c r="C31" s="76">
        <f>'Kharif-foodgrains U'!C31+'Rabi-foodgrains U'!C31</f>
        <v>3245</v>
      </c>
      <c r="D31" s="76">
        <f>'Kharif-foodgrains U'!D31+'Rabi-foodgrains U'!D31</f>
        <v>3056</v>
      </c>
      <c r="E31" s="76">
        <f>'Kharif-foodgrains U'!E31+'Rabi-foodgrains U'!E31</f>
        <v>3194</v>
      </c>
      <c r="F31" s="76">
        <f>'Kharif-foodgrains U'!F31+'Rabi-foodgrains U'!F31</f>
        <v>4145.1000000000004</v>
      </c>
      <c r="G31" s="76">
        <f>'Kharif-foodgrains U'!G31+'Rabi-foodgrains U'!G31</f>
        <v>8484.6337299999996</v>
      </c>
      <c r="H31" s="76">
        <f>'Kharif-foodgrains U'!H31+'Rabi-foodgrains U'!H31</f>
        <v>9421.083749999998</v>
      </c>
      <c r="I31" s="76">
        <f>'Kharif-foodgrains U'!I31+'Rabi-foodgrains U'!I31</f>
        <v>9275.1650000000009</v>
      </c>
      <c r="J31" s="76">
        <f>'Kharif-foodgrains U'!J31+'Rabi-foodgrains U'!J31</f>
        <v>11125.0473</v>
      </c>
      <c r="K31" s="76">
        <f>'Kharif-foodgrains U'!K31+'Rabi-foodgrains U'!K31</f>
        <v>12745.620900000002</v>
      </c>
      <c r="L31" s="106">
        <f t="shared" si="1"/>
        <v>2577.2161613768426</v>
      </c>
      <c r="M31" s="106">
        <f t="shared" si="2"/>
        <v>2903.2615562403689</v>
      </c>
      <c r="N31" s="106">
        <f t="shared" si="3"/>
        <v>3035.0670811518326</v>
      </c>
      <c r="O31" s="106">
        <f t="shared" si="4"/>
        <v>3483.108108954289</v>
      </c>
      <c r="P31" s="106">
        <f t="shared" si="5"/>
        <v>3074.8645147282336</v>
      </c>
    </row>
    <row r="32" spans="1:16" ht="24" customHeight="1" x14ac:dyDescent="0.2">
      <c r="A32" s="255" t="s">
        <v>85</v>
      </c>
      <c r="B32" s="76">
        <f>'Kharif-foodgrains U'!B32+'Rabi-foodgrains U'!B32</f>
        <v>317.36399999999998</v>
      </c>
      <c r="C32" s="76">
        <f>'Kharif-foodgrains U'!C32+'Rabi-foodgrains U'!C32</f>
        <v>318.60299999999995</v>
      </c>
      <c r="D32" s="76">
        <f>'Kharif-foodgrains U'!D32+'Rabi-foodgrains U'!D32</f>
        <v>312.91899999999998</v>
      </c>
      <c r="E32" s="76">
        <f>'Kharif-foodgrains U'!E32+'Rabi-foodgrains U'!E32</f>
        <v>308.02599999999995</v>
      </c>
      <c r="F32" s="76">
        <f>'Kharif-foodgrains U'!F32+'Rabi-foodgrains U'!F32</f>
        <v>313.55600000000004</v>
      </c>
      <c r="G32" s="76">
        <f>'Kharif-foodgrains U'!G32+'Rabi-foodgrains U'!G32</f>
        <v>859.58799999999997</v>
      </c>
      <c r="H32" s="76">
        <f>'Kharif-foodgrains U'!H32+'Rabi-foodgrains U'!H32</f>
        <v>855.34946300000001</v>
      </c>
      <c r="I32" s="76">
        <f>'Kharif-foodgrains U'!I32+'Rabi-foodgrains U'!I32</f>
        <v>836.34899099999996</v>
      </c>
      <c r="J32" s="76">
        <f>'Kharif-foodgrains U'!J32+'Rabi-foodgrains U'!J32</f>
        <v>853.31173899999999</v>
      </c>
      <c r="K32" s="76">
        <f>'Kharif-foodgrains U'!K32+'Rabi-foodgrains U'!K32</f>
        <v>867.64196100000015</v>
      </c>
      <c r="L32" s="106">
        <f t="shared" si="1"/>
        <v>2708.5239661713363</v>
      </c>
      <c r="M32" s="106">
        <f t="shared" si="2"/>
        <v>2684.687410350813</v>
      </c>
      <c r="N32" s="106">
        <f t="shared" si="3"/>
        <v>2672.7331705649067</v>
      </c>
      <c r="O32" s="106">
        <f t="shared" si="4"/>
        <v>2770.2588060748121</v>
      </c>
      <c r="P32" s="106">
        <f t="shared" si="5"/>
        <v>2767.1036784497828</v>
      </c>
    </row>
    <row r="33" spans="1:16" ht="24" customHeight="1" x14ac:dyDescent="0.2">
      <c r="A33" s="255" t="s">
        <v>12</v>
      </c>
      <c r="B33" s="76">
        <f>'Kharif-foodgrains U'!B33+'Rabi-foodgrains U'!B33</f>
        <v>20164</v>
      </c>
      <c r="C33" s="76">
        <f>'Kharif-foodgrains U'!C33+'Rabi-foodgrains U'!C33</f>
        <v>19800</v>
      </c>
      <c r="D33" s="76">
        <f>'Kharif-foodgrains U'!D33+'Rabi-foodgrains U'!D33</f>
        <v>19493</v>
      </c>
      <c r="E33" s="76">
        <f>'Kharif-foodgrains U'!E33+'Rabi-foodgrains U'!E33</f>
        <v>19949</v>
      </c>
      <c r="F33" s="76">
        <f>'Kharif-foodgrains U'!F33+'Rabi-foodgrains U'!F33</f>
        <v>19933</v>
      </c>
      <c r="G33" s="76">
        <f>'Kharif-foodgrains U'!G33+'Rabi-foodgrains U'!G33</f>
        <v>49903.118000000002</v>
      </c>
      <c r="H33" s="76">
        <f>'Kharif-foodgrains U'!H33+'Rabi-foodgrains U'!H33</f>
        <v>51369.931450000004</v>
      </c>
      <c r="I33" s="76">
        <f>'Kharif-foodgrains U'!I33+'Rabi-foodgrains U'!I33</f>
        <v>54643.417999999998</v>
      </c>
      <c r="J33" s="76">
        <f>'Kharif-foodgrains U'!J33+'Rabi-foodgrains U'!J33</f>
        <v>56169.138000000006</v>
      </c>
      <c r="K33" s="76">
        <f>'Kharif-foodgrains U'!K33+'Rabi-foodgrains U'!K33</f>
        <v>58106.918999999994</v>
      </c>
      <c r="L33" s="106">
        <f t="shared" si="1"/>
        <v>2474.8620313429878</v>
      </c>
      <c r="M33" s="106">
        <f t="shared" si="2"/>
        <v>2594.4409823232327</v>
      </c>
      <c r="N33" s="106">
        <f t="shared" si="3"/>
        <v>2803.2328528189605</v>
      </c>
      <c r="O33" s="106">
        <f t="shared" si="4"/>
        <v>2815.6367737731216</v>
      </c>
      <c r="P33" s="106">
        <f t="shared" si="5"/>
        <v>2915.1115737721366</v>
      </c>
    </row>
    <row r="34" spans="1:16" ht="24" customHeight="1" x14ac:dyDescent="0.2">
      <c r="A34" s="255" t="s">
        <v>90</v>
      </c>
      <c r="B34" s="76">
        <f>'Kharif-foodgrains U'!B34+'Rabi-foodgrains U'!B34</f>
        <v>877</v>
      </c>
      <c r="C34" s="76">
        <f>'Kharif-foodgrains U'!C34+'Rabi-foodgrains U'!C34</f>
        <v>851</v>
      </c>
      <c r="D34" s="76">
        <f>'Kharif-foodgrains U'!D34+'Rabi-foodgrains U'!D34</f>
        <v>835</v>
      </c>
      <c r="E34" s="76">
        <f>'Kharif-foodgrains U'!E34+'Rabi-foodgrains U'!E34</f>
        <v>805</v>
      </c>
      <c r="F34" s="76">
        <f>'Kharif-foodgrains U'!F34+'Rabi-foodgrains U'!F34</f>
        <v>809</v>
      </c>
      <c r="G34" s="76">
        <f>'Kharif-foodgrains U'!G34+'Rabi-foodgrains U'!G34</f>
        <v>1873</v>
      </c>
      <c r="H34" s="76">
        <f>'Kharif-foodgrains U'!H34+'Rabi-foodgrains U'!H34</f>
        <v>1903.183</v>
      </c>
      <c r="I34" s="76">
        <f>'Kharif-foodgrains U'!I34+'Rabi-foodgrains U'!I34</f>
        <v>1876.14</v>
      </c>
      <c r="J34" s="76">
        <f>'Kharif-foodgrains U'!J34+'Rabi-foodgrains U'!J34</f>
        <v>1886.009</v>
      </c>
      <c r="K34" s="76">
        <f>'Kharif-foodgrains U'!K34+'Rabi-foodgrains U'!K34</f>
        <v>2001.8420000000001</v>
      </c>
      <c r="L34" s="106">
        <f t="shared" si="1"/>
        <v>2135.689851767389</v>
      </c>
      <c r="M34" s="106">
        <f t="shared" si="2"/>
        <v>2236.4077555816684</v>
      </c>
      <c r="N34" s="106">
        <f t="shared" si="3"/>
        <v>2246.8742514970058</v>
      </c>
      <c r="O34" s="106">
        <f t="shared" si="4"/>
        <v>2342.8683229813664</v>
      </c>
      <c r="P34" s="106">
        <f t="shared" si="5"/>
        <v>2474.4647713226204</v>
      </c>
    </row>
    <row r="35" spans="1:16" ht="24" customHeight="1" x14ac:dyDescent="0.2">
      <c r="A35" s="255" t="s">
        <v>13</v>
      </c>
      <c r="B35" s="76">
        <f>'Kharif-foodgrains U'!B35+'Rabi-foodgrains U'!B35</f>
        <v>6262.6410000000005</v>
      </c>
      <c r="C35" s="76">
        <f>'Kharif-foodgrains U'!C35+'Rabi-foodgrains U'!C35</f>
        <v>5944.66</v>
      </c>
      <c r="D35" s="76">
        <f>'Kharif-foodgrains U'!D35+'Rabi-foodgrains U'!D35</f>
        <v>6361.3209999999999</v>
      </c>
      <c r="E35" s="76">
        <f>'Kharif-foodgrains U'!E35+'Rabi-foodgrains U'!E35</f>
        <v>6471.5740000000005</v>
      </c>
      <c r="F35" s="76">
        <f>'Kharif-foodgrains U'!F35+'Rabi-foodgrains U'!F35</f>
        <v>6612.3420000000006</v>
      </c>
      <c r="G35" s="76">
        <f>'Kharif-foodgrains U'!G35+'Rabi-foodgrains U'!G35</f>
        <v>17146.431722249999</v>
      </c>
      <c r="H35" s="76">
        <f>'Kharif-foodgrains U'!H35+'Rabi-foodgrains U'!H35</f>
        <v>16877.526000000002</v>
      </c>
      <c r="I35" s="76">
        <f>'Kharif-foodgrains U'!I35+'Rabi-foodgrains U'!I35</f>
        <v>18689.871798</v>
      </c>
      <c r="J35" s="76">
        <f>'Kharif-foodgrains U'!J35+'Rabi-foodgrains U'!J35</f>
        <v>18794.325410000001</v>
      </c>
      <c r="K35" s="76">
        <f>'Kharif-foodgrains U'!K35+'Rabi-foodgrains U'!K35</f>
        <v>20004.639719999999</v>
      </c>
      <c r="L35" s="106">
        <f t="shared" si="1"/>
        <v>2737.8915256758291</v>
      </c>
      <c r="M35" s="106">
        <f t="shared" si="2"/>
        <v>2839.1070305114172</v>
      </c>
      <c r="N35" s="106">
        <f t="shared" si="3"/>
        <v>2938.048842056548</v>
      </c>
      <c r="O35" s="106">
        <f t="shared" si="4"/>
        <v>2904.1351315769548</v>
      </c>
      <c r="P35" s="106">
        <f t="shared" si="5"/>
        <v>3025.3486162693939</v>
      </c>
    </row>
    <row r="36" spans="1:16" ht="24" customHeight="1" x14ac:dyDescent="0.2">
      <c r="A36" s="255" t="s">
        <v>32</v>
      </c>
      <c r="B36" s="76">
        <f>'Kharif-foodgrains U'!B36+'Rabi-foodgrains U'!B36</f>
        <v>6.5170000000000003</v>
      </c>
      <c r="C36" s="76">
        <f>'Kharif-foodgrains U'!C36+'Rabi-foodgrains U'!C36</f>
        <v>5.9341499999999998</v>
      </c>
      <c r="D36" s="76">
        <f>'Kharif-foodgrains U'!D36+'Rabi-foodgrains U'!D36</f>
        <v>5.9855400000000003</v>
      </c>
      <c r="E36" s="76">
        <f>'Kharif-foodgrains U'!E36+'Rabi-foodgrains U'!E36</f>
        <v>6.2205000000000004</v>
      </c>
      <c r="F36" s="76">
        <f>'Kharif-foodgrains U'!F36+'Rabi-foodgrains U'!F36</f>
        <v>6.9435000000000011</v>
      </c>
      <c r="G36" s="76">
        <f>'Kharif-foodgrains U'!G36+'Rabi-foodgrains U'!G36</f>
        <v>13.277499999999998</v>
      </c>
      <c r="H36" s="76">
        <f>'Kharif-foodgrains U'!H36+'Rabi-foodgrains U'!H36</f>
        <v>17.058631500000001</v>
      </c>
      <c r="I36" s="76">
        <f>'Kharif-foodgrains U'!I36+'Rabi-foodgrains U'!I36</f>
        <v>11.643262633333332</v>
      </c>
      <c r="J36" s="76">
        <f>'Kharif-foodgrains U'!J36+'Rabi-foodgrains U'!J36</f>
        <v>18.281373600000002</v>
      </c>
      <c r="K36" s="76">
        <f>'Kharif-foodgrains U'!K36+'Rabi-foodgrains U'!K36</f>
        <v>13.716534000000001</v>
      </c>
      <c r="L36" s="106">
        <f t="shared" si="1"/>
        <v>2037.3638177075338</v>
      </c>
      <c r="M36" s="106">
        <f t="shared" si="2"/>
        <v>2874.6545840600593</v>
      </c>
      <c r="N36" s="106">
        <f t="shared" si="3"/>
        <v>1945.2317808139837</v>
      </c>
      <c r="O36" s="106">
        <f t="shared" si="4"/>
        <v>2938.8913431396195</v>
      </c>
      <c r="P36" s="106">
        <f t="shared" si="5"/>
        <v>1975.4495571397708</v>
      </c>
    </row>
    <row r="37" spans="1:16" ht="24" customHeight="1" x14ac:dyDescent="0.2">
      <c r="A37" s="255" t="s">
        <v>111</v>
      </c>
      <c r="B37" s="76">
        <f>'Kharif-foodgrains U'!B37+'Rabi-foodgrains U'!B37</f>
        <v>5.5800000000000002E-2</v>
      </c>
      <c r="C37" s="76">
        <f>'Kharif-foodgrains U'!C37+'Rabi-foodgrains U'!C37</f>
        <v>5.5600000000000004E-2</v>
      </c>
      <c r="D37" s="76">
        <f>'Kharif-foodgrains U'!D37+'Rabi-foodgrains U'!D37</f>
        <v>5.5600000000000004E-2</v>
      </c>
      <c r="E37" s="76">
        <f>'Kharif-foodgrains U'!E37+'Rabi-foodgrains U'!E37</f>
        <v>1.4260000000000002</v>
      </c>
      <c r="F37" s="76">
        <f>'Kharif-foodgrains U'!F37+'Rabi-foodgrains U'!F37</f>
        <v>0.63400000000000001</v>
      </c>
      <c r="G37" s="76">
        <f>'Kharif-foodgrains U'!G37+'Rabi-foodgrains U'!G37</f>
        <v>0.26130000000000003</v>
      </c>
      <c r="H37" s="76">
        <f>'Kharif-foodgrains U'!H37+'Rabi-foodgrains U'!H37</f>
        <v>0.25729873333333331</v>
      </c>
      <c r="I37" s="76">
        <f>'Kharif-foodgrains U'!I37+'Rabi-foodgrains U'!I37</f>
        <v>0.27653333333333335</v>
      </c>
      <c r="J37" s="76">
        <f>'Kharif-foodgrains U'!J37+'Rabi-foodgrains U'!J37</f>
        <v>7.0970000000000004</v>
      </c>
      <c r="K37" s="76">
        <f>'Kharif-foodgrains U'!K37+'Rabi-foodgrains U'!K37</f>
        <v>2.9209999999999998</v>
      </c>
      <c r="L37" s="106">
        <f t="shared" si="1"/>
        <v>4682.7956989247323</v>
      </c>
      <c r="M37" s="106">
        <f t="shared" si="2"/>
        <v>4627.6750599520383</v>
      </c>
      <c r="N37" s="106">
        <f t="shared" si="3"/>
        <v>4973.6211031175062</v>
      </c>
      <c r="O37" s="106">
        <f t="shared" si="4"/>
        <v>4976.8583450210372</v>
      </c>
      <c r="P37" s="106">
        <f t="shared" si="5"/>
        <v>4607.2555205047311</v>
      </c>
    </row>
    <row r="38" spans="1:16" ht="24" customHeight="1" x14ac:dyDescent="0.2">
      <c r="A38" s="255" t="s">
        <v>54</v>
      </c>
      <c r="B38" s="76">
        <f>'Kharif-foodgrains U'!B38+'Rabi-foodgrains U'!B38</f>
        <v>18.098000000000003</v>
      </c>
      <c r="C38" s="76">
        <f>'Kharif-foodgrains U'!C38+'Rabi-foodgrains U'!C38</f>
        <v>17.755000000000003</v>
      </c>
      <c r="D38" s="76">
        <f>'Kharif-foodgrains U'!D38+'Rabi-foodgrains U'!D38</f>
        <v>19.670000000000002</v>
      </c>
      <c r="E38" s="76">
        <f>'Kharif-foodgrains U'!E38+'Rabi-foodgrains U'!E38</f>
        <v>20.224999999999998</v>
      </c>
      <c r="F38" s="76">
        <f>'Kharif-foodgrains U'!F38+'Rabi-foodgrains U'!F38</f>
        <v>16.698</v>
      </c>
      <c r="G38" s="76">
        <f>'Kharif-foodgrains U'!G38+'Rabi-foodgrains U'!G38</f>
        <v>38.940866666666672</v>
      </c>
      <c r="H38" s="76">
        <f>'Kharif-foodgrains U'!H38+'Rabi-foodgrains U'!H38</f>
        <v>35.709200000000003</v>
      </c>
      <c r="I38" s="76">
        <f>'Kharif-foodgrains U'!I38+'Rabi-foodgrains U'!I38</f>
        <v>36.451459999999997</v>
      </c>
      <c r="J38" s="76">
        <f>'Kharif-foodgrains U'!J38+'Rabi-foodgrains U'!J38</f>
        <v>40.334533333333333</v>
      </c>
      <c r="K38" s="76">
        <f>'Kharif-foodgrains U'!K38+'Rabi-foodgrains U'!K38</f>
        <v>34.338474000000005</v>
      </c>
      <c r="L38" s="106">
        <f t="shared" si="1"/>
        <v>2151.6668508490811</v>
      </c>
      <c r="M38" s="106">
        <f t="shared" si="2"/>
        <v>2011.2193748239933</v>
      </c>
      <c r="N38" s="106">
        <f t="shared" si="3"/>
        <v>1853.1499745805793</v>
      </c>
      <c r="O38" s="106">
        <f t="shared" si="4"/>
        <v>1994.2908941079525</v>
      </c>
      <c r="P38" s="106">
        <f t="shared" si="5"/>
        <v>2056.4423284225659</v>
      </c>
    </row>
    <row r="39" spans="1:16" ht="24" customHeight="1" x14ac:dyDescent="0.2">
      <c r="A39" s="263" t="s">
        <v>203</v>
      </c>
      <c r="B39" s="76">
        <f>'Kharif-foodgrains U'!B41+'Rabi-foodgrains U'!B39</f>
        <v>0</v>
      </c>
      <c r="C39" s="76">
        <f>'Kharif-foodgrains U'!C41+'Rabi-foodgrains U'!C39</f>
        <v>0</v>
      </c>
      <c r="D39" s="76">
        <f>'Kharif-foodgrains U'!D41+'Rabi-foodgrains U'!D39</f>
        <v>0</v>
      </c>
      <c r="E39" s="76">
        <f>'Kharif-foodgrains U'!E41+'Rabi-foodgrains U'!E39</f>
        <v>0</v>
      </c>
      <c r="F39" s="76">
        <f>'Kharif-foodgrains U'!F41+'Rabi-foodgrains U'!F39</f>
        <v>11.686000000000002</v>
      </c>
      <c r="G39" s="76">
        <f>'Kharif-foodgrains U'!G41+'Rabi-foodgrains U'!G39</f>
        <v>0</v>
      </c>
      <c r="H39" s="76">
        <f>'Kharif-foodgrains U'!H41+'Rabi-foodgrains U'!H39</f>
        <v>0</v>
      </c>
      <c r="I39" s="76">
        <f>'Kharif-foodgrains U'!I41+'Rabi-foodgrains U'!I39</f>
        <v>0</v>
      </c>
      <c r="J39" s="76">
        <f>'Kharif-foodgrains U'!J41+'Rabi-foodgrains U'!J39</f>
        <v>0</v>
      </c>
      <c r="K39" s="76">
        <f>'Kharif-foodgrains U'!K41+'Rabi-foodgrains U'!K39</f>
        <v>11.960293999999999</v>
      </c>
      <c r="L39" s="106" t="e">
        <f t="shared" ref="L39" si="6">G39/B39*1000</f>
        <v>#DIV/0!</v>
      </c>
      <c r="M39" s="106" t="e">
        <f t="shared" ref="M39" si="7">H39/C39*1000</f>
        <v>#DIV/0!</v>
      </c>
      <c r="N39" s="106" t="e">
        <f t="shared" ref="N39" si="8">I39/D39*1000</f>
        <v>#DIV/0!</v>
      </c>
      <c r="O39" s="106" t="e">
        <f t="shared" ref="O39" si="9">J39/E39*1000</f>
        <v>#DIV/0!</v>
      </c>
      <c r="P39" s="106">
        <f t="shared" ref="P39" si="10">K39/F39*1000</f>
        <v>1023.4720177990757</v>
      </c>
    </row>
    <row r="40" spans="1:16" ht="24" customHeight="1" x14ac:dyDescent="0.2">
      <c r="A40" s="255" t="s">
        <v>23</v>
      </c>
      <c r="B40" s="76">
        <f>'Kharif-foodgrains U'!B39+'Rabi-foodgrains U'!B40</f>
        <v>30.448</v>
      </c>
      <c r="C40" s="76">
        <f>'Kharif-foodgrains U'!C39+'Rabi-foodgrains U'!C40</f>
        <v>29.948</v>
      </c>
      <c r="D40" s="76">
        <f>'Kharif-foodgrains U'!D39+'Rabi-foodgrains U'!D40</f>
        <v>29.790999999999997</v>
      </c>
      <c r="E40" s="76">
        <f>'Kharif-foodgrains U'!E39+'Rabi-foodgrains U'!E40</f>
        <v>29.746999999999996</v>
      </c>
      <c r="F40" s="76">
        <f>'Kharif-foodgrains U'!F39+'Rabi-foodgrains U'!F40</f>
        <v>29.7</v>
      </c>
      <c r="G40" s="76">
        <f>'Kharif-foodgrains U'!G39+'Rabi-foodgrains U'!G40</f>
        <v>111.19666666666666</v>
      </c>
      <c r="H40" s="76">
        <f>'Kharif-foodgrains U'!H39+'Rabi-foodgrains U'!H40</f>
        <v>106.909458</v>
      </c>
      <c r="I40" s="76">
        <f>'Kharif-foodgrains U'!I39+'Rabi-foodgrains U'!I40</f>
        <v>106.27704634062928</v>
      </c>
      <c r="J40" s="76">
        <f>'Kharif-foodgrains U'!J39+'Rabi-foodgrains U'!J40</f>
        <v>106.19600000000003</v>
      </c>
      <c r="K40" s="76">
        <f>'Kharif-foodgrains U'!K39+'Rabi-foodgrains U'!K40</f>
        <v>111.78910200000001</v>
      </c>
      <c r="L40" s="106">
        <f t="shared" si="1"/>
        <v>3652.018742336661</v>
      </c>
      <c r="M40" s="106">
        <f t="shared" si="2"/>
        <v>3569.8363162815549</v>
      </c>
      <c r="N40" s="106">
        <f t="shared" si="3"/>
        <v>3567.4212460350204</v>
      </c>
      <c r="O40" s="106">
        <f t="shared" si="4"/>
        <v>3569.9734427001054</v>
      </c>
      <c r="P40" s="106">
        <f t="shared" si="5"/>
        <v>3763.9428282828285</v>
      </c>
    </row>
    <row r="41" spans="1:16" ht="24" customHeight="1" x14ac:dyDescent="0.2">
      <c r="A41" s="255" t="s">
        <v>86</v>
      </c>
      <c r="B41" s="76">
        <f>'Kharif-foodgrains U'!B40+'Rabi-foodgrains U'!B41</f>
        <v>2.2170000000000001</v>
      </c>
      <c r="C41" s="76">
        <f>'Kharif-foodgrains U'!C40+'Rabi-foodgrains U'!C41</f>
        <v>2.2170000000000001</v>
      </c>
      <c r="D41" s="76">
        <f>'Kharif-foodgrains U'!D40+'Rabi-foodgrains U'!D41</f>
        <v>1.9279999999999999</v>
      </c>
      <c r="E41" s="76">
        <f>'Kharif-foodgrains U'!E40+'Rabi-foodgrains U'!E41</f>
        <v>1.8</v>
      </c>
      <c r="F41" s="76">
        <f>'Kharif-foodgrains U'!F40+'Rabi-foodgrains U'!F41</f>
        <v>1.93</v>
      </c>
      <c r="G41" s="76">
        <f>'Kharif-foodgrains U'!G40+'Rabi-foodgrains U'!G41</f>
        <v>2.5086666666666666</v>
      </c>
      <c r="H41" s="76">
        <f>'Kharif-foodgrains U'!H40+'Rabi-foodgrains U'!H41</f>
        <v>2.7573479999999999</v>
      </c>
      <c r="I41" s="76">
        <f>'Kharif-foodgrains U'!I40+'Rabi-foodgrains U'!I41</f>
        <v>2.4704426666666666</v>
      </c>
      <c r="J41" s="76">
        <f>'Kharif-foodgrains U'!J40+'Rabi-foodgrains U'!J41</f>
        <v>2.9404166666666667</v>
      </c>
      <c r="K41" s="76">
        <f>'Kharif-foodgrains U'!K40+'Rabi-foodgrains U'!K41</f>
        <v>3.5533679999999999</v>
      </c>
      <c r="L41" s="106">
        <f t="shared" si="1"/>
        <v>1131.5591640354835</v>
      </c>
      <c r="M41" s="106">
        <f t="shared" si="2"/>
        <v>1243.7293640054127</v>
      </c>
      <c r="N41" s="106">
        <f t="shared" si="3"/>
        <v>1281.3499308437069</v>
      </c>
      <c r="O41" s="106">
        <f t="shared" si="4"/>
        <v>1633.5648148148148</v>
      </c>
      <c r="P41" s="106">
        <f t="shared" si="5"/>
        <v>1841.1233160621759</v>
      </c>
    </row>
    <row r="42" spans="1:16" ht="24" customHeight="1" x14ac:dyDescent="0.2">
      <c r="A42" s="255" t="s">
        <v>113</v>
      </c>
      <c r="B42" s="76">
        <f>'Kharif-foodgrains U'!B42+'Rabi-foodgrains U'!B42</f>
        <v>17.846</v>
      </c>
      <c r="C42" s="76">
        <f>'Kharif-foodgrains U'!C42+'Rabi-foodgrains U'!C42</f>
        <v>18.768000000000001</v>
      </c>
      <c r="D42" s="76">
        <f>'Kharif-foodgrains U'!D42+'Rabi-foodgrains U'!D42</f>
        <v>19.216999999999999</v>
      </c>
      <c r="E42" s="76">
        <f>'Kharif-foodgrains U'!E42+'Rabi-foodgrains U'!E42</f>
        <v>19.612200000000001</v>
      </c>
      <c r="F42" s="76">
        <f>'Kharif-foodgrains U'!F42+'Rabi-foodgrains U'!F42</f>
        <v>19.327999999999999</v>
      </c>
      <c r="G42" s="76">
        <f>'Kharif-foodgrains U'!G42+'Rabi-foodgrains U'!G42</f>
        <v>52.850999999999999</v>
      </c>
      <c r="H42" s="76">
        <f>'Kharif-foodgrains U'!H42+'Rabi-foodgrains U'!H42</f>
        <v>44.068289333333333</v>
      </c>
      <c r="I42" s="76">
        <f>'Kharif-foodgrains U'!I42+'Rabi-foodgrains U'!I42</f>
        <v>64.280214999999998</v>
      </c>
      <c r="J42" s="76">
        <f>'Kharif-foodgrains U'!J42+'Rabi-foodgrains U'!J42</f>
        <v>60.28338999999999</v>
      </c>
      <c r="K42" s="76">
        <f>'Kharif-foodgrains U'!K42+'Rabi-foodgrains U'!K42</f>
        <v>50.701796000000002</v>
      </c>
      <c r="L42" s="106">
        <f t="shared" si="1"/>
        <v>2961.5039784825731</v>
      </c>
      <c r="M42" s="106">
        <f t="shared" si="2"/>
        <v>2348.0546319977266</v>
      </c>
      <c r="N42" s="106">
        <f t="shared" si="3"/>
        <v>3344.9661757818599</v>
      </c>
      <c r="O42" s="106">
        <f t="shared" si="4"/>
        <v>3073.7698983285904</v>
      </c>
      <c r="P42" s="106">
        <f t="shared" si="5"/>
        <v>2623.2303394039736</v>
      </c>
    </row>
    <row r="43" spans="1:16" s="8" customFormat="1" ht="24" customHeight="1" x14ac:dyDescent="0.2">
      <c r="A43" s="255" t="s">
        <v>46</v>
      </c>
      <c r="B43" s="93">
        <f>'Kharif-foodgrains U'!B43+'Rabi-foodgrains U'!B43</f>
        <v>129232.78080000001</v>
      </c>
      <c r="C43" s="93">
        <f>'Kharif-foodgrains U'!C43+'Rabi-foodgrains U'!C43</f>
        <v>127524.28533999997</v>
      </c>
      <c r="D43" s="93">
        <f>'Kharif-foodgrains U'!D43+'Rabi-foodgrains U'!D43</f>
        <v>124776.93173999999</v>
      </c>
      <c r="E43" s="93">
        <f>'Kharif-foodgrains U'!E43+'Rabi-foodgrains U'!E43</f>
        <v>126994.5276</v>
      </c>
      <c r="F43" s="93">
        <f>'Kharif-foodgrains U'!F43+'Rabi-foodgrains U'!F43</f>
        <v>129795.00650000002</v>
      </c>
      <c r="G43" s="93">
        <f>'Kharif-foodgrains U'!G43+'Rabi-foodgrains U'!G43</f>
        <v>275111.93423025002</v>
      </c>
      <c r="H43" s="93">
        <f>'Kharif-foodgrains U'!H43+'Rabi-foodgrains U'!H43</f>
        <v>285013.53691122471</v>
      </c>
      <c r="I43" s="93">
        <f>'Kharif-foodgrains U'!I43+'Rabi-foodgrains U'!I43</f>
        <v>285209.31698068936</v>
      </c>
      <c r="J43" s="93">
        <f>'Kharif-foodgrains U'!J43+'Rabi-foodgrains U'!J43</f>
        <v>297504.45557052275</v>
      </c>
      <c r="K43" s="93">
        <f>'Kharif-foodgrains U'!K43+'Rabi-foodgrains U'!K43</f>
        <v>310741.73572342587</v>
      </c>
      <c r="L43" s="107">
        <f t="shared" si="1"/>
        <v>2128.8092117743086</v>
      </c>
      <c r="M43" s="107">
        <f t="shared" si="2"/>
        <v>2234.9745866156663</v>
      </c>
      <c r="N43" s="107">
        <f t="shared" si="3"/>
        <v>2285.7535684158775</v>
      </c>
      <c r="O43" s="107">
        <f t="shared" si="4"/>
        <v>2342.6557127531119</v>
      </c>
      <c r="P43" s="107">
        <f t="shared" si="5"/>
        <v>2394.0962299148682</v>
      </c>
    </row>
    <row r="44" spans="1:16" x14ac:dyDescent="0.2">
      <c r="A44" s="21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6" x14ac:dyDescent="0.2">
      <c r="A45" s="21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6" x14ac:dyDescent="0.2">
      <c r="A46" s="21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6" x14ac:dyDescent="0.2">
      <c r="A47" s="21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6" x14ac:dyDescent="0.2">
      <c r="A48" s="21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2">
      <c r="A49" s="21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2">
      <c r="A50" s="21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2">
      <c r="A51" s="21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2">
      <c r="A52" s="21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2">
      <c r="A53" s="21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2">
      <c r="A54" s="21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2">
      <c r="A55" s="21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2">
      <c r="A56" s="21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2">
      <c r="A57" s="21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2">
      <c r="A58" s="21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2">
      <c r="A59" s="21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2">
      <c r="A60" s="21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2">
      <c r="A61" s="21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2">
      <c r="A62" s="21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2">
      <c r="A63" s="21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2">
      <c r="A64" s="21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2">
      <c r="A65" s="21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2">
      <c r="A66" s="21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2">
      <c r="A67" s="21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2">
      <c r="A68" s="21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2">
      <c r="A69" s="21"/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1" x14ac:dyDescent="0.2">
      <c r="A70" s="21"/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x14ac:dyDescent="0.2">
      <c r="A71" s="21"/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x14ac:dyDescent="0.2">
      <c r="A72" s="21"/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x14ac:dyDescent="0.2">
      <c r="A73" s="21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x14ac:dyDescent="0.2">
      <c r="A74" s="21"/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1:11" x14ac:dyDescent="0.2">
      <c r="A75" s="21"/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1:11" x14ac:dyDescent="0.2">
      <c r="A76" s="21"/>
      <c r="B76" s="9"/>
      <c r="C76" s="9"/>
      <c r="D76" s="9"/>
      <c r="E76" s="9"/>
      <c r="F76" s="9"/>
      <c r="G76" s="9"/>
      <c r="H76" s="9"/>
      <c r="I76" s="9"/>
      <c r="J76" s="9"/>
      <c r="K76" s="9"/>
    </row>
    <row r="77" spans="1:11" x14ac:dyDescent="0.2">
      <c r="A77" s="21"/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2">
      <c r="A78" s="21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2">
      <c r="A79" s="21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2">
      <c r="A80" s="21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 x14ac:dyDescent="0.2">
      <c r="A81" s="21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 x14ac:dyDescent="0.2">
      <c r="A82" s="21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x14ac:dyDescent="0.2">
      <c r="A83" s="21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1:11" x14ac:dyDescent="0.2">
      <c r="A84" s="21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x14ac:dyDescent="0.2">
      <c r="A85" s="21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1:11" x14ac:dyDescent="0.2">
      <c r="A86" s="21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x14ac:dyDescent="0.2">
      <c r="A87" s="21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1:11" x14ac:dyDescent="0.2">
      <c r="A88" s="21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x14ac:dyDescent="0.2">
      <c r="A89" s="21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x14ac:dyDescent="0.2">
      <c r="A90" s="21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x14ac:dyDescent="0.2">
      <c r="A91" s="21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x14ac:dyDescent="0.2">
      <c r="A92" s="21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x14ac:dyDescent="0.2">
      <c r="A93" s="21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x14ac:dyDescent="0.2">
      <c r="A94" s="21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x14ac:dyDescent="0.2">
      <c r="A95" s="21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x14ac:dyDescent="0.2">
      <c r="A96" s="21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x14ac:dyDescent="0.2">
      <c r="A97" s="21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1:11" x14ac:dyDescent="0.2">
      <c r="A98" s="21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x14ac:dyDescent="0.2">
      <c r="A99" s="21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x14ac:dyDescent="0.2">
      <c r="A100" s="21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x14ac:dyDescent="0.2">
      <c r="A101" s="21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11" x14ac:dyDescent="0.2">
      <c r="A102" s="21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x14ac:dyDescent="0.2">
      <c r="A103" s="21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11" x14ac:dyDescent="0.2">
      <c r="A104" s="21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x14ac:dyDescent="0.2">
      <c r="A105" s="21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x14ac:dyDescent="0.2">
      <c r="A106" s="21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x14ac:dyDescent="0.2">
      <c r="A107" s="21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spans="1:11" x14ac:dyDescent="0.2">
      <c r="A108" s="21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x14ac:dyDescent="0.2">
      <c r="A109" s="21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1:11" x14ac:dyDescent="0.2">
      <c r="A110" s="21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x14ac:dyDescent="0.2">
      <c r="A111" s="21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x14ac:dyDescent="0.2">
      <c r="A112" s="21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x14ac:dyDescent="0.2">
      <c r="A113" s="21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1:11" x14ac:dyDescent="0.2">
      <c r="A114" s="21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x14ac:dyDescent="0.2">
      <c r="A115" s="21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x14ac:dyDescent="0.2">
      <c r="A116" s="21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x14ac:dyDescent="0.2">
      <c r="A117" s="21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1:11" x14ac:dyDescent="0.2">
      <c r="A118" s="21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x14ac:dyDescent="0.2">
      <c r="A119" s="21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1:11" x14ac:dyDescent="0.2">
      <c r="A120" s="21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x14ac:dyDescent="0.2">
      <c r="A121" s="21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1:11" x14ac:dyDescent="0.2">
      <c r="A122" s="21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x14ac:dyDescent="0.2">
      <c r="A123" s="21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x14ac:dyDescent="0.2">
      <c r="A124" s="21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x14ac:dyDescent="0.2">
      <c r="A125" s="21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x14ac:dyDescent="0.2">
      <c r="A126" s="21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x14ac:dyDescent="0.2">
      <c r="A127" s="21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x14ac:dyDescent="0.2">
      <c r="A128" s="21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x14ac:dyDescent="0.2">
      <c r="A129" s="21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x14ac:dyDescent="0.2">
      <c r="A130" s="21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x14ac:dyDescent="0.2">
      <c r="A131" s="21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x14ac:dyDescent="0.2">
      <c r="A132" s="21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x14ac:dyDescent="0.2">
      <c r="A133" s="21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x14ac:dyDescent="0.2">
      <c r="A134" s="21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x14ac:dyDescent="0.2">
      <c r="A135" s="21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x14ac:dyDescent="0.2">
      <c r="A136" s="21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x14ac:dyDescent="0.2">
      <c r="A137" s="21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x14ac:dyDescent="0.2">
      <c r="A138" s="21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x14ac:dyDescent="0.2">
      <c r="A139" s="21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 x14ac:dyDescent="0.2">
      <c r="A140" s="21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x14ac:dyDescent="0.2">
      <c r="A141" s="21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1:11" x14ac:dyDescent="0.2">
      <c r="A142" s="21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x14ac:dyDescent="0.2">
      <c r="A143" s="21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1:11" x14ac:dyDescent="0.2">
      <c r="A144" s="21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x14ac:dyDescent="0.2">
      <c r="A145" s="21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1:11" x14ac:dyDescent="0.2">
      <c r="A146" s="21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x14ac:dyDescent="0.2">
      <c r="A147" s="21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x14ac:dyDescent="0.2">
      <c r="A148" s="21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x14ac:dyDescent="0.2">
      <c r="A149" s="21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1:11" x14ac:dyDescent="0.2">
      <c r="A150" s="21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x14ac:dyDescent="0.2">
      <c r="A151" s="21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1:11" x14ac:dyDescent="0.2">
      <c r="A152" s="21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x14ac:dyDescent="0.2">
      <c r="A153" s="21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1:11" x14ac:dyDescent="0.2">
      <c r="A154" s="21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x14ac:dyDescent="0.2">
      <c r="A155" s="21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1:11" x14ac:dyDescent="0.2">
      <c r="A156" s="21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x14ac:dyDescent="0.2">
      <c r="A157" s="21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1:11" x14ac:dyDescent="0.2">
      <c r="A158" s="21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x14ac:dyDescent="0.2">
      <c r="A159" s="21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x14ac:dyDescent="0.2">
      <c r="A160" s="21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x14ac:dyDescent="0.2">
      <c r="A161" s="21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1:11" x14ac:dyDescent="0.2">
      <c r="A162" s="21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x14ac:dyDescent="0.2">
      <c r="A163" s="21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1:11" x14ac:dyDescent="0.2">
      <c r="A164" s="21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x14ac:dyDescent="0.2">
      <c r="A165" s="21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x14ac:dyDescent="0.2">
      <c r="A166" s="21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x14ac:dyDescent="0.2">
      <c r="A167" s="21"/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spans="1:11" x14ac:dyDescent="0.2">
      <c r="A168" s="21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 x14ac:dyDescent="0.2">
      <c r="A169" s="21"/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spans="1:11" x14ac:dyDescent="0.2">
      <c r="A170" s="21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x14ac:dyDescent="0.2">
      <c r="A171" s="21"/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spans="1:11" x14ac:dyDescent="0.2">
      <c r="A172" s="21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x14ac:dyDescent="0.2">
      <c r="A173" s="21"/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spans="1:11" x14ac:dyDescent="0.2">
      <c r="A174" s="21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x14ac:dyDescent="0.2">
      <c r="A175" s="21"/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 spans="1:11" x14ac:dyDescent="0.2">
      <c r="A176" s="21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1:11" x14ac:dyDescent="0.2">
      <c r="A177" s="21"/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 spans="1:11" x14ac:dyDescent="0.2">
      <c r="A178" s="21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1:11" x14ac:dyDescent="0.2">
      <c r="A179" s="21"/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 spans="1:11" x14ac:dyDescent="0.2">
      <c r="A180" s="21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1:11" x14ac:dyDescent="0.2">
      <c r="A181" s="21"/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spans="1:11" x14ac:dyDescent="0.2">
      <c r="A182" s="21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1:11" x14ac:dyDescent="0.2">
      <c r="A183" s="21"/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spans="1:11" x14ac:dyDescent="0.2">
      <c r="A184" s="21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1:11" x14ac:dyDescent="0.2">
      <c r="A185" s="21"/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 spans="1:11" x14ac:dyDescent="0.2">
      <c r="A186" s="21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1:11" x14ac:dyDescent="0.2">
      <c r="A187" s="21"/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 spans="1:11" x14ac:dyDescent="0.2">
      <c r="A188" s="21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1:11" x14ac:dyDescent="0.2">
      <c r="A189" s="21"/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 spans="1:11" x14ac:dyDescent="0.2">
      <c r="A190" s="21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1:11" x14ac:dyDescent="0.2">
      <c r="A191" s="21"/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 spans="1:11" x14ac:dyDescent="0.2">
      <c r="A192" s="21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 x14ac:dyDescent="0.2">
      <c r="A193" s="21"/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 spans="1:11" x14ac:dyDescent="0.2">
      <c r="A194" s="21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x14ac:dyDescent="0.2">
      <c r="A195" s="21"/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spans="1:11" x14ac:dyDescent="0.2">
      <c r="A196" s="21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1:11" x14ac:dyDescent="0.2">
      <c r="A197" s="21"/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spans="1:11" x14ac:dyDescent="0.2">
      <c r="A198" s="21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1:11" x14ac:dyDescent="0.2">
      <c r="A199" s="21"/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 spans="1:11" x14ac:dyDescent="0.2">
      <c r="A200" s="21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1:11" x14ac:dyDescent="0.2">
      <c r="A201" s="21"/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 spans="1:11" x14ac:dyDescent="0.2">
      <c r="A202" s="21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1:11" x14ac:dyDescent="0.2">
      <c r="A203" s="21"/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 spans="1:11" x14ac:dyDescent="0.2">
      <c r="A204" s="21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1:11" x14ac:dyDescent="0.2">
      <c r="A205" s="21"/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 spans="1:11" x14ac:dyDescent="0.2">
      <c r="A206" s="21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1:11" x14ac:dyDescent="0.2">
      <c r="A207" s="21"/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 spans="1:11" x14ac:dyDescent="0.2">
      <c r="A208" s="21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 x14ac:dyDescent="0.2">
      <c r="A209" s="21"/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 spans="1:11" x14ac:dyDescent="0.2">
      <c r="A210" s="21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1:11" x14ac:dyDescent="0.2">
      <c r="A211" s="21"/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 spans="1:11" x14ac:dyDescent="0.2">
      <c r="A212" s="21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1:11" x14ac:dyDescent="0.2">
      <c r="A213" s="21"/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 spans="1:11" x14ac:dyDescent="0.2">
      <c r="A214" s="21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1:11" x14ac:dyDescent="0.2">
      <c r="A215" s="21"/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spans="1:11" x14ac:dyDescent="0.2">
      <c r="A216" s="21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1:11" x14ac:dyDescent="0.2">
      <c r="A217" s="21"/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 spans="1:11" x14ac:dyDescent="0.2">
      <c r="A218" s="21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1:11" x14ac:dyDescent="0.2">
      <c r="A219" s="21"/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 spans="1:11" x14ac:dyDescent="0.2">
      <c r="A220" s="21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1:11" x14ac:dyDescent="0.2">
      <c r="A221" s="21"/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 spans="1:11" x14ac:dyDescent="0.2">
      <c r="A222" s="21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1:11" x14ac:dyDescent="0.2">
      <c r="A223" s="21"/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 spans="1:11" x14ac:dyDescent="0.2">
      <c r="A224" s="21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 x14ac:dyDescent="0.2">
      <c r="A225" s="21"/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 spans="1:11" x14ac:dyDescent="0.2">
      <c r="A226" s="21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1:11" x14ac:dyDescent="0.2">
      <c r="A227" s="21"/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 spans="1:11" x14ac:dyDescent="0.2">
      <c r="A228" s="21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1" x14ac:dyDescent="0.2">
      <c r="B229" s="19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x14ac:dyDescent="0.2">
      <c r="B230" s="19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x14ac:dyDescent="0.2"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</sheetData>
  <mergeCells count="5">
    <mergeCell ref="A4:A5"/>
    <mergeCell ref="B4:F4"/>
    <mergeCell ref="G4:K4"/>
    <mergeCell ref="L4:P4"/>
    <mergeCell ref="A2:P2"/>
  </mergeCells>
  <phoneticPr fontId="0" type="noConversion"/>
  <printOptions horizontalCentered="1" verticalCentered="1"/>
  <pageMargins left="0.31496062992126" right="0.31496062992126" top="0.23622047244094499" bottom="0.511811023622047" header="0.23622047244094499" footer="0.23622047244094499"/>
  <pageSetup paperSize="9" scale="54" orientation="landscape" r:id="rId1"/>
  <headerFooter alignWithMargins="0">
    <oddFooter>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39"/>
  <sheetViews>
    <sheetView tabSelected="1" view="pageBreakPreview" zoomScale="70" zoomScaleNormal="75" zoomScaleSheetLayoutView="70" workbookViewId="0">
      <pane xSplit="1" ySplit="6" topLeftCell="B34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3.5703125" style="4" customWidth="1"/>
    <col min="2" max="7" width="11.140625" style="4" customWidth="1"/>
    <col min="8" max="8" width="12.140625" style="4" customWidth="1"/>
    <col min="9" max="9" width="12.42578125" style="4" customWidth="1"/>
    <col min="10" max="10" width="12.28515625" style="4" bestFit="1" customWidth="1"/>
    <col min="11" max="11" width="11.42578125" style="4" customWidth="1"/>
    <col min="12" max="12" width="10.85546875" style="4" customWidth="1"/>
    <col min="13" max="13" width="10.5703125" style="4" customWidth="1"/>
    <col min="14" max="14" width="12" style="4" customWidth="1"/>
    <col min="15" max="16" width="10.5703125" style="4" customWidth="1"/>
    <col min="17" max="16384" width="9.140625" style="4"/>
  </cols>
  <sheetData>
    <row r="2" spans="1:16" ht="18" x14ac:dyDescent="0.2">
      <c r="A2" s="351" t="s">
        <v>178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</row>
    <row r="3" spans="1:16" ht="17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6" ht="17.25" customHeight="1" x14ac:dyDescent="0.2">
      <c r="A4" s="356" t="s">
        <v>1</v>
      </c>
      <c r="B4" s="342" t="s">
        <v>174</v>
      </c>
      <c r="C4" s="342"/>
      <c r="D4" s="342"/>
      <c r="E4" s="342"/>
      <c r="F4" s="342"/>
      <c r="G4" s="342" t="s">
        <v>68</v>
      </c>
      <c r="H4" s="342"/>
      <c r="I4" s="342"/>
      <c r="J4" s="342"/>
      <c r="K4" s="342"/>
      <c r="L4" s="342" t="s">
        <v>89</v>
      </c>
      <c r="M4" s="342"/>
      <c r="N4" s="342"/>
      <c r="O4" s="342"/>
      <c r="P4" s="342"/>
    </row>
    <row r="5" spans="1:16" ht="30" customHeight="1" x14ac:dyDescent="0.2">
      <c r="A5" s="356"/>
      <c r="B5" s="270" t="s">
        <v>112</v>
      </c>
      <c r="C5" s="270" t="s">
        <v>164</v>
      </c>
      <c r="D5" s="270" t="s">
        <v>199</v>
      </c>
      <c r="E5" s="270" t="s">
        <v>200</v>
      </c>
      <c r="F5" s="273" t="s">
        <v>202</v>
      </c>
      <c r="G5" s="270" t="s">
        <v>112</v>
      </c>
      <c r="H5" s="270" t="s">
        <v>164</v>
      </c>
      <c r="I5" s="270" t="s">
        <v>199</v>
      </c>
      <c r="J5" s="270" t="s">
        <v>200</v>
      </c>
      <c r="K5" s="273" t="s">
        <v>202</v>
      </c>
      <c r="L5" s="339" t="s">
        <v>112</v>
      </c>
      <c r="M5" s="339" t="s">
        <v>164</v>
      </c>
      <c r="N5" s="339" t="s">
        <v>199</v>
      </c>
      <c r="O5" s="339" t="s">
        <v>200</v>
      </c>
      <c r="P5" s="339" t="s">
        <v>202</v>
      </c>
    </row>
    <row r="6" spans="1:16" s="14" customFormat="1" ht="15.75" customHeight="1" x14ac:dyDescent="0.2">
      <c r="A6" s="267">
        <v>1</v>
      </c>
      <c r="B6" s="243">
        <v>2</v>
      </c>
      <c r="C6" s="243">
        <v>3</v>
      </c>
      <c r="D6" s="243">
        <v>4</v>
      </c>
      <c r="E6" s="243">
        <v>5</v>
      </c>
      <c r="F6" s="243">
        <v>6</v>
      </c>
      <c r="G6" s="243">
        <v>7</v>
      </c>
      <c r="H6" s="243">
        <v>8</v>
      </c>
      <c r="I6" s="243">
        <v>9</v>
      </c>
      <c r="J6" s="243">
        <v>10</v>
      </c>
      <c r="K6" s="243">
        <v>11</v>
      </c>
      <c r="L6" s="243">
        <v>12</v>
      </c>
      <c r="M6" s="243">
        <v>13</v>
      </c>
      <c r="N6" s="243">
        <v>14</v>
      </c>
      <c r="O6" s="243">
        <v>15</v>
      </c>
      <c r="P6" s="243">
        <v>16</v>
      </c>
    </row>
    <row r="7" spans="1:16" ht="20.25" hidden="1" customHeight="1" x14ac:dyDescent="0.2">
      <c r="A7" s="244" t="s">
        <v>2</v>
      </c>
      <c r="B7" s="75">
        <v>0</v>
      </c>
      <c r="C7" s="75">
        <v>0</v>
      </c>
      <c r="D7" s="74">
        <v>0</v>
      </c>
      <c r="E7" s="74">
        <v>0</v>
      </c>
      <c r="F7" s="74"/>
      <c r="G7" s="75">
        <v>0</v>
      </c>
      <c r="H7" s="75">
        <v>0</v>
      </c>
      <c r="I7" s="74">
        <v>0</v>
      </c>
      <c r="J7" s="74">
        <v>0</v>
      </c>
      <c r="K7" s="74">
        <v>0</v>
      </c>
      <c r="L7" s="7" t="e">
        <f t="shared" ref="L7" si="0">G7/B7*1000</f>
        <v>#DIV/0!</v>
      </c>
      <c r="M7" s="7" t="e">
        <f t="shared" ref="M7:M8" si="1">H7/C7*1000</f>
        <v>#DIV/0!</v>
      </c>
      <c r="N7" s="7" t="e">
        <f t="shared" ref="N7:N8" si="2">I7/D7*1000</f>
        <v>#DIV/0!</v>
      </c>
      <c r="O7" s="7" t="e">
        <f t="shared" ref="O7:P8" si="3">J7/E7*1000</f>
        <v>#DIV/0!</v>
      </c>
      <c r="P7" s="7" t="e">
        <f t="shared" si="3"/>
        <v>#DIV/0!</v>
      </c>
    </row>
    <row r="8" spans="1:16" ht="20.25" customHeight="1" x14ac:dyDescent="0.2">
      <c r="A8" s="28" t="s">
        <v>24</v>
      </c>
      <c r="B8" s="74">
        <v>3.91</v>
      </c>
      <c r="C8" s="74">
        <v>3.93</v>
      </c>
      <c r="D8" s="74">
        <v>3.93</v>
      </c>
      <c r="E8" s="74">
        <v>3.39</v>
      </c>
      <c r="F8" s="318">
        <v>3.93</v>
      </c>
      <c r="G8" s="74">
        <v>7.7</v>
      </c>
      <c r="H8" s="74">
        <v>7.7421000000000006</v>
      </c>
      <c r="I8" s="74">
        <v>7.7421000000000006</v>
      </c>
      <c r="J8" s="74">
        <v>6.6783000000000001</v>
      </c>
      <c r="K8" s="313">
        <v>7.7421000000000006</v>
      </c>
      <c r="L8" s="7">
        <f>G8/B8*1000</f>
        <v>1969.309462915601</v>
      </c>
      <c r="M8" s="7">
        <f t="shared" si="1"/>
        <v>1970.0000000000002</v>
      </c>
      <c r="N8" s="7">
        <f t="shared" si="2"/>
        <v>1970.0000000000002</v>
      </c>
      <c r="O8" s="7">
        <f t="shared" si="3"/>
        <v>1970</v>
      </c>
      <c r="P8" s="7">
        <f t="shared" si="3"/>
        <v>1970.0000000000002</v>
      </c>
    </row>
    <row r="9" spans="1:16" ht="20.25" customHeight="1" x14ac:dyDescent="0.2">
      <c r="A9" s="28" t="s">
        <v>25</v>
      </c>
      <c r="B9" s="75">
        <v>17.452000000000002</v>
      </c>
      <c r="C9" s="74">
        <v>17.786000000000001</v>
      </c>
      <c r="D9" s="74">
        <v>16.945</v>
      </c>
      <c r="E9" s="74">
        <v>11.336</v>
      </c>
      <c r="F9" s="318">
        <v>9.3420000000000005</v>
      </c>
      <c r="G9" s="86">
        <v>23.454000000000001</v>
      </c>
      <c r="H9" s="74">
        <v>24.651396000000002</v>
      </c>
      <c r="I9" s="74">
        <v>23.689109999999999</v>
      </c>
      <c r="J9" s="74">
        <v>14.430728</v>
      </c>
      <c r="K9" s="305">
        <v>12.882618000000001</v>
      </c>
      <c r="L9" s="7">
        <f t="shared" ref="L9:L39" si="4">G9/B9*1000</f>
        <v>1343.9147375658949</v>
      </c>
      <c r="M9" s="7">
        <f t="shared" ref="M9:M39" si="5">H9/C9*1000</f>
        <v>1386</v>
      </c>
      <c r="N9" s="7">
        <f t="shared" ref="N9:N39" si="6">I9/D9*1000</f>
        <v>1398</v>
      </c>
      <c r="O9" s="7">
        <f t="shared" ref="O9:O39" si="7">J9/E9*1000</f>
        <v>1273</v>
      </c>
      <c r="P9" s="7">
        <f t="shared" ref="P9:P39" si="8">K9/F9*1000</f>
        <v>1379</v>
      </c>
    </row>
    <row r="10" spans="1:16" ht="20.25" customHeight="1" x14ac:dyDescent="0.2">
      <c r="A10" s="28" t="s">
        <v>34</v>
      </c>
      <c r="B10" s="75">
        <v>2105.8110000000001</v>
      </c>
      <c r="C10" s="74">
        <v>2101.3110000000001</v>
      </c>
      <c r="D10" s="74">
        <v>2156.652</v>
      </c>
      <c r="E10" s="74">
        <v>2150.1799999999998</v>
      </c>
      <c r="F10" s="318">
        <v>2222.5030000000002</v>
      </c>
      <c r="G10" s="87">
        <v>5110.8032970000004</v>
      </c>
      <c r="H10" s="74">
        <v>6104.3084550000003</v>
      </c>
      <c r="I10" s="74">
        <v>6465.6426960000008</v>
      </c>
      <c r="J10" s="74">
        <v>5579.7170999999998</v>
      </c>
      <c r="K10" s="314">
        <v>6149.6658010000001</v>
      </c>
      <c r="L10" s="7">
        <f t="shared" si="4"/>
        <v>2427</v>
      </c>
      <c r="M10" s="7">
        <f t="shared" si="5"/>
        <v>2905</v>
      </c>
      <c r="N10" s="7">
        <f t="shared" si="6"/>
        <v>2998</v>
      </c>
      <c r="O10" s="7">
        <f t="shared" si="7"/>
        <v>2595</v>
      </c>
      <c r="P10" s="7">
        <f t="shared" si="8"/>
        <v>2767</v>
      </c>
    </row>
    <row r="11" spans="1:16" ht="20.25" customHeight="1" x14ac:dyDescent="0.2">
      <c r="A11" s="28" t="s">
        <v>47</v>
      </c>
      <c r="B11" s="75">
        <v>114.7</v>
      </c>
      <c r="C11" s="74">
        <v>101.36</v>
      </c>
      <c r="D11" s="74">
        <v>105.12</v>
      </c>
      <c r="E11" s="74">
        <v>109.8</v>
      </c>
      <c r="F11" s="318">
        <v>160.13</v>
      </c>
      <c r="G11" s="86">
        <v>159.5</v>
      </c>
      <c r="H11" s="74">
        <v>130.65304</v>
      </c>
      <c r="I11" s="74">
        <v>162.72576000000001</v>
      </c>
      <c r="J11" s="74">
        <v>115.29</v>
      </c>
      <c r="K11" s="305">
        <v>248.36162999999999</v>
      </c>
      <c r="L11" s="7">
        <f t="shared" si="4"/>
        <v>1390.5841325196163</v>
      </c>
      <c r="M11" s="7">
        <f t="shared" si="5"/>
        <v>1289.0000000000002</v>
      </c>
      <c r="N11" s="7">
        <f t="shared" si="6"/>
        <v>1548</v>
      </c>
      <c r="O11" s="7">
        <f t="shared" si="7"/>
        <v>1050</v>
      </c>
      <c r="P11" s="7">
        <f t="shared" si="8"/>
        <v>1551</v>
      </c>
    </row>
    <row r="12" spans="1:16" ht="20.25" hidden="1" customHeight="1" x14ac:dyDescent="0.2">
      <c r="A12" s="28" t="s">
        <v>15</v>
      </c>
      <c r="B12" s="75"/>
      <c r="C12" s="74"/>
      <c r="D12" s="74"/>
      <c r="E12" s="74"/>
      <c r="F12" s="319"/>
      <c r="G12" s="86"/>
      <c r="H12" s="74"/>
      <c r="I12" s="74"/>
      <c r="J12" s="74">
        <v>0</v>
      </c>
      <c r="K12" s="305">
        <v>0</v>
      </c>
      <c r="L12" s="7" t="e">
        <f t="shared" si="4"/>
        <v>#DIV/0!</v>
      </c>
      <c r="M12" s="7" t="e">
        <f t="shared" si="5"/>
        <v>#DIV/0!</v>
      </c>
      <c r="N12" s="7" t="e">
        <f t="shared" si="6"/>
        <v>#DIV/0!</v>
      </c>
      <c r="O12" s="7" t="e">
        <f t="shared" si="7"/>
        <v>#DIV/0!</v>
      </c>
      <c r="P12" s="7" t="e">
        <f t="shared" si="8"/>
        <v>#DIV/0!</v>
      </c>
    </row>
    <row r="13" spans="1:16" ht="20.25" customHeight="1" x14ac:dyDescent="0.2">
      <c r="A13" s="28" t="s">
        <v>4</v>
      </c>
      <c r="B13" s="75">
        <v>995</v>
      </c>
      <c r="C13" s="74">
        <v>1059</v>
      </c>
      <c r="D13" s="74">
        <v>797.16</v>
      </c>
      <c r="E13" s="74">
        <v>1018</v>
      </c>
      <c r="F13" s="320">
        <v>1017</v>
      </c>
      <c r="G13" s="86">
        <v>2737</v>
      </c>
      <c r="H13" s="74">
        <v>3068.982</v>
      </c>
      <c r="I13" s="74">
        <v>2407.4231999999997</v>
      </c>
      <c r="J13" s="74">
        <v>3326.8240000000001</v>
      </c>
      <c r="K13" s="305">
        <v>3259.4850000000001</v>
      </c>
      <c r="L13" s="7">
        <f t="shared" si="4"/>
        <v>2750.7537688442212</v>
      </c>
      <c r="M13" s="7">
        <f t="shared" si="5"/>
        <v>2898</v>
      </c>
      <c r="N13" s="7">
        <f t="shared" si="6"/>
        <v>3019.9999999999995</v>
      </c>
      <c r="O13" s="7">
        <f t="shared" si="7"/>
        <v>3268.0000000000005</v>
      </c>
      <c r="P13" s="7">
        <f t="shared" si="8"/>
        <v>3205</v>
      </c>
    </row>
    <row r="14" spans="1:16" ht="20.25" customHeight="1" x14ac:dyDescent="0.2">
      <c r="A14" s="28" t="s">
        <v>18</v>
      </c>
      <c r="B14" s="75">
        <v>2558</v>
      </c>
      <c r="C14" s="74">
        <v>2440</v>
      </c>
      <c r="D14" s="74">
        <v>2553.1</v>
      </c>
      <c r="E14" s="74">
        <v>2533.9</v>
      </c>
      <c r="F14" s="318">
        <v>2564</v>
      </c>
      <c r="G14" s="86">
        <v>11546.812</v>
      </c>
      <c r="H14" s="74">
        <v>10765.28</v>
      </c>
      <c r="I14" s="74">
        <v>12574.0175</v>
      </c>
      <c r="J14" s="74">
        <v>11876.389300000001</v>
      </c>
      <c r="K14" s="305">
        <v>12394.376</v>
      </c>
      <c r="L14" s="7">
        <f t="shared" si="4"/>
        <v>4514</v>
      </c>
      <c r="M14" s="7">
        <f t="shared" si="5"/>
        <v>4412</v>
      </c>
      <c r="N14" s="7">
        <f t="shared" si="6"/>
        <v>4925</v>
      </c>
      <c r="O14" s="7">
        <f t="shared" si="7"/>
        <v>4687</v>
      </c>
      <c r="P14" s="7">
        <f t="shared" si="8"/>
        <v>4834.0000000000009</v>
      </c>
    </row>
    <row r="15" spans="1:16" ht="20.25" customHeight="1" x14ac:dyDescent="0.2">
      <c r="A15" s="28" t="s">
        <v>44</v>
      </c>
      <c r="B15" s="75">
        <v>346.38799999999998</v>
      </c>
      <c r="C15" s="74">
        <v>318.87400000000002</v>
      </c>
      <c r="D15" s="74">
        <v>319</v>
      </c>
      <c r="E15" s="74">
        <v>286</v>
      </c>
      <c r="F15" s="318">
        <v>333.14800000000002</v>
      </c>
      <c r="G15" s="86">
        <v>704.20699999999999</v>
      </c>
      <c r="H15" s="74">
        <v>565.73599999999999</v>
      </c>
      <c r="I15" s="74">
        <v>564.63</v>
      </c>
      <c r="J15" s="74">
        <v>563.41999999999996</v>
      </c>
      <c r="K15" s="305">
        <v>570.34937600000001</v>
      </c>
      <c r="L15" s="7">
        <f t="shared" si="4"/>
        <v>2033.0005658394632</v>
      </c>
      <c r="M15" s="7">
        <f t="shared" si="5"/>
        <v>1774.1678531332122</v>
      </c>
      <c r="N15" s="7">
        <f t="shared" si="6"/>
        <v>1770</v>
      </c>
      <c r="O15" s="7">
        <f t="shared" si="7"/>
        <v>1969.9999999999998</v>
      </c>
      <c r="P15" s="7">
        <f t="shared" si="8"/>
        <v>1712</v>
      </c>
    </row>
    <row r="16" spans="1:16" ht="20.25" customHeight="1" x14ac:dyDescent="0.2">
      <c r="A16" s="28" t="s">
        <v>19</v>
      </c>
      <c r="B16" s="75">
        <v>290.30099999999999</v>
      </c>
      <c r="C16" s="74">
        <v>299.36</v>
      </c>
      <c r="D16" s="74">
        <v>288.387</v>
      </c>
      <c r="E16" s="74">
        <v>243.93</v>
      </c>
      <c r="F16" s="318">
        <v>243.75399999999999</v>
      </c>
      <c r="G16" s="86">
        <v>475.51303799999999</v>
      </c>
      <c r="H16" s="74">
        <v>487.35808000000003</v>
      </c>
      <c r="I16" s="74">
        <v>671.94170999999994</v>
      </c>
      <c r="J16" s="74">
        <v>488.34785999999997</v>
      </c>
      <c r="K16" s="305">
        <v>483.85169000000002</v>
      </c>
      <c r="L16" s="7">
        <f t="shared" si="4"/>
        <v>1638.0000000000002</v>
      </c>
      <c r="M16" s="7">
        <f t="shared" si="5"/>
        <v>1628</v>
      </c>
      <c r="N16" s="7">
        <f t="shared" si="6"/>
        <v>2329.9999999999995</v>
      </c>
      <c r="O16" s="7">
        <f t="shared" si="7"/>
        <v>2001.9999999999998</v>
      </c>
      <c r="P16" s="7">
        <f t="shared" si="8"/>
        <v>1985</v>
      </c>
    </row>
    <row r="17" spans="1:16" ht="20.25" customHeight="1" x14ac:dyDescent="0.2">
      <c r="A17" s="28" t="s">
        <v>41</v>
      </c>
      <c r="B17" s="75">
        <v>211.471</v>
      </c>
      <c r="C17" s="74">
        <v>220.96299999999999</v>
      </c>
      <c r="D17" s="74">
        <v>163.84700000000001</v>
      </c>
      <c r="E17" s="74">
        <v>214.78</v>
      </c>
      <c r="F17" s="318">
        <v>232.762</v>
      </c>
      <c r="G17" s="88">
        <v>425.24400000000003</v>
      </c>
      <c r="H17" s="74">
        <v>468.66252299999996</v>
      </c>
      <c r="I17" s="74">
        <v>302.62540900000005</v>
      </c>
      <c r="J17" s="74">
        <v>439.43988000000002</v>
      </c>
      <c r="K17" s="305">
        <v>543.96479399999998</v>
      </c>
      <c r="L17" s="7">
        <f t="shared" si="4"/>
        <v>2010.8856533519966</v>
      </c>
      <c r="M17" s="7">
        <f t="shared" si="5"/>
        <v>2121</v>
      </c>
      <c r="N17" s="7">
        <f t="shared" si="6"/>
        <v>1847.0000000000002</v>
      </c>
      <c r="O17" s="7">
        <f t="shared" si="7"/>
        <v>2046.0000000000002</v>
      </c>
      <c r="P17" s="7">
        <f t="shared" si="8"/>
        <v>2336.9999999999995</v>
      </c>
    </row>
    <row r="18" spans="1:16" ht="20.25" customHeight="1" x14ac:dyDescent="0.2">
      <c r="A18" s="28" t="s">
        <v>5</v>
      </c>
      <c r="B18" s="75">
        <v>168</v>
      </c>
      <c r="C18" s="74">
        <v>193</v>
      </c>
      <c r="D18" s="74">
        <v>150.1</v>
      </c>
      <c r="E18" s="74">
        <v>150</v>
      </c>
      <c r="F18" s="318">
        <v>203</v>
      </c>
      <c r="G18" s="86">
        <v>171</v>
      </c>
      <c r="H18" s="74">
        <v>230.249</v>
      </c>
      <c r="I18" s="74">
        <v>163.60900000000001</v>
      </c>
      <c r="J18" s="74">
        <v>179.7</v>
      </c>
      <c r="K18" s="305">
        <v>262.07299999999998</v>
      </c>
      <c r="L18" s="7">
        <f t="shared" si="4"/>
        <v>1017.8571428571428</v>
      </c>
      <c r="M18" s="7">
        <f t="shared" si="5"/>
        <v>1193</v>
      </c>
      <c r="N18" s="7">
        <f t="shared" si="6"/>
        <v>1090</v>
      </c>
      <c r="O18" s="7">
        <f t="shared" si="7"/>
        <v>1198</v>
      </c>
      <c r="P18" s="7">
        <f t="shared" si="8"/>
        <v>1291</v>
      </c>
    </row>
    <row r="19" spans="1:16" ht="20.25" customHeight="1" x14ac:dyDescent="0.2">
      <c r="A19" s="28" t="s">
        <v>17</v>
      </c>
      <c r="B19" s="75">
        <v>1E-3</v>
      </c>
      <c r="C19" s="74"/>
      <c r="D19" s="74">
        <v>1.4E-3</v>
      </c>
      <c r="E19" s="74">
        <v>1E-4</v>
      </c>
      <c r="F19" s="303">
        <v>2E-3</v>
      </c>
      <c r="G19" s="86"/>
      <c r="H19" s="74"/>
      <c r="I19" s="74"/>
      <c r="J19" s="74"/>
      <c r="K19" s="74">
        <v>3.0000000000000001E-3</v>
      </c>
      <c r="L19" s="7">
        <f t="shared" si="4"/>
        <v>0</v>
      </c>
      <c r="M19" s="7" t="e">
        <f t="shared" si="5"/>
        <v>#DIV/0!</v>
      </c>
      <c r="N19" s="7">
        <f t="shared" si="6"/>
        <v>0</v>
      </c>
      <c r="O19" s="7">
        <f t="shared" si="7"/>
        <v>0</v>
      </c>
      <c r="P19" s="7"/>
    </row>
    <row r="20" spans="1:16" ht="20.25" customHeight="1" x14ac:dyDescent="0.2">
      <c r="A20" s="28" t="s">
        <v>6</v>
      </c>
      <c r="B20" s="75">
        <v>6028</v>
      </c>
      <c r="C20" s="74">
        <v>5316</v>
      </c>
      <c r="D20" s="74">
        <v>5520</v>
      </c>
      <c r="E20" s="74">
        <v>6551</v>
      </c>
      <c r="F20" s="318">
        <v>6083</v>
      </c>
      <c r="G20" s="88">
        <v>17939.328000000001</v>
      </c>
      <c r="H20" s="74">
        <v>15910.788</v>
      </c>
      <c r="I20" s="74">
        <v>16521.36</v>
      </c>
      <c r="J20" s="74">
        <v>19607.143</v>
      </c>
      <c r="K20" s="305">
        <v>18182.087</v>
      </c>
      <c r="L20" s="7">
        <f t="shared" si="4"/>
        <v>2976.0000000000005</v>
      </c>
      <c r="M20" s="7">
        <f t="shared" si="5"/>
        <v>2993</v>
      </c>
      <c r="N20" s="7">
        <f t="shared" si="6"/>
        <v>2993.0000000000005</v>
      </c>
      <c r="O20" s="7">
        <f t="shared" si="7"/>
        <v>2993</v>
      </c>
      <c r="P20" s="7">
        <f t="shared" si="8"/>
        <v>2989</v>
      </c>
    </row>
    <row r="21" spans="1:16" ht="20.25" customHeight="1" x14ac:dyDescent="0.2">
      <c r="A21" s="211" t="s">
        <v>7</v>
      </c>
      <c r="B21" s="75">
        <v>1272.0999999999999</v>
      </c>
      <c r="C21" s="74">
        <v>1024</v>
      </c>
      <c r="D21" s="74">
        <v>834.4</v>
      </c>
      <c r="E21" s="74">
        <v>1056.97</v>
      </c>
      <c r="F21" s="318">
        <v>1126.2</v>
      </c>
      <c r="G21" s="86">
        <v>1875.0753999999999</v>
      </c>
      <c r="H21" s="74">
        <v>1696.768</v>
      </c>
      <c r="I21" s="74">
        <v>1249.1802399999999</v>
      </c>
      <c r="J21" s="74">
        <v>1793.6780900000001</v>
      </c>
      <c r="K21" s="305">
        <v>2071.0817999999999</v>
      </c>
      <c r="L21" s="7">
        <f t="shared" si="4"/>
        <v>1474</v>
      </c>
      <c r="M21" s="7">
        <f t="shared" si="5"/>
        <v>1657</v>
      </c>
      <c r="N21" s="7">
        <f t="shared" si="6"/>
        <v>1497.1</v>
      </c>
      <c r="O21" s="7">
        <f t="shared" si="7"/>
        <v>1697</v>
      </c>
      <c r="P21" s="7">
        <f t="shared" si="8"/>
        <v>1839</v>
      </c>
    </row>
    <row r="22" spans="1:16" ht="20.25" customHeight="1" x14ac:dyDescent="0.2">
      <c r="A22" s="211" t="s">
        <v>29</v>
      </c>
      <c r="B22" s="74">
        <v>2.25</v>
      </c>
      <c r="C22" s="74">
        <v>2.25</v>
      </c>
      <c r="D22" s="74">
        <v>2.29</v>
      </c>
      <c r="E22" s="74">
        <v>2.2999999999999998</v>
      </c>
      <c r="F22" s="75">
        <v>2.2999999999999998</v>
      </c>
      <c r="G22" s="74">
        <v>5.62</v>
      </c>
      <c r="H22" s="74">
        <v>5.6204999999999998</v>
      </c>
      <c r="I22" s="74">
        <v>5.7295800000000003</v>
      </c>
      <c r="J22" s="74">
        <v>5.754599999999999</v>
      </c>
      <c r="K22" s="305">
        <v>5.8304999999999998</v>
      </c>
      <c r="L22" s="7">
        <f t="shared" si="4"/>
        <v>2497.7777777777778</v>
      </c>
      <c r="M22" s="7">
        <f t="shared" si="5"/>
        <v>2498</v>
      </c>
      <c r="N22" s="7">
        <f t="shared" si="6"/>
        <v>2502</v>
      </c>
      <c r="O22" s="7">
        <f t="shared" si="7"/>
        <v>2502</v>
      </c>
      <c r="P22" s="7">
        <f t="shared" si="8"/>
        <v>2535</v>
      </c>
    </row>
    <row r="23" spans="1:16" ht="20.25" customHeight="1" x14ac:dyDescent="0.2">
      <c r="A23" s="211" t="s">
        <v>26</v>
      </c>
      <c r="B23" s="74">
        <v>0.46</v>
      </c>
      <c r="C23" s="74">
        <v>0.46</v>
      </c>
      <c r="D23" s="74">
        <v>0.46200000000000002</v>
      </c>
      <c r="E23" s="74">
        <v>0.46400000000000002</v>
      </c>
      <c r="F23" s="305">
        <v>0.46400000000000002</v>
      </c>
      <c r="G23" s="74">
        <v>0.88</v>
      </c>
      <c r="H23" s="74">
        <v>0.88688</v>
      </c>
      <c r="I23" s="74">
        <v>0.89212200000000008</v>
      </c>
      <c r="J23" s="74">
        <v>0.89784000000000008</v>
      </c>
      <c r="K23" s="305">
        <v>0.89784000000000008</v>
      </c>
      <c r="L23" s="7">
        <f t="shared" si="4"/>
        <v>1913.0434782608695</v>
      </c>
      <c r="M23" s="7">
        <f t="shared" si="5"/>
        <v>1928</v>
      </c>
      <c r="N23" s="7">
        <f t="shared" si="6"/>
        <v>1931</v>
      </c>
      <c r="O23" s="7">
        <f t="shared" si="7"/>
        <v>1935</v>
      </c>
      <c r="P23" s="7">
        <f t="shared" si="8"/>
        <v>1935</v>
      </c>
    </row>
    <row r="24" spans="1:16" ht="20.25" customHeight="1" x14ac:dyDescent="0.2">
      <c r="A24" s="211" t="s">
        <v>20</v>
      </c>
      <c r="B24" s="74">
        <v>3.38</v>
      </c>
      <c r="C24" s="74">
        <v>3.41</v>
      </c>
      <c r="D24" s="74">
        <v>3.42</v>
      </c>
      <c r="E24" s="74">
        <v>3.43</v>
      </c>
      <c r="F24" s="75">
        <v>3.43</v>
      </c>
      <c r="G24" s="74">
        <v>6.22</v>
      </c>
      <c r="H24" s="74">
        <v>6.2607600000000003</v>
      </c>
      <c r="I24" s="74">
        <v>6.2585999999999995</v>
      </c>
      <c r="J24" s="74">
        <v>6.2803300000000002</v>
      </c>
      <c r="K24" s="305">
        <v>6.2906199999999997</v>
      </c>
      <c r="L24" s="7">
        <f t="shared" si="4"/>
        <v>1840.2366863905327</v>
      </c>
      <c r="M24" s="7">
        <f t="shared" si="5"/>
        <v>1836</v>
      </c>
      <c r="N24" s="7">
        <f t="shared" si="6"/>
        <v>1829.9999999999998</v>
      </c>
      <c r="O24" s="7">
        <f t="shared" si="7"/>
        <v>1831</v>
      </c>
      <c r="P24" s="7">
        <f t="shared" si="8"/>
        <v>1833.9999999999998</v>
      </c>
    </row>
    <row r="25" spans="1:16" ht="20.25" customHeight="1" x14ac:dyDescent="0.2">
      <c r="A25" s="28" t="s">
        <v>193</v>
      </c>
      <c r="B25" s="75">
        <v>0.06</v>
      </c>
      <c r="C25" s="74">
        <v>7.0000000000000007E-2</v>
      </c>
      <c r="D25" s="74">
        <v>0.15</v>
      </c>
      <c r="E25" s="74">
        <v>0.12</v>
      </c>
      <c r="F25" s="318">
        <v>0.18</v>
      </c>
      <c r="G25" s="86">
        <v>0.08</v>
      </c>
      <c r="H25" s="74">
        <v>0.15141000000000002</v>
      </c>
      <c r="I25" s="74">
        <v>0.27224999999999999</v>
      </c>
      <c r="J25" s="74">
        <v>0.16679999999999998</v>
      </c>
      <c r="K25" s="305">
        <v>0.29519999999999996</v>
      </c>
      <c r="L25" s="7">
        <f t="shared" si="4"/>
        <v>1333.3333333333335</v>
      </c>
      <c r="M25" s="7">
        <f t="shared" si="5"/>
        <v>2163.0000000000005</v>
      </c>
      <c r="N25" s="7">
        <f t="shared" si="6"/>
        <v>1815</v>
      </c>
      <c r="O25" s="7">
        <f t="shared" si="7"/>
        <v>1390</v>
      </c>
      <c r="P25" s="7">
        <f t="shared" si="8"/>
        <v>1640</v>
      </c>
    </row>
    <row r="26" spans="1:16" ht="20.25" customHeight="1" x14ac:dyDescent="0.2">
      <c r="A26" s="28" t="s">
        <v>21</v>
      </c>
      <c r="B26" s="75">
        <v>3495</v>
      </c>
      <c r="C26" s="74">
        <v>3512</v>
      </c>
      <c r="D26" s="74">
        <v>3520</v>
      </c>
      <c r="E26" s="74">
        <v>3521</v>
      </c>
      <c r="F26" s="318">
        <v>3530.4</v>
      </c>
      <c r="G26" s="86">
        <v>16440.48</v>
      </c>
      <c r="H26" s="74">
        <v>17830.423999999999</v>
      </c>
      <c r="I26" s="74">
        <v>18261.759999999998</v>
      </c>
      <c r="J26" s="74">
        <v>17615.562999999998</v>
      </c>
      <c r="K26" s="305">
        <v>17185.9872</v>
      </c>
      <c r="L26" s="7">
        <f t="shared" si="4"/>
        <v>4704</v>
      </c>
      <c r="M26" s="7">
        <f t="shared" si="5"/>
        <v>5077</v>
      </c>
      <c r="N26" s="7">
        <f t="shared" si="6"/>
        <v>5188</v>
      </c>
      <c r="O26" s="7">
        <f t="shared" si="7"/>
        <v>5002.9999999999991</v>
      </c>
      <c r="P26" s="7">
        <f t="shared" si="8"/>
        <v>4867.9999999999991</v>
      </c>
    </row>
    <row r="27" spans="1:16" ht="20.25" customHeight="1" x14ac:dyDescent="0.2">
      <c r="A27" s="28" t="s">
        <v>22</v>
      </c>
      <c r="B27" s="75">
        <v>2830</v>
      </c>
      <c r="C27" s="74">
        <v>2810</v>
      </c>
      <c r="D27" s="74">
        <v>2880</v>
      </c>
      <c r="E27" s="74">
        <v>3118</v>
      </c>
      <c r="F27" s="318">
        <v>3002</v>
      </c>
      <c r="G27" s="85">
        <v>8985.25</v>
      </c>
      <c r="H27" s="74">
        <v>9368.5400000000009</v>
      </c>
      <c r="I27" s="74">
        <v>10082.879999999999</v>
      </c>
      <c r="J27" s="74">
        <v>10916.118</v>
      </c>
      <c r="K27" s="313">
        <v>11035.352000000001</v>
      </c>
      <c r="L27" s="7">
        <f t="shared" si="4"/>
        <v>3175</v>
      </c>
      <c r="M27" s="7">
        <f t="shared" si="5"/>
        <v>3334.0000000000005</v>
      </c>
      <c r="N27" s="7">
        <f t="shared" si="6"/>
        <v>3501</v>
      </c>
      <c r="O27" s="7">
        <f t="shared" si="7"/>
        <v>3501.0000000000005</v>
      </c>
      <c r="P27" s="7">
        <f t="shared" si="8"/>
        <v>3676</v>
      </c>
    </row>
    <row r="28" spans="1:16" ht="20.25" customHeight="1" x14ac:dyDescent="0.2">
      <c r="A28" s="28" t="s">
        <v>43</v>
      </c>
      <c r="B28" s="74">
        <v>0.32</v>
      </c>
      <c r="C28" s="74">
        <v>0.17199999999999999</v>
      </c>
      <c r="D28" s="74">
        <v>0.16300000000000001</v>
      </c>
      <c r="E28" s="74">
        <v>0.16500000000000001</v>
      </c>
      <c r="F28" s="318">
        <v>0.104</v>
      </c>
      <c r="G28" s="74">
        <v>0.34499999999999997</v>
      </c>
      <c r="H28" s="74">
        <v>0.185588</v>
      </c>
      <c r="I28" s="74">
        <v>0.17587700000000001</v>
      </c>
      <c r="J28" s="74">
        <v>0.17852999999999999</v>
      </c>
      <c r="K28" s="313">
        <v>0.120016</v>
      </c>
      <c r="L28" s="7">
        <f t="shared" si="4"/>
        <v>1078.125</v>
      </c>
      <c r="M28" s="7">
        <f t="shared" si="5"/>
        <v>1079.0000000000002</v>
      </c>
      <c r="N28" s="7">
        <f t="shared" si="6"/>
        <v>1079</v>
      </c>
      <c r="O28" s="7">
        <f t="shared" si="7"/>
        <v>1081.9999999999998</v>
      </c>
      <c r="P28" s="7">
        <f t="shared" si="8"/>
        <v>1154.0000000000002</v>
      </c>
    </row>
    <row r="29" spans="1:16" ht="20.25" hidden="1" customHeight="1" x14ac:dyDescent="0.2">
      <c r="A29" s="28" t="s">
        <v>92</v>
      </c>
      <c r="B29" s="75">
        <v>0</v>
      </c>
      <c r="C29" s="74">
        <v>0</v>
      </c>
      <c r="D29" s="74">
        <v>0</v>
      </c>
      <c r="E29" s="74">
        <v>0</v>
      </c>
      <c r="F29" s="318"/>
      <c r="G29" s="75">
        <v>0</v>
      </c>
      <c r="H29" s="74">
        <v>0</v>
      </c>
      <c r="I29" s="74">
        <v>0</v>
      </c>
      <c r="J29" s="74">
        <v>0</v>
      </c>
      <c r="K29" s="305">
        <v>0</v>
      </c>
      <c r="L29" s="7" t="e">
        <f t="shared" si="4"/>
        <v>#DIV/0!</v>
      </c>
      <c r="M29" s="7" t="e">
        <f t="shared" si="5"/>
        <v>#DIV/0!</v>
      </c>
      <c r="N29" s="7" t="e">
        <f t="shared" si="6"/>
        <v>#DIV/0!</v>
      </c>
      <c r="O29" s="7" t="e">
        <f t="shared" si="7"/>
        <v>#DIV/0!</v>
      </c>
      <c r="P29" s="7" t="e">
        <f t="shared" si="8"/>
        <v>#DIV/0!</v>
      </c>
    </row>
    <row r="30" spans="1:16" ht="20.25" customHeight="1" x14ac:dyDescent="0.2">
      <c r="A30" s="28" t="s">
        <v>109</v>
      </c>
      <c r="B30" s="74">
        <v>5</v>
      </c>
      <c r="C30" s="74">
        <v>4</v>
      </c>
      <c r="D30" s="74">
        <v>5</v>
      </c>
      <c r="E30" s="74">
        <v>5</v>
      </c>
      <c r="F30" s="320">
        <v>6</v>
      </c>
      <c r="G30" s="74">
        <v>7</v>
      </c>
      <c r="H30" s="74">
        <v>5.5519999999999996</v>
      </c>
      <c r="I30" s="74">
        <v>9.3849999999999998</v>
      </c>
      <c r="J30" s="74">
        <v>9.2100000000000009</v>
      </c>
      <c r="K30" s="305">
        <v>15.84</v>
      </c>
      <c r="L30" s="7">
        <f t="shared" si="4"/>
        <v>1400</v>
      </c>
      <c r="M30" s="7">
        <f t="shared" si="5"/>
        <v>1388</v>
      </c>
      <c r="N30" s="7">
        <f t="shared" si="6"/>
        <v>1877</v>
      </c>
      <c r="O30" s="7">
        <f t="shared" si="7"/>
        <v>1842</v>
      </c>
      <c r="P30" s="7">
        <f t="shared" si="8"/>
        <v>2640</v>
      </c>
    </row>
    <row r="31" spans="1:16" ht="20.25" customHeight="1" x14ac:dyDescent="0.2">
      <c r="A31" s="28" t="s">
        <v>53</v>
      </c>
      <c r="B31" s="74">
        <v>0.2</v>
      </c>
      <c r="C31" s="74">
        <v>0.19500000000000001</v>
      </c>
      <c r="D31" s="74">
        <v>0.157</v>
      </c>
      <c r="E31" s="74">
        <v>0.14799999999999999</v>
      </c>
      <c r="F31" s="318">
        <v>2.8000000000000001E-2</v>
      </c>
      <c r="G31" s="74">
        <v>0.46</v>
      </c>
      <c r="H31" s="74">
        <v>0.39604500000000004</v>
      </c>
      <c r="I31" s="74">
        <v>0.33205499999999999</v>
      </c>
      <c r="J31" s="74">
        <v>0.33003999999999994</v>
      </c>
      <c r="K31" s="305">
        <v>5.7987999999999998E-2</v>
      </c>
      <c r="L31" s="7">
        <f t="shared" si="4"/>
        <v>2300</v>
      </c>
      <c r="M31" s="7">
        <f t="shared" si="5"/>
        <v>2031.0000000000002</v>
      </c>
      <c r="N31" s="7">
        <f t="shared" si="6"/>
        <v>2114.9999999999995</v>
      </c>
      <c r="O31" s="7">
        <f t="shared" si="7"/>
        <v>2229.9999999999995</v>
      </c>
      <c r="P31" s="7">
        <f t="shared" si="8"/>
        <v>2070.9999999999995</v>
      </c>
    </row>
    <row r="32" spans="1:16" s="3" customFormat="1" ht="20.25" customHeight="1" x14ac:dyDescent="0.2">
      <c r="A32" s="28" t="s">
        <v>12</v>
      </c>
      <c r="B32" s="75">
        <v>9655</v>
      </c>
      <c r="C32" s="74">
        <v>9753</v>
      </c>
      <c r="D32" s="74">
        <v>9540</v>
      </c>
      <c r="E32" s="74">
        <v>9853</v>
      </c>
      <c r="F32" s="321">
        <v>9852</v>
      </c>
      <c r="G32" s="85">
        <v>30056.014999999999</v>
      </c>
      <c r="H32" s="74">
        <v>31879.14345</v>
      </c>
      <c r="I32" s="74">
        <v>32741.279999999999</v>
      </c>
      <c r="J32" s="74">
        <v>33815.495999999999</v>
      </c>
      <c r="K32" s="313">
        <v>35506.608</v>
      </c>
      <c r="L32" s="7">
        <f t="shared" si="4"/>
        <v>3113</v>
      </c>
      <c r="M32" s="7">
        <f t="shared" si="5"/>
        <v>3268.65</v>
      </c>
      <c r="N32" s="7">
        <f t="shared" si="6"/>
        <v>3432</v>
      </c>
      <c r="O32" s="7">
        <f t="shared" si="7"/>
        <v>3432</v>
      </c>
      <c r="P32" s="7">
        <f t="shared" si="8"/>
        <v>3604</v>
      </c>
    </row>
    <row r="33" spans="1:16" ht="20.25" customHeight="1" x14ac:dyDescent="0.2">
      <c r="A33" s="28" t="s">
        <v>90</v>
      </c>
      <c r="B33" s="75">
        <v>341</v>
      </c>
      <c r="C33" s="74">
        <v>333</v>
      </c>
      <c r="D33" s="74">
        <v>327</v>
      </c>
      <c r="E33" s="74">
        <v>316</v>
      </c>
      <c r="F33" s="318">
        <v>312</v>
      </c>
      <c r="G33" s="85">
        <v>882</v>
      </c>
      <c r="H33" s="74">
        <v>915.41700000000003</v>
      </c>
      <c r="I33" s="74">
        <v>951.57</v>
      </c>
      <c r="J33" s="74">
        <v>904.07600000000002</v>
      </c>
      <c r="K33" s="315">
        <v>955.34400000000005</v>
      </c>
      <c r="L33" s="7">
        <f t="shared" si="4"/>
        <v>2586.5102639296188</v>
      </c>
      <c r="M33" s="7">
        <f t="shared" si="5"/>
        <v>2749</v>
      </c>
      <c r="N33" s="7">
        <f t="shared" si="6"/>
        <v>2910</v>
      </c>
      <c r="O33" s="7">
        <f t="shared" si="7"/>
        <v>2861</v>
      </c>
      <c r="P33" s="7">
        <f t="shared" si="8"/>
        <v>3062.0000000000005</v>
      </c>
    </row>
    <row r="34" spans="1:16" ht="20.25" customHeight="1" x14ac:dyDescent="0.2">
      <c r="A34" s="28" t="s">
        <v>13</v>
      </c>
      <c r="B34" s="75">
        <v>321.62099999999998</v>
      </c>
      <c r="C34" s="74">
        <v>117</v>
      </c>
      <c r="D34" s="74">
        <v>112.14700000000001</v>
      </c>
      <c r="E34" s="74">
        <v>188.30799999999999</v>
      </c>
      <c r="F34" s="318">
        <v>193.27099999999999</v>
      </c>
      <c r="G34" s="88">
        <v>862.71199999999999</v>
      </c>
      <c r="H34" s="74">
        <v>312</v>
      </c>
      <c r="I34" s="74">
        <v>337.78676400000001</v>
      </c>
      <c r="J34" s="74">
        <v>509.93806399999994</v>
      </c>
      <c r="K34" s="305">
        <v>594.69486699999993</v>
      </c>
      <c r="L34" s="7">
        <f t="shared" si="4"/>
        <v>2682.3870331850221</v>
      </c>
      <c r="M34" s="7">
        <f t="shared" si="5"/>
        <v>2666.6666666666665</v>
      </c>
      <c r="N34" s="7">
        <f t="shared" si="6"/>
        <v>3012</v>
      </c>
      <c r="O34" s="7">
        <f t="shared" si="7"/>
        <v>2707.9999999999995</v>
      </c>
      <c r="P34" s="7">
        <f t="shared" si="8"/>
        <v>3077</v>
      </c>
    </row>
    <row r="35" spans="1:16" ht="20.25" customHeight="1" x14ac:dyDescent="0.2">
      <c r="A35" s="28" t="s">
        <v>51</v>
      </c>
      <c r="B35" s="74">
        <v>0.04</v>
      </c>
      <c r="C35" s="74">
        <v>0.04</v>
      </c>
      <c r="D35" s="74">
        <v>0.08</v>
      </c>
      <c r="E35" s="74">
        <v>0.05</v>
      </c>
      <c r="F35" s="318">
        <v>0</v>
      </c>
      <c r="G35" s="74">
        <v>9.1999999999999998E-2</v>
      </c>
      <c r="H35" s="74">
        <v>9.1999999999999998E-2</v>
      </c>
      <c r="I35" s="74">
        <v>0.17111999999999999</v>
      </c>
      <c r="J35" s="74">
        <v>0.12</v>
      </c>
      <c r="K35" s="305">
        <v>0</v>
      </c>
      <c r="L35" s="7">
        <f t="shared" si="4"/>
        <v>2300</v>
      </c>
      <c r="M35" s="7">
        <f t="shared" si="5"/>
        <v>2300</v>
      </c>
      <c r="N35" s="7">
        <f t="shared" si="6"/>
        <v>2139</v>
      </c>
      <c r="O35" s="7">
        <f t="shared" si="7"/>
        <v>2400</v>
      </c>
      <c r="P35" s="7" t="e">
        <f t="shared" si="8"/>
        <v>#DIV/0!</v>
      </c>
    </row>
    <row r="36" spans="1:16" ht="20.25" customHeight="1" x14ac:dyDescent="0.2">
      <c r="A36" s="28" t="s">
        <v>203</v>
      </c>
      <c r="B36" s="74">
        <v>0</v>
      </c>
      <c r="C36" s="74">
        <v>0</v>
      </c>
      <c r="D36" s="74">
        <v>0</v>
      </c>
      <c r="E36" s="74">
        <v>0</v>
      </c>
      <c r="F36" s="75">
        <v>4.484</v>
      </c>
      <c r="G36" s="74">
        <v>0</v>
      </c>
      <c r="H36" s="74">
        <v>0</v>
      </c>
      <c r="I36" s="74">
        <v>0</v>
      </c>
      <c r="J36" s="74">
        <v>0</v>
      </c>
      <c r="K36" s="305">
        <v>7.1743999999999994</v>
      </c>
      <c r="L36" s="7" t="e">
        <f t="shared" ref="L36" si="9">G36/B36*1000</f>
        <v>#DIV/0!</v>
      </c>
      <c r="M36" s="7" t="e">
        <f t="shared" ref="M36" si="10">H36/C36*1000</f>
        <v>#DIV/0!</v>
      </c>
      <c r="N36" s="7" t="e">
        <f t="shared" ref="N36" si="11">I36/D36*1000</f>
        <v>#DIV/0!</v>
      </c>
      <c r="O36" s="7" t="e">
        <f t="shared" ref="O36" si="12">J36/E36*1000</f>
        <v>#DIV/0!</v>
      </c>
      <c r="P36" s="7">
        <f t="shared" si="8"/>
        <v>1599.9999999999998</v>
      </c>
    </row>
    <row r="37" spans="1:16" ht="20.25" customHeight="1" x14ac:dyDescent="0.2">
      <c r="A37" s="28" t="s">
        <v>55</v>
      </c>
      <c r="B37" s="74">
        <v>19.661999999999999</v>
      </c>
      <c r="C37" s="74">
        <v>19.350000000000001</v>
      </c>
      <c r="D37" s="74">
        <v>19.22</v>
      </c>
      <c r="E37" s="74">
        <v>19.2</v>
      </c>
      <c r="F37" s="265">
        <v>19.18</v>
      </c>
      <c r="G37" s="74">
        <v>87.182000000000002</v>
      </c>
      <c r="H37" s="74">
        <v>83.417850000000001</v>
      </c>
      <c r="I37" s="74">
        <v>82.876639999999995</v>
      </c>
      <c r="J37" s="74">
        <v>82.870000000000019</v>
      </c>
      <c r="K37" s="305">
        <v>83.624800000000008</v>
      </c>
      <c r="L37" s="7">
        <f t="shared" si="4"/>
        <v>4434.0351947919853</v>
      </c>
      <c r="M37" s="7">
        <f t="shared" si="5"/>
        <v>4311</v>
      </c>
      <c r="N37" s="7">
        <f t="shared" si="6"/>
        <v>4312</v>
      </c>
      <c r="O37" s="7">
        <f t="shared" si="7"/>
        <v>4316.1458333333348</v>
      </c>
      <c r="P37" s="7">
        <f t="shared" si="8"/>
        <v>4360</v>
      </c>
    </row>
    <row r="38" spans="1:16" ht="20.25" customHeight="1" x14ac:dyDescent="0.2">
      <c r="A38" s="28" t="s">
        <v>111</v>
      </c>
      <c r="B38" s="75">
        <v>5.5E-2</v>
      </c>
      <c r="C38" s="74">
        <v>5.4600000000000003E-2</v>
      </c>
      <c r="D38" s="74">
        <v>5.4600000000000003E-2</v>
      </c>
      <c r="E38" s="74">
        <v>0.54600000000000004</v>
      </c>
      <c r="F38" s="75">
        <v>0.54600000000000004</v>
      </c>
      <c r="G38" s="75">
        <v>0.25850000000000001</v>
      </c>
      <c r="H38" s="74">
        <v>0.2565654</v>
      </c>
      <c r="I38" s="74">
        <v>0.27300000000000002</v>
      </c>
      <c r="J38" s="74">
        <v>2.4569999999999999</v>
      </c>
      <c r="K38" s="305">
        <v>2.4569999999999999</v>
      </c>
      <c r="L38" s="7">
        <f t="shared" si="4"/>
        <v>4700</v>
      </c>
      <c r="M38" s="7">
        <f t="shared" si="5"/>
        <v>4699</v>
      </c>
      <c r="N38" s="7">
        <f t="shared" si="6"/>
        <v>5000</v>
      </c>
      <c r="O38" s="7">
        <f t="shared" si="7"/>
        <v>4499.9999999999991</v>
      </c>
      <c r="P38" s="7">
        <f t="shared" si="8"/>
        <v>4499.9999999999991</v>
      </c>
    </row>
    <row r="39" spans="1:16" s="8" customFormat="1" ht="23.1" customHeight="1" x14ac:dyDescent="0.2">
      <c r="A39" s="244" t="s">
        <v>14</v>
      </c>
      <c r="B39" s="209">
        <f t="shared" ref="B39:K39" si="13">SUM(B7:B38)</f>
        <v>30785.182000000001</v>
      </c>
      <c r="C39" s="209">
        <f t="shared" si="13"/>
        <v>29650.585599999995</v>
      </c>
      <c r="D39" s="209">
        <f t="shared" si="13"/>
        <v>29318.786</v>
      </c>
      <c r="E39" s="209">
        <f t="shared" si="13"/>
        <v>31357.017100000001</v>
      </c>
      <c r="F39" s="209">
        <f t="shared" si="13"/>
        <v>31125.157999999999</v>
      </c>
      <c r="G39" s="209">
        <f t="shared" si="13"/>
        <v>98510.231235000014</v>
      </c>
      <c r="H39" s="209">
        <f t="shared" si="13"/>
        <v>99869.522642399999</v>
      </c>
      <c r="I39" s="209">
        <f t="shared" si="13"/>
        <v>103596.22973300001</v>
      </c>
      <c r="J39" s="209">
        <f t="shared" si="13"/>
        <v>107860.51446200001</v>
      </c>
      <c r="K39" s="316">
        <f t="shared" si="13"/>
        <v>109586.49823999999</v>
      </c>
      <c r="L39" s="317">
        <f t="shared" si="4"/>
        <v>3199.9236267305487</v>
      </c>
      <c r="M39" s="286">
        <f t="shared" si="5"/>
        <v>3368.2141725524643</v>
      </c>
      <c r="N39" s="286">
        <f t="shared" si="6"/>
        <v>3533.4419963023033</v>
      </c>
      <c r="O39" s="286">
        <f t="shared" si="7"/>
        <v>3439.7568530840899</v>
      </c>
      <c r="P39" s="286">
        <f t="shared" si="8"/>
        <v>3520.8334762509476</v>
      </c>
    </row>
  </sheetData>
  <mergeCells count="5">
    <mergeCell ref="A4:A5"/>
    <mergeCell ref="B4:F4"/>
    <mergeCell ref="G4:K4"/>
    <mergeCell ref="L4:P4"/>
    <mergeCell ref="A2:P2"/>
  </mergeCells>
  <phoneticPr fontId="0" type="noConversion"/>
  <printOptions horizontalCentered="1" verticalCentered="1"/>
  <pageMargins left="0.511811023622047" right="0.511811023622047" top="0.511811023622047" bottom="0.511811023622047" header="0.511811023622047" footer="0.511811023622047"/>
  <pageSetup paperSize="9" scale="71" orientation="landscape" r:id="rId1"/>
  <headerFooter alignWithMargins="0"/>
  <rowBreaks count="1" manualBreakCount="1">
    <brk id="4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Q53"/>
  <sheetViews>
    <sheetView tabSelected="1" view="pageBreakPreview" zoomScale="60" zoomScaleNormal="75" workbookViewId="0">
      <pane xSplit="2" ySplit="6" topLeftCell="C19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37.140625" style="4" customWidth="1"/>
    <col min="2" max="2" width="18.5703125" style="4" customWidth="1"/>
    <col min="3" max="17" width="13.85546875" style="4" customWidth="1"/>
    <col min="18" max="16384" width="9.140625" style="4"/>
  </cols>
  <sheetData>
    <row r="2" spans="1:17" ht="18" customHeight="1" x14ac:dyDescent="0.2">
      <c r="A2" s="351" t="s">
        <v>167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17" ht="15" customHeight="1" x14ac:dyDescent="0.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7" ht="18" x14ac:dyDescent="0.2">
      <c r="A4" s="363" t="s">
        <v>1</v>
      </c>
      <c r="B4" s="364" t="s">
        <v>0</v>
      </c>
      <c r="C4" s="365" t="s">
        <v>174</v>
      </c>
      <c r="D4" s="366"/>
      <c r="E4" s="366"/>
      <c r="F4" s="366"/>
      <c r="G4" s="367"/>
      <c r="H4" s="365" t="s">
        <v>68</v>
      </c>
      <c r="I4" s="366"/>
      <c r="J4" s="366"/>
      <c r="K4" s="366"/>
      <c r="L4" s="367"/>
      <c r="M4" s="342" t="s">
        <v>89</v>
      </c>
      <c r="N4" s="342"/>
      <c r="O4" s="342"/>
      <c r="P4" s="342"/>
      <c r="Q4" s="342"/>
    </row>
    <row r="5" spans="1:17" ht="32.25" customHeight="1" x14ac:dyDescent="0.2">
      <c r="A5" s="363"/>
      <c r="B5" s="364"/>
      <c r="C5" s="270" t="s">
        <v>112</v>
      </c>
      <c r="D5" s="270" t="s">
        <v>164</v>
      </c>
      <c r="E5" s="270" t="s">
        <v>199</v>
      </c>
      <c r="F5" s="270" t="s">
        <v>200</v>
      </c>
      <c r="G5" s="273" t="s">
        <v>202</v>
      </c>
      <c r="H5" s="270" t="s">
        <v>112</v>
      </c>
      <c r="I5" s="270" t="s">
        <v>164</v>
      </c>
      <c r="J5" s="270" t="s">
        <v>199</v>
      </c>
      <c r="K5" s="270" t="s">
        <v>200</v>
      </c>
      <c r="L5" s="273" t="s">
        <v>202</v>
      </c>
      <c r="M5" s="339" t="s">
        <v>112</v>
      </c>
      <c r="N5" s="339" t="s">
        <v>164</v>
      </c>
      <c r="O5" s="339" t="s">
        <v>199</v>
      </c>
      <c r="P5" s="339" t="s">
        <v>200</v>
      </c>
      <c r="Q5" s="339" t="s">
        <v>202</v>
      </c>
    </row>
    <row r="6" spans="1:17" s="14" customFormat="1" ht="18" x14ac:dyDescent="0.2">
      <c r="A6" s="223">
        <v>1</v>
      </c>
      <c r="B6" s="233">
        <v>2</v>
      </c>
      <c r="C6" s="233">
        <v>3</v>
      </c>
      <c r="D6" s="233">
        <v>4</v>
      </c>
      <c r="E6" s="233">
        <v>5</v>
      </c>
      <c r="F6" s="233">
        <v>6</v>
      </c>
      <c r="G6" s="233">
        <v>7</v>
      </c>
      <c r="H6" s="233">
        <v>8</v>
      </c>
      <c r="I6" s="233">
        <v>9</v>
      </c>
      <c r="J6" s="233">
        <v>10</v>
      </c>
      <c r="K6" s="233">
        <v>11</v>
      </c>
      <c r="L6" s="233">
        <v>12</v>
      </c>
      <c r="M6" s="233">
        <v>13</v>
      </c>
      <c r="N6" s="233">
        <v>14</v>
      </c>
      <c r="O6" s="233">
        <v>15</v>
      </c>
      <c r="P6" s="233">
        <v>16</v>
      </c>
      <c r="Q6" s="233">
        <v>17</v>
      </c>
    </row>
    <row r="7" spans="1:17" ht="24.75" customHeight="1" x14ac:dyDescent="0.2">
      <c r="A7" s="357" t="s">
        <v>2</v>
      </c>
      <c r="B7" s="187" t="s">
        <v>8</v>
      </c>
      <c r="C7" s="96">
        <v>14</v>
      </c>
      <c r="D7" s="76">
        <v>30</v>
      </c>
      <c r="E7" s="76">
        <v>15</v>
      </c>
      <c r="F7" s="76">
        <v>37</v>
      </c>
      <c r="G7" s="302">
        <v>3</v>
      </c>
      <c r="H7" s="105">
        <v>20</v>
      </c>
      <c r="I7" s="76">
        <v>30.54</v>
      </c>
      <c r="J7" s="76">
        <v>1.95</v>
      </c>
      <c r="K7" s="76">
        <v>38.887</v>
      </c>
      <c r="L7" s="96">
        <v>3.996</v>
      </c>
      <c r="M7" s="99">
        <f>H7/C7*1000</f>
        <v>1428.5714285714287</v>
      </c>
      <c r="N7" s="99">
        <f t="shared" ref="N7:Q7" si="0">I7/D7*1000</f>
        <v>1018</v>
      </c>
      <c r="O7" s="99">
        <f t="shared" si="0"/>
        <v>130</v>
      </c>
      <c r="P7" s="99">
        <f t="shared" si="0"/>
        <v>1051</v>
      </c>
      <c r="Q7" s="99">
        <f t="shared" si="0"/>
        <v>1332</v>
      </c>
    </row>
    <row r="8" spans="1:17" ht="24.75" customHeight="1" x14ac:dyDescent="0.2">
      <c r="A8" s="358"/>
      <c r="B8" s="187" t="s">
        <v>9</v>
      </c>
      <c r="C8" s="96">
        <v>83</v>
      </c>
      <c r="D8" s="76">
        <v>110</v>
      </c>
      <c r="E8" s="76">
        <v>141</v>
      </c>
      <c r="F8" s="76">
        <v>118</v>
      </c>
      <c r="G8" s="302">
        <v>117</v>
      </c>
      <c r="H8" s="105">
        <v>178</v>
      </c>
      <c r="I8" s="76">
        <v>269.94</v>
      </c>
      <c r="J8" s="76">
        <v>228.13800000000001</v>
      </c>
      <c r="K8" s="76">
        <v>350.22399999999999</v>
      </c>
      <c r="L8" s="96">
        <v>407.39400000000001</v>
      </c>
      <c r="M8" s="99">
        <f t="shared" ref="M8:M53" si="1">H8/C8*1000</f>
        <v>2144.5783132530119</v>
      </c>
      <c r="N8" s="99">
        <f t="shared" ref="N8:N53" si="2">I8/D8*1000</f>
        <v>2454</v>
      </c>
      <c r="O8" s="99">
        <f t="shared" ref="O8:O53" si="3">J8/E8*1000</f>
        <v>1618</v>
      </c>
      <c r="P8" s="99">
        <f t="shared" ref="P8:P53" si="4">K8/F8*1000</f>
        <v>2968</v>
      </c>
      <c r="Q8" s="99">
        <f t="shared" ref="Q8:Q53" si="5">L8/G8*1000</f>
        <v>3482</v>
      </c>
    </row>
    <row r="9" spans="1:17" s="8" customFormat="1" ht="24.75" customHeight="1" x14ac:dyDescent="0.2">
      <c r="A9" s="359"/>
      <c r="B9" s="228" t="s">
        <v>10</v>
      </c>
      <c r="C9" s="104">
        <f t="shared" ref="C9:H9" si="6">C7+C8</f>
        <v>97</v>
      </c>
      <c r="D9" s="104">
        <f t="shared" si="6"/>
        <v>140</v>
      </c>
      <c r="E9" s="104">
        <f t="shared" si="6"/>
        <v>156</v>
      </c>
      <c r="F9" s="104">
        <f t="shared" si="6"/>
        <v>155</v>
      </c>
      <c r="G9" s="326">
        <f t="shared" si="6"/>
        <v>120</v>
      </c>
      <c r="H9" s="104">
        <f t="shared" si="6"/>
        <v>198</v>
      </c>
      <c r="I9" s="104">
        <f t="shared" ref="I9:L9" si="7">I7+I8</f>
        <v>300.48</v>
      </c>
      <c r="J9" s="104">
        <f t="shared" si="7"/>
        <v>230.08799999999999</v>
      </c>
      <c r="K9" s="104">
        <f t="shared" si="7"/>
        <v>389.11099999999999</v>
      </c>
      <c r="L9" s="326">
        <f t="shared" si="7"/>
        <v>411.39</v>
      </c>
      <c r="M9" s="285">
        <f t="shared" si="1"/>
        <v>2041.2371134020618</v>
      </c>
      <c r="N9" s="285">
        <f t="shared" si="2"/>
        <v>2146.2857142857142</v>
      </c>
      <c r="O9" s="285">
        <f t="shared" si="3"/>
        <v>1474.9230769230767</v>
      </c>
      <c r="P9" s="285">
        <f t="shared" si="4"/>
        <v>2510.3935483870969</v>
      </c>
      <c r="Q9" s="285">
        <f t="shared" si="5"/>
        <v>3428.25</v>
      </c>
    </row>
    <row r="10" spans="1:17" s="8" customFormat="1" ht="24.75" customHeight="1" x14ac:dyDescent="0.2">
      <c r="A10" s="32" t="s">
        <v>67</v>
      </c>
      <c r="B10" s="187" t="s">
        <v>8</v>
      </c>
      <c r="C10" s="100">
        <v>1.796</v>
      </c>
      <c r="D10" s="76">
        <v>1.3580000000000001</v>
      </c>
      <c r="E10" s="76">
        <v>0.71599999999999997</v>
      </c>
      <c r="F10" s="76">
        <v>0.63100000000000001</v>
      </c>
      <c r="G10" s="302">
        <v>1.2250000000000001</v>
      </c>
      <c r="H10" s="76">
        <v>1.9119999999999999</v>
      </c>
      <c r="I10" s="76">
        <v>1.4476280000000001</v>
      </c>
      <c r="J10" s="76">
        <v>0.76325599999999993</v>
      </c>
      <c r="K10" s="76">
        <v>0.67327700000000001</v>
      </c>
      <c r="L10" s="96">
        <v>1.307075</v>
      </c>
      <c r="M10" s="99">
        <f t="shared" si="1"/>
        <v>1064.587973273942</v>
      </c>
      <c r="N10" s="99">
        <f t="shared" si="2"/>
        <v>1066</v>
      </c>
      <c r="O10" s="99">
        <f t="shared" si="3"/>
        <v>1066</v>
      </c>
      <c r="P10" s="99">
        <f t="shared" si="4"/>
        <v>1067</v>
      </c>
      <c r="Q10" s="99">
        <f t="shared" si="5"/>
        <v>1067</v>
      </c>
    </row>
    <row r="11" spans="1:17" s="8" customFormat="1" ht="24.75" customHeight="1" x14ac:dyDescent="0.2">
      <c r="A11" s="32" t="s">
        <v>47</v>
      </c>
      <c r="B11" s="187" t="s">
        <v>8</v>
      </c>
      <c r="C11" s="76">
        <v>4.5</v>
      </c>
      <c r="D11" s="76">
        <v>3.59</v>
      </c>
      <c r="E11" s="76">
        <v>3.47</v>
      </c>
      <c r="F11" s="76">
        <v>2.9</v>
      </c>
      <c r="G11" s="302">
        <v>2.06</v>
      </c>
      <c r="H11" s="76">
        <v>5.4</v>
      </c>
      <c r="I11" s="76">
        <v>5.3239699999999992</v>
      </c>
      <c r="J11" s="76">
        <v>3.4214199999999999</v>
      </c>
      <c r="K11" s="76">
        <v>4.0686999999999998</v>
      </c>
      <c r="L11" s="96">
        <v>2.73156</v>
      </c>
      <c r="M11" s="99">
        <f t="shared" si="1"/>
        <v>1200.0000000000002</v>
      </c>
      <c r="N11" s="99">
        <f t="shared" si="2"/>
        <v>1482.9999999999998</v>
      </c>
      <c r="O11" s="99">
        <f t="shared" si="3"/>
        <v>985.99999999999989</v>
      </c>
      <c r="P11" s="99">
        <f t="shared" si="4"/>
        <v>1403</v>
      </c>
      <c r="Q11" s="99">
        <f t="shared" si="5"/>
        <v>1326</v>
      </c>
    </row>
    <row r="12" spans="1:17" ht="24.75" customHeight="1" x14ac:dyDescent="0.2">
      <c r="A12" s="357" t="s">
        <v>4</v>
      </c>
      <c r="B12" s="187" t="s">
        <v>8</v>
      </c>
      <c r="C12" s="97">
        <v>76</v>
      </c>
      <c r="D12" s="76">
        <v>67</v>
      </c>
      <c r="E12" s="76">
        <v>39.119999999999997</v>
      </c>
      <c r="F12" s="76">
        <v>28.64</v>
      </c>
      <c r="G12" s="302">
        <v>26.46</v>
      </c>
      <c r="H12" s="76">
        <v>117</v>
      </c>
      <c r="I12" s="76">
        <v>93.331000000000003</v>
      </c>
      <c r="J12" s="76">
        <v>52.264319999999998</v>
      </c>
      <c r="K12" s="76">
        <v>43.532800000000002</v>
      </c>
      <c r="L12" s="96">
        <v>39.372480000000003</v>
      </c>
      <c r="M12" s="99">
        <f t="shared" si="1"/>
        <v>1539.4736842105262</v>
      </c>
      <c r="N12" s="99">
        <f t="shared" si="2"/>
        <v>1393</v>
      </c>
      <c r="O12" s="99">
        <f t="shared" si="3"/>
        <v>1336</v>
      </c>
      <c r="P12" s="99">
        <f t="shared" si="4"/>
        <v>1520</v>
      </c>
      <c r="Q12" s="99">
        <f t="shared" si="5"/>
        <v>1488</v>
      </c>
    </row>
    <row r="13" spans="1:17" ht="24.75" customHeight="1" x14ac:dyDescent="0.2">
      <c r="A13" s="358"/>
      <c r="B13" s="187" t="s">
        <v>9</v>
      </c>
      <c r="C13" s="100">
        <v>30</v>
      </c>
      <c r="D13" s="76">
        <v>24</v>
      </c>
      <c r="E13" s="76">
        <v>36.380000000000003</v>
      </c>
      <c r="F13" s="76">
        <v>20.28</v>
      </c>
      <c r="G13" s="302">
        <v>14.61</v>
      </c>
      <c r="H13" s="76">
        <v>33</v>
      </c>
      <c r="I13" s="76">
        <v>31.704000000000001</v>
      </c>
      <c r="J13" s="76">
        <v>44.201700000000002</v>
      </c>
      <c r="K13" s="76">
        <v>23.626200000000001</v>
      </c>
      <c r="L13" s="96">
        <v>18.057959999999998</v>
      </c>
      <c r="M13" s="99">
        <f t="shared" si="1"/>
        <v>1100</v>
      </c>
      <c r="N13" s="99">
        <f t="shared" si="2"/>
        <v>1321</v>
      </c>
      <c r="O13" s="99">
        <f t="shared" si="3"/>
        <v>1215</v>
      </c>
      <c r="P13" s="99">
        <f t="shared" si="4"/>
        <v>1165</v>
      </c>
      <c r="Q13" s="99">
        <f t="shared" si="5"/>
        <v>1236</v>
      </c>
    </row>
    <row r="14" spans="1:17" s="8" customFormat="1" ht="24.75" customHeight="1" x14ac:dyDescent="0.2">
      <c r="A14" s="359"/>
      <c r="B14" s="187" t="s">
        <v>10</v>
      </c>
      <c r="C14" s="104">
        <f t="shared" ref="C14:L14" si="8">C12+C13</f>
        <v>106</v>
      </c>
      <c r="D14" s="104">
        <f t="shared" si="8"/>
        <v>91</v>
      </c>
      <c r="E14" s="104">
        <f t="shared" si="8"/>
        <v>75.5</v>
      </c>
      <c r="F14" s="104">
        <f t="shared" si="8"/>
        <v>48.92</v>
      </c>
      <c r="G14" s="326">
        <f t="shared" si="8"/>
        <v>41.07</v>
      </c>
      <c r="H14" s="104">
        <f t="shared" si="8"/>
        <v>150</v>
      </c>
      <c r="I14" s="104">
        <f t="shared" si="8"/>
        <v>125.035</v>
      </c>
      <c r="J14" s="104">
        <f t="shared" si="8"/>
        <v>96.46602</v>
      </c>
      <c r="K14" s="104">
        <f t="shared" si="8"/>
        <v>67.159000000000006</v>
      </c>
      <c r="L14" s="326">
        <f t="shared" si="8"/>
        <v>57.430440000000004</v>
      </c>
      <c r="M14" s="99">
        <f t="shared" si="1"/>
        <v>1415.0943396226414</v>
      </c>
      <c r="N14" s="99">
        <f t="shared" si="2"/>
        <v>1374.0109890109891</v>
      </c>
      <c r="O14" s="99">
        <f t="shared" si="3"/>
        <v>1277.6956291390729</v>
      </c>
      <c r="P14" s="99">
        <f t="shared" si="4"/>
        <v>1372.8331970564186</v>
      </c>
      <c r="Q14" s="99">
        <f t="shared" si="5"/>
        <v>1398.3550036523011</v>
      </c>
    </row>
    <row r="15" spans="1:17" s="8" customFormat="1" ht="24.75" customHeight="1" x14ac:dyDescent="0.2">
      <c r="A15" s="32" t="s">
        <v>18</v>
      </c>
      <c r="B15" s="187" t="s">
        <v>8</v>
      </c>
      <c r="C15" s="97">
        <v>62</v>
      </c>
      <c r="D15" s="76">
        <v>48</v>
      </c>
      <c r="E15" s="76">
        <v>40.299999999999997</v>
      </c>
      <c r="F15" s="76">
        <v>29.9</v>
      </c>
      <c r="G15" s="302">
        <v>31.28</v>
      </c>
      <c r="H15" s="100">
        <v>33</v>
      </c>
      <c r="I15" s="76">
        <v>24.911999999999999</v>
      </c>
      <c r="J15" s="76">
        <v>21.278399999999998</v>
      </c>
      <c r="K15" s="76">
        <v>15.787199999999999</v>
      </c>
      <c r="L15" s="96">
        <v>16.422000000000001</v>
      </c>
      <c r="M15" s="99">
        <f t="shared" si="1"/>
        <v>532.25806451612902</v>
      </c>
      <c r="N15" s="99">
        <f t="shared" si="2"/>
        <v>519</v>
      </c>
      <c r="O15" s="99">
        <f t="shared" si="3"/>
        <v>528</v>
      </c>
      <c r="P15" s="99">
        <f t="shared" si="4"/>
        <v>528</v>
      </c>
      <c r="Q15" s="99">
        <f t="shared" si="5"/>
        <v>525</v>
      </c>
    </row>
    <row r="16" spans="1:17" s="8" customFormat="1" ht="24.75" customHeight="1" x14ac:dyDescent="0.2">
      <c r="A16" s="304" t="s">
        <v>16</v>
      </c>
      <c r="B16" s="187" t="s">
        <v>8</v>
      </c>
      <c r="C16" s="97">
        <v>0</v>
      </c>
      <c r="D16" s="97">
        <v>0</v>
      </c>
      <c r="E16" s="97">
        <v>0</v>
      </c>
      <c r="F16" s="97">
        <v>0</v>
      </c>
      <c r="G16" s="328">
        <v>2.3E-2</v>
      </c>
      <c r="H16" s="100">
        <v>0</v>
      </c>
      <c r="I16" s="100">
        <v>0</v>
      </c>
      <c r="J16" s="100">
        <v>0</v>
      </c>
      <c r="K16" s="100">
        <v>0</v>
      </c>
      <c r="L16" s="329">
        <v>1.0004999999999998E-2</v>
      </c>
      <c r="M16" s="99" t="e">
        <f t="shared" si="1"/>
        <v>#DIV/0!</v>
      </c>
      <c r="N16" s="99" t="e">
        <f t="shared" ref="N16" si="9">I16/D16*1000</f>
        <v>#DIV/0!</v>
      </c>
      <c r="O16" s="99" t="e">
        <f t="shared" ref="O16" si="10">J16/E16*1000</f>
        <v>#DIV/0!</v>
      </c>
      <c r="P16" s="99" t="e">
        <f t="shared" ref="P16" si="11">K16/F16*1000</f>
        <v>#DIV/0!</v>
      </c>
      <c r="Q16" s="99">
        <f t="shared" si="5"/>
        <v>434.99999999999994</v>
      </c>
    </row>
    <row r="17" spans="1:17" s="8" customFormat="1" ht="24.75" customHeight="1" x14ac:dyDescent="0.2">
      <c r="A17" s="32" t="s">
        <v>19</v>
      </c>
      <c r="B17" s="187" t="s">
        <v>8</v>
      </c>
      <c r="C17" s="76">
        <v>0</v>
      </c>
      <c r="D17" s="76">
        <v>6.3E-2</v>
      </c>
      <c r="E17" s="76">
        <v>0</v>
      </c>
      <c r="F17" s="76">
        <v>0</v>
      </c>
      <c r="G17" s="103"/>
      <c r="H17" s="76">
        <v>0</v>
      </c>
      <c r="I17" s="76">
        <v>0.04</v>
      </c>
      <c r="J17" s="76">
        <v>0</v>
      </c>
      <c r="K17" s="76">
        <v>0</v>
      </c>
      <c r="L17" s="103"/>
      <c r="M17" s="99" t="e">
        <f t="shared" si="1"/>
        <v>#DIV/0!</v>
      </c>
      <c r="N17" s="99">
        <f t="shared" si="2"/>
        <v>634.92063492063494</v>
      </c>
      <c r="O17" s="99" t="e">
        <f t="shared" si="3"/>
        <v>#DIV/0!</v>
      </c>
      <c r="P17" s="99" t="e">
        <f t="shared" si="4"/>
        <v>#DIV/0!</v>
      </c>
      <c r="Q17" s="99" t="e">
        <f t="shared" si="5"/>
        <v>#DIV/0!</v>
      </c>
    </row>
    <row r="18" spans="1:17" s="8" customFormat="1" ht="24.75" customHeight="1" x14ac:dyDescent="0.2">
      <c r="A18" s="32" t="s">
        <v>41</v>
      </c>
      <c r="B18" s="187" t="s">
        <v>8</v>
      </c>
      <c r="C18" s="97">
        <v>3.952</v>
      </c>
      <c r="D18" s="76">
        <v>3.3290000000000002</v>
      </c>
      <c r="E18" s="76">
        <v>2.0459999999999998</v>
      </c>
      <c r="F18" s="76">
        <v>1.796</v>
      </c>
      <c r="G18" s="302">
        <v>1.8740000000000001</v>
      </c>
      <c r="H18" s="76">
        <v>2.7429999999999999</v>
      </c>
      <c r="I18" s="76">
        <v>2.2104560000000002</v>
      </c>
      <c r="J18" s="76">
        <v>1.4015099999999998</v>
      </c>
      <c r="K18" s="76">
        <v>1.3487960000000001</v>
      </c>
      <c r="L18" s="96">
        <v>1.2349660000000002</v>
      </c>
      <c r="M18" s="99">
        <f t="shared" si="1"/>
        <v>694.07894736842104</v>
      </c>
      <c r="N18" s="99">
        <f t="shared" si="2"/>
        <v>664</v>
      </c>
      <c r="O18" s="99">
        <f t="shared" si="3"/>
        <v>684.99999999999989</v>
      </c>
      <c r="P18" s="99">
        <f t="shared" si="4"/>
        <v>751</v>
      </c>
      <c r="Q18" s="99">
        <f t="shared" si="5"/>
        <v>659</v>
      </c>
    </row>
    <row r="19" spans="1:17" ht="24.75" customHeight="1" x14ac:dyDescent="0.2">
      <c r="A19" s="110" t="s">
        <v>5</v>
      </c>
      <c r="B19" s="187" t="s">
        <v>8</v>
      </c>
      <c r="C19" s="97">
        <v>111</v>
      </c>
      <c r="D19" s="76">
        <v>92</v>
      </c>
      <c r="E19" s="76">
        <v>108.3</v>
      </c>
      <c r="F19" s="76">
        <v>127.6</v>
      </c>
      <c r="G19" s="302">
        <v>88</v>
      </c>
      <c r="H19" s="97">
        <v>129</v>
      </c>
      <c r="I19" s="76">
        <v>160.26400000000001</v>
      </c>
      <c r="J19" s="76">
        <v>156.38519999999997</v>
      </c>
      <c r="K19" s="76">
        <v>176.98119999999997</v>
      </c>
      <c r="L19" s="96">
        <v>176.52799999999999</v>
      </c>
      <c r="M19" s="99">
        <f t="shared" si="1"/>
        <v>1162.1621621621621</v>
      </c>
      <c r="N19" s="99">
        <f t="shared" si="2"/>
        <v>1742.0000000000002</v>
      </c>
      <c r="O19" s="99">
        <f t="shared" si="3"/>
        <v>1443.9999999999998</v>
      </c>
      <c r="P19" s="99">
        <f t="shared" si="4"/>
        <v>1386.9999999999998</v>
      </c>
      <c r="Q19" s="99">
        <f t="shared" si="5"/>
        <v>2005.9999999999998</v>
      </c>
    </row>
    <row r="20" spans="1:17" ht="24.75" customHeight="1" x14ac:dyDescent="0.2">
      <c r="A20" s="111"/>
      <c r="B20" s="187" t="s">
        <v>39</v>
      </c>
      <c r="C20" s="100">
        <v>837</v>
      </c>
      <c r="D20" s="76">
        <v>996</v>
      </c>
      <c r="E20" s="76">
        <v>835.05</v>
      </c>
      <c r="F20" s="76">
        <v>699</v>
      </c>
      <c r="G20" s="302">
        <v>662</v>
      </c>
      <c r="H20" s="100">
        <v>717</v>
      </c>
      <c r="I20" s="76">
        <v>980.06399999999996</v>
      </c>
      <c r="J20" s="76">
        <v>735.3</v>
      </c>
      <c r="K20" s="76">
        <v>810.00000000000011</v>
      </c>
      <c r="L20" s="96">
        <v>727</v>
      </c>
      <c r="M20" s="99">
        <f t="shared" si="1"/>
        <v>856.63082437275989</v>
      </c>
      <c r="N20" s="99">
        <f t="shared" si="2"/>
        <v>984</v>
      </c>
      <c r="O20" s="99">
        <f t="shared" si="3"/>
        <v>880.54607508532422</v>
      </c>
      <c r="P20" s="99">
        <f t="shared" si="4"/>
        <v>1158.7982832618027</v>
      </c>
      <c r="Q20" s="99">
        <f t="shared" si="5"/>
        <v>1098.1873111782477</v>
      </c>
    </row>
    <row r="21" spans="1:17" s="8" customFormat="1" ht="24.75" customHeight="1" x14ac:dyDescent="0.2">
      <c r="A21" s="112"/>
      <c r="B21" s="228" t="s">
        <v>10</v>
      </c>
      <c r="C21" s="104">
        <f t="shared" ref="C21:L21" si="12">C19+C20</f>
        <v>948</v>
      </c>
      <c r="D21" s="104">
        <f t="shared" si="12"/>
        <v>1088</v>
      </c>
      <c r="E21" s="104">
        <f t="shared" si="12"/>
        <v>943.34999999999991</v>
      </c>
      <c r="F21" s="104">
        <f t="shared" si="12"/>
        <v>826.6</v>
      </c>
      <c r="G21" s="326">
        <f t="shared" si="12"/>
        <v>750</v>
      </c>
      <c r="H21" s="104">
        <f t="shared" si="12"/>
        <v>846</v>
      </c>
      <c r="I21" s="104">
        <f t="shared" si="12"/>
        <v>1140.328</v>
      </c>
      <c r="J21" s="104">
        <f t="shared" si="12"/>
        <v>891.6851999999999</v>
      </c>
      <c r="K21" s="104">
        <f t="shared" si="12"/>
        <v>986.98120000000006</v>
      </c>
      <c r="L21" s="326">
        <f t="shared" si="12"/>
        <v>903.52800000000002</v>
      </c>
      <c r="M21" s="285">
        <f t="shared" si="1"/>
        <v>892.40506329113919</v>
      </c>
      <c r="N21" s="285">
        <f t="shared" si="2"/>
        <v>1048.0955882352939</v>
      </c>
      <c r="O21" s="285">
        <f t="shared" si="3"/>
        <v>945.23262839879158</v>
      </c>
      <c r="P21" s="285">
        <f t="shared" si="4"/>
        <v>1194.0251633196226</v>
      </c>
      <c r="Q21" s="285">
        <f t="shared" si="5"/>
        <v>1204.704</v>
      </c>
    </row>
    <row r="22" spans="1:17" ht="24.75" customHeight="1" x14ac:dyDescent="0.2">
      <c r="A22" s="357" t="s">
        <v>17</v>
      </c>
      <c r="B22" s="187" t="s">
        <v>8</v>
      </c>
      <c r="C22" s="97">
        <v>0.14000000000000001</v>
      </c>
      <c r="D22" s="76">
        <v>0.17399999999999999</v>
      </c>
      <c r="E22" s="76">
        <v>5.5E-2</v>
      </c>
      <c r="F22" s="76">
        <v>6.5000000000000002E-2</v>
      </c>
      <c r="G22" s="302">
        <v>4.2000000000000003E-2</v>
      </c>
      <c r="H22" s="76">
        <v>0.11</v>
      </c>
      <c r="I22" s="76">
        <v>0.13902599999999998</v>
      </c>
      <c r="J22" s="76">
        <v>4.1305000000000001E-2</v>
      </c>
      <c r="K22" s="76">
        <v>5.1999999999999998E-2</v>
      </c>
      <c r="L22" s="96">
        <v>3.4986000000000003E-2</v>
      </c>
      <c r="M22" s="99">
        <f t="shared" si="1"/>
        <v>785.71428571428567</v>
      </c>
      <c r="N22" s="99">
        <f t="shared" si="2"/>
        <v>798.99999999999989</v>
      </c>
      <c r="O22" s="99">
        <f t="shared" si="3"/>
        <v>751</v>
      </c>
      <c r="P22" s="99">
        <f t="shared" si="4"/>
        <v>799.99999999999989</v>
      </c>
      <c r="Q22" s="99">
        <f t="shared" si="5"/>
        <v>833.00000000000011</v>
      </c>
    </row>
    <row r="23" spans="1:17" ht="24.75" customHeight="1" x14ac:dyDescent="0.2">
      <c r="A23" s="358"/>
      <c r="B23" s="187" t="s">
        <v>9</v>
      </c>
      <c r="C23" s="96">
        <v>0</v>
      </c>
      <c r="D23" s="76">
        <v>0</v>
      </c>
      <c r="E23" s="76">
        <v>0.15000000000000002</v>
      </c>
      <c r="F23" s="76">
        <v>0.22</v>
      </c>
      <c r="G23" s="302">
        <v>0.189</v>
      </c>
      <c r="H23" s="96">
        <v>0</v>
      </c>
      <c r="I23" s="76">
        <v>0</v>
      </c>
      <c r="J23" s="76">
        <v>0.12620000000000001</v>
      </c>
      <c r="K23" s="76">
        <v>0.183</v>
      </c>
      <c r="L23" s="96">
        <v>0.16896600000000001</v>
      </c>
      <c r="M23" s="99" t="e">
        <f t="shared" si="1"/>
        <v>#DIV/0!</v>
      </c>
      <c r="N23" s="99" t="e">
        <f t="shared" si="2"/>
        <v>#DIV/0!</v>
      </c>
      <c r="O23" s="99">
        <f t="shared" si="3"/>
        <v>841.33333333333326</v>
      </c>
      <c r="P23" s="99">
        <f t="shared" si="4"/>
        <v>831.81818181818176</v>
      </c>
      <c r="Q23" s="99">
        <f t="shared" si="5"/>
        <v>894</v>
      </c>
    </row>
    <row r="24" spans="1:17" s="8" customFormat="1" ht="24.75" customHeight="1" x14ac:dyDescent="0.2">
      <c r="A24" s="359"/>
      <c r="B24" s="187" t="s">
        <v>10</v>
      </c>
      <c r="C24" s="100">
        <f t="shared" ref="C24:L24" si="13">C22+C23</f>
        <v>0.14000000000000001</v>
      </c>
      <c r="D24" s="100">
        <f t="shared" si="13"/>
        <v>0.17399999999999999</v>
      </c>
      <c r="E24" s="100">
        <f t="shared" si="13"/>
        <v>0.20500000000000002</v>
      </c>
      <c r="F24" s="100">
        <f t="shared" si="13"/>
        <v>0.28500000000000003</v>
      </c>
      <c r="G24" s="327">
        <f t="shared" si="13"/>
        <v>0.23100000000000001</v>
      </c>
      <c r="H24" s="100">
        <f t="shared" si="13"/>
        <v>0.11</v>
      </c>
      <c r="I24" s="100">
        <f t="shared" si="13"/>
        <v>0.13902599999999998</v>
      </c>
      <c r="J24" s="100">
        <f t="shared" si="13"/>
        <v>0.16750500000000001</v>
      </c>
      <c r="K24" s="100">
        <f t="shared" si="13"/>
        <v>0.23499999999999999</v>
      </c>
      <c r="L24" s="327">
        <f t="shared" si="13"/>
        <v>0.20395200000000002</v>
      </c>
      <c r="M24" s="99">
        <f t="shared" si="1"/>
        <v>785.71428571428567</v>
      </c>
      <c r="N24" s="99">
        <f t="shared" si="2"/>
        <v>798.99999999999989</v>
      </c>
      <c r="O24" s="99">
        <f t="shared" si="3"/>
        <v>817.09756097560978</v>
      </c>
      <c r="P24" s="99">
        <f t="shared" si="4"/>
        <v>824.56140350877183</v>
      </c>
      <c r="Q24" s="99">
        <f t="shared" si="5"/>
        <v>882.90909090909099</v>
      </c>
    </row>
    <row r="25" spans="1:17" ht="24.75" customHeight="1" x14ac:dyDescent="0.2">
      <c r="A25" s="357" t="s">
        <v>6</v>
      </c>
      <c r="B25" s="187" t="s">
        <v>8</v>
      </c>
      <c r="C25" s="97">
        <v>220</v>
      </c>
      <c r="D25" s="76">
        <v>270</v>
      </c>
      <c r="E25" s="76">
        <v>75</v>
      </c>
      <c r="F25" s="76">
        <v>108</v>
      </c>
      <c r="G25" s="302">
        <v>112</v>
      </c>
      <c r="H25" s="76">
        <v>378.62</v>
      </c>
      <c r="I25" s="76">
        <v>570.11850000000004</v>
      </c>
      <c r="J25" s="76">
        <v>164.17500000000001</v>
      </c>
      <c r="K25" s="76">
        <v>165.13200000000001</v>
      </c>
      <c r="L25" s="180">
        <v>217</v>
      </c>
      <c r="M25" s="99">
        <f t="shared" si="1"/>
        <v>1721</v>
      </c>
      <c r="N25" s="99">
        <f t="shared" si="2"/>
        <v>2111.5500000000002</v>
      </c>
      <c r="O25" s="99">
        <f t="shared" si="3"/>
        <v>2189</v>
      </c>
      <c r="P25" s="99">
        <f t="shared" si="4"/>
        <v>1529.0000000000002</v>
      </c>
      <c r="Q25" s="99">
        <f t="shared" si="5"/>
        <v>1937.5</v>
      </c>
    </row>
    <row r="26" spans="1:17" ht="24.75" hidden="1" customHeight="1" x14ac:dyDescent="0.2">
      <c r="A26" s="358"/>
      <c r="B26" s="187" t="s">
        <v>9</v>
      </c>
      <c r="C26" s="96">
        <v>0</v>
      </c>
      <c r="D26" s="76"/>
      <c r="E26" s="76"/>
      <c r="F26" s="76"/>
      <c r="G26" s="96"/>
      <c r="H26" s="96">
        <v>0</v>
      </c>
      <c r="I26" s="76">
        <v>0</v>
      </c>
      <c r="J26" s="76">
        <v>0</v>
      </c>
      <c r="K26" s="76">
        <v>0</v>
      </c>
      <c r="L26" s="96"/>
      <c r="M26" s="99" t="e">
        <f t="shared" si="1"/>
        <v>#DIV/0!</v>
      </c>
      <c r="N26" s="99" t="e">
        <f t="shared" si="2"/>
        <v>#DIV/0!</v>
      </c>
      <c r="O26" s="99" t="e">
        <f t="shared" si="3"/>
        <v>#DIV/0!</v>
      </c>
      <c r="P26" s="99" t="e">
        <f t="shared" si="4"/>
        <v>#DIV/0!</v>
      </c>
      <c r="Q26" s="99" t="e">
        <f t="shared" si="5"/>
        <v>#DIV/0!</v>
      </c>
    </row>
    <row r="27" spans="1:17" s="8" customFormat="1" ht="24.75" customHeight="1" x14ac:dyDescent="0.2">
      <c r="A27" s="359"/>
      <c r="B27" s="228" t="s">
        <v>10</v>
      </c>
      <c r="C27" s="104">
        <f t="shared" ref="C27:L27" si="14">C25+C26</f>
        <v>220</v>
      </c>
      <c r="D27" s="104">
        <f t="shared" si="14"/>
        <v>270</v>
      </c>
      <c r="E27" s="104">
        <f t="shared" si="14"/>
        <v>75</v>
      </c>
      <c r="F27" s="104">
        <f t="shared" si="14"/>
        <v>108</v>
      </c>
      <c r="G27" s="326">
        <f t="shared" si="14"/>
        <v>112</v>
      </c>
      <c r="H27" s="104">
        <f t="shared" si="14"/>
        <v>378.62</v>
      </c>
      <c r="I27" s="104">
        <f t="shared" si="14"/>
        <v>570.11850000000004</v>
      </c>
      <c r="J27" s="104">
        <f t="shared" si="14"/>
        <v>164.17500000000001</v>
      </c>
      <c r="K27" s="104">
        <f t="shared" si="14"/>
        <v>165.13200000000001</v>
      </c>
      <c r="L27" s="326">
        <f t="shared" si="14"/>
        <v>217</v>
      </c>
      <c r="M27" s="285">
        <f t="shared" si="1"/>
        <v>1721</v>
      </c>
      <c r="N27" s="285">
        <f t="shared" si="2"/>
        <v>2111.5500000000002</v>
      </c>
      <c r="O27" s="285">
        <f t="shared" si="3"/>
        <v>2189</v>
      </c>
      <c r="P27" s="285">
        <f t="shared" si="4"/>
        <v>1529.0000000000002</v>
      </c>
      <c r="Q27" s="285">
        <f t="shared" si="5"/>
        <v>1937.5</v>
      </c>
    </row>
    <row r="28" spans="1:17" ht="24.75" customHeight="1" x14ac:dyDescent="0.2">
      <c r="A28" s="357" t="s">
        <v>7</v>
      </c>
      <c r="B28" s="187" t="s">
        <v>8</v>
      </c>
      <c r="C28" s="97">
        <v>603.70000000000005</v>
      </c>
      <c r="D28" s="76">
        <v>565</v>
      </c>
      <c r="E28" s="76">
        <v>530.29999999999995</v>
      </c>
      <c r="F28" s="76">
        <v>308.99</v>
      </c>
      <c r="G28" s="302">
        <v>378.7</v>
      </c>
      <c r="H28" s="97">
        <v>575.20000000000005</v>
      </c>
      <c r="I28" s="76">
        <v>546.91999999999996</v>
      </c>
      <c r="J28" s="76">
        <v>429.64906000000002</v>
      </c>
      <c r="K28" s="76">
        <v>216.29300000000001</v>
      </c>
      <c r="L28" s="96">
        <v>381.35089999999997</v>
      </c>
      <c r="M28" s="99">
        <f t="shared" si="1"/>
        <v>952.7911214179228</v>
      </c>
      <c r="N28" s="99">
        <f t="shared" si="2"/>
        <v>968</v>
      </c>
      <c r="O28" s="99">
        <f t="shared" si="3"/>
        <v>810.20000000000016</v>
      </c>
      <c r="P28" s="99">
        <f t="shared" si="4"/>
        <v>700</v>
      </c>
      <c r="Q28" s="99">
        <f t="shared" si="5"/>
        <v>1006.9999999999999</v>
      </c>
    </row>
    <row r="29" spans="1:17" ht="24.75" customHeight="1" x14ac:dyDescent="0.2">
      <c r="A29" s="358"/>
      <c r="B29" s="187" t="s">
        <v>9</v>
      </c>
      <c r="C29" s="100">
        <v>2447</v>
      </c>
      <c r="D29" s="76">
        <v>1666.3</v>
      </c>
      <c r="E29" s="76">
        <v>1101.3</v>
      </c>
      <c r="F29" s="76">
        <v>1981.59</v>
      </c>
      <c r="G29" s="302">
        <v>1700.2</v>
      </c>
      <c r="H29" s="100">
        <v>1595.1831999999999</v>
      </c>
      <c r="I29" s="76">
        <v>1059.7668000000001</v>
      </c>
      <c r="J29" s="76">
        <v>442.83272999999997</v>
      </c>
      <c r="K29" s="76">
        <v>1591.21677</v>
      </c>
      <c r="L29" s="96">
        <v>1365.2606000000001</v>
      </c>
      <c r="M29" s="99">
        <f t="shared" si="1"/>
        <v>651.89342051491622</v>
      </c>
      <c r="N29" s="99">
        <f t="shared" si="2"/>
        <v>636.00000000000011</v>
      </c>
      <c r="O29" s="99">
        <f t="shared" si="3"/>
        <v>402.1</v>
      </c>
      <c r="P29" s="99">
        <f t="shared" si="4"/>
        <v>803</v>
      </c>
      <c r="Q29" s="99">
        <f t="shared" si="5"/>
        <v>803</v>
      </c>
    </row>
    <row r="30" spans="1:17" s="8" customFormat="1" ht="24.75" customHeight="1" x14ac:dyDescent="0.2">
      <c r="A30" s="359"/>
      <c r="B30" s="228" t="s">
        <v>10</v>
      </c>
      <c r="C30" s="104">
        <f t="shared" ref="C30:L30" si="15">C28+C29</f>
        <v>3050.7</v>
      </c>
      <c r="D30" s="104">
        <f t="shared" si="15"/>
        <v>2231.3000000000002</v>
      </c>
      <c r="E30" s="104">
        <f t="shared" si="15"/>
        <v>1631.6</v>
      </c>
      <c r="F30" s="104">
        <f t="shared" si="15"/>
        <v>2290.58</v>
      </c>
      <c r="G30" s="326">
        <f t="shared" si="15"/>
        <v>2078.9</v>
      </c>
      <c r="H30" s="104">
        <f t="shared" si="15"/>
        <v>2170.3832000000002</v>
      </c>
      <c r="I30" s="104">
        <f t="shared" si="15"/>
        <v>1606.6867999999999</v>
      </c>
      <c r="J30" s="104">
        <f t="shared" si="15"/>
        <v>872.48179000000005</v>
      </c>
      <c r="K30" s="104">
        <f t="shared" si="15"/>
        <v>1807.5097700000001</v>
      </c>
      <c r="L30" s="326">
        <f t="shared" si="15"/>
        <v>1746.6115</v>
      </c>
      <c r="M30" s="285">
        <f t="shared" si="1"/>
        <v>711.43776838102747</v>
      </c>
      <c r="N30" s="285">
        <f t="shared" si="2"/>
        <v>720.06758391968799</v>
      </c>
      <c r="O30" s="285">
        <f t="shared" si="3"/>
        <v>534.74000367737199</v>
      </c>
      <c r="P30" s="285">
        <f t="shared" si="4"/>
        <v>789.10571558295283</v>
      </c>
      <c r="Q30" s="285">
        <f t="shared" si="5"/>
        <v>840.16138342392605</v>
      </c>
    </row>
    <row r="31" spans="1:17" s="8" customFormat="1" ht="24.75" customHeight="1" x14ac:dyDescent="0.2">
      <c r="A31" s="113" t="s">
        <v>20</v>
      </c>
      <c r="B31" s="187" t="s">
        <v>8</v>
      </c>
      <c r="C31" s="97">
        <v>0.26</v>
      </c>
      <c r="D31" s="76">
        <v>0.27</v>
      </c>
      <c r="E31" s="76">
        <v>0.28000000000000003</v>
      </c>
      <c r="F31" s="76">
        <v>0.28000000000000003</v>
      </c>
      <c r="G31" s="96">
        <v>0.28000000000000003</v>
      </c>
      <c r="H31" s="97">
        <v>0.25</v>
      </c>
      <c r="I31" s="76">
        <v>0.26000999999999996</v>
      </c>
      <c r="J31" s="76">
        <v>0.26991999999999999</v>
      </c>
      <c r="K31" s="76">
        <v>0.26991999999999999</v>
      </c>
      <c r="L31" s="96">
        <v>0.26991999999999999</v>
      </c>
      <c r="M31" s="99">
        <f t="shared" si="1"/>
        <v>961.53846153846143</v>
      </c>
      <c r="N31" s="99">
        <f t="shared" si="2"/>
        <v>962.99999999999989</v>
      </c>
      <c r="O31" s="99">
        <f t="shared" si="3"/>
        <v>963.99999999999989</v>
      </c>
      <c r="P31" s="99">
        <f t="shared" si="4"/>
        <v>963.99999999999989</v>
      </c>
      <c r="Q31" s="99">
        <f t="shared" si="5"/>
        <v>963.99999999999989</v>
      </c>
    </row>
    <row r="32" spans="1:17" s="8" customFormat="1" ht="24.75" customHeight="1" x14ac:dyDescent="0.2">
      <c r="A32" s="32" t="s">
        <v>194</v>
      </c>
      <c r="B32" s="187" t="s">
        <v>8</v>
      </c>
      <c r="C32" s="97">
        <v>5.47</v>
      </c>
      <c r="D32" s="76">
        <v>5.62</v>
      </c>
      <c r="E32" s="76">
        <v>7.19</v>
      </c>
      <c r="F32" s="76">
        <v>5.81</v>
      </c>
      <c r="G32" s="302">
        <v>5.5</v>
      </c>
      <c r="H32" s="97">
        <v>3.44</v>
      </c>
      <c r="I32" s="76">
        <v>3.5518400000000003</v>
      </c>
      <c r="J32" s="76">
        <v>4.5584600000000002</v>
      </c>
      <c r="K32" s="76">
        <v>3.6777299999999995</v>
      </c>
      <c r="L32" s="96">
        <v>3.4704999999999999</v>
      </c>
      <c r="M32" s="99">
        <f t="shared" si="1"/>
        <v>628.88482632541127</v>
      </c>
      <c r="N32" s="99">
        <f t="shared" si="2"/>
        <v>632</v>
      </c>
      <c r="O32" s="99">
        <f t="shared" si="3"/>
        <v>634</v>
      </c>
      <c r="P32" s="99">
        <f t="shared" si="4"/>
        <v>633</v>
      </c>
      <c r="Q32" s="99">
        <f t="shared" si="5"/>
        <v>631</v>
      </c>
    </row>
    <row r="33" spans="1:17" s="8" customFormat="1" ht="24.75" hidden="1" customHeight="1" x14ac:dyDescent="0.2">
      <c r="A33" s="32" t="s">
        <v>21</v>
      </c>
      <c r="B33" s="228" t="s">
        <v>8</v>
      </c>
      <c r="C33" s="93"/>
      <c r="D33" s="93"/>
      <c r="E33" s="93"/>
      <c r="F33" s="93"/>
      <c r="G33" s="103"/>
      <c r="H33" s="93"/>
      <c r="I33" s="93"/>
      <c r="J33" s="93"/>
      <c r="K33" s="93"/>
      <c r="L33" s="103"/>
      <c r="M33" s="99" t="e">
        <f t="shared" si="1"/>
        <v>#DIV/0!</v>
      </c>
      <c r="N33" s="99" t="e">
        <f t="shared" si="2"/>
        <v>#DIV/0!</v>
      </c>
      <c r="O33" s="99" t="e">
        <f t="shared" si="3"/>
        <v>#DIV/0!</v>
      </c>
      <c r="P33" s="99" t="e">
        <f t="shared" si="4"/>
        <v>#DIV/0!</v>
      </c>
      <c r="Q33" s="99" t="e">
        <f t="shared" si="5"/>
        <v>#DIV/0!</v>
      </c>
    </row>
    <row r="34" spans="1:17" s="8" customFormat="1" ht="24.75" customHeight="1" x14ac:dyDescent="0.2">
      <c r="A34" s="357" t="s">
        <v>22</v>
      </c>
      <c r="B34" s="228" t="s">
        <v>8</v>
      </c>
      <c r="C34" s="102">
        <v>579.30600000000004</v>
      </c>
      <c r="D34" s="93">
        <v>516.04300000000001</v>
      </c>
      <c r="E34" s="93">
        <v>564.39</v>
      </c>
      <c r="F34" s="93">
        <v>642.84</v>
      </c>
      <c r="G34" s="330">
        <v>559.68600000000004</v>
      </c>
      <c r="H34" s="102">
        <v>349.541</v>
      </c>
      <c r="I34" s="93">
        <v>300.853069</v>
      </c>
      <c r="J34" s="93">
        <v>469.57247999999998</v>
      </c>
      <c r="K34" s="93">
        <v>455.77355999999997</v>
      </c>
      <c r="L34" s="103">
        <v>589.90904399999999</v>
      </c>
      <c r="M34" s="99">
        <f t="shared" si="1"/>
        <v>603.37887057962462</v>
      </c>
      <c r="N34" s="99">
        <f t="shared" si="2"/>
        <v>583</v>
      </c>
      <c r="O34" s="99">
        <f t="shared" si="3"/>
        <v>832</v>
      </c>
      <c r="P34" s="99">
        <f t="shared" si="4"/>
        <v>709</v>
      </c>
      <c r="Q34" s="99">
        <f t="shared" si="5"/>
        <v>1053.9999999999998</v>
      </c>
    </row>
    <row r="35" spans="1:17" s="8" customFormat="1" ht="24.75" hidden="1" customHeight="1" x14ac:dyDescent="0.2">
      <c r="A35" s="358"/>
      <c r="B35" s="187" t="s">
        <v>9</v>
      </c>
      <c r="C35" s="102"/>
      <c r="D35" s="93"/>
      <c r="E35" s="93">
        <v>1.4E-2</v>
      </c>
      <c r="F35" s="93"/>
      <c r="G35" s="330"/>
      <c r="H35" s="102"/>
      <c r="I35" s="93"/>
      <c r="J35" s="93"/>
      <c r="K35" s="93"/>
      <c r="L35" s="103"/>
      <c r="M35" s="99" t="e">
        <f t="shared" ref="M35:M36" si="16">H35/C35*1000</f>
        <v>#DIV/0!</v>
      </c>
      <c r="N35" s="99" t="e">
        <f t="shared" ref="N35:N36" si="17">I35/D35*1000</f>
        <v>#DIV/0!</v>
      </c>
      <c r="O35" s="99">
        <f t="shared" ref="O35:O36" si="18">J35/E35*1000</f>
        <v>0</v>
      </c>
      <c r="P35" s="99" t="e">
        <f t="shared" ref="P35:P36" si="19">K35/F35*1000</f>
        <v>#DIV/0!</v>
      </c>
      <c r="Q35" s="99" t="e">
        <f t="shared" ref="Q35:Q36" si="20">L35/G35*1000</f>
        <v>#DIV/0!</v>
      </c>
    </row>
    <row r="36" spans="1:17" s="8" customFormat="1" ht="24.75" customHeight="1" x14ac:dyDescent="0.2">
      <c r="A36" s="359"/>
      <c r="B36" s="337" t="s">
        <v>10</v>
      </c>
      <c r="C36" s="102">
        <f>C34+C35</f>
        <v>579.30600000000004</v>
      </c>
      <c r="D36" s="102">
        <f t="shared" ref="D36:L36" si="21">D34+D35</f>
        <v>516.04300000000001</v>
      </c>
      <c r="E36" s="102">
        <f t="shared" si="21"/>
        <v>564.404</v>
      </c>
      <c r="F36" s="102">
        <f t="shared" si="21"/>
        <v>642.84</v>
      </c>
      <c r="G36" s="102">
        <f t="shared" si="21"/>
        <v>559.68600000000004</v>
      </c>
      <c r="H36" s="102">
        <f t="shared" si="21"/>
        <v>349.541</v>
      </c>
      <c r="I36" s="102">
        <f t="shared" si="21"/>
        <v>300.853069</v>
      </c>
      <c r="J36" s="102">
        <f t="shared" si="21"/>
        <v>469.57247999999998</v>
      </c>
      <c r="K36" s="102">
        <f t="shared" si="21"/>
        <v>455.77355999999997</v>
      </c>
      <c r="L36" s="102">
        <f t="shared" si="21"/>
        <v>589.90904399999999</v>
      </c>
      <c r="M36" s="285">
        <f t="shared" si="16"/>
        <v>603.37887057962462</v>
      </c>
      <c r="N36" s="285">
        <f t="shared" si="17"/>
        <v>583</v>
      </c>
      <c r="O36" s="285">
        <f t="shared" si="18"/>
        <v>831.97936230076334</v>
      </c>
      <c r="P36" s="285">
        <f t="shared" si="19"/>
        <v>709</v>
      </c>
      <c r="Q36" s="285">
        <f t="shared" si="20"/>
        <v>1053.9999999999998</v>
      </c>
    </row>
    <row r="37" spans="1:17" ht="24.75" customHeight="1" x14ac:dyDescent="0.2">
      <c r="A37" s="357" t="s">
        <v>60</v>
      </c>
      <c r="B37" s="187" t="s">
        <v>8</v>
      </c>
      <c r="C37" s="97">
        <v>128.35</v>
      </c>
      <c r="D37" s="76">
        <v>241.36</v>
      </c>
      <c r="E37" s="76">
        <v>182.55</v>
      </c>
      <c r="F37" s="76">
        <v>231.84</v>
      </c>
      <c r="G37" s="302">
        <v>211.8</v>
      </c>
      <c r="H37" s="97">
        <v>106.51</v>
      </c>
      <c r="I37" s="76">
        <v>274.90904000000006</v>
      </c>
      <c r="J37" s="76">
        <v>209.74995000000001</v>
      </c>
      <c r="K37" s="76">
        <v>276.81695999999999</v>
      </c>
      <c r="L37" s="96">
        <v>240.18120000000002</v>
      </c>
      <c r="M37" s="99">
        <f t="shared" si="1"/>
        <v>829.84028048305424</v>
      </c>
      <c r="N37" s="99">
        <f t="shared" si="2"/>
        <v>1139.0000000000002</v>
      </c>
      <c r="O37" s="99">
        <f t="shared" si="3"/>
        <v>1149</v>
      </c>
      <c r="P37" s="99">
        <f t="shared" si="4"/>
        <v>1194</v>
      </c>
      <c r="Q37" s="99">
        <f t="shared" si="5"/>
        <v>1134.0000000000002</v>
      </c>
    </row>
    <row r="38" spans="1:17" ht="24.75" customHeight="1" x14ac:dyDescent="0.2">
      <c r="A38" s="358"/>
      <c r="B38" s="187" t="s">
        <v>9</v>
      </c>
      <c r="C38" s="100">
        <v>140.04</v>
      </c>
      <c r="D38" s="76">
        <v>144.28</v>
      </c>
      <c r="E38" s="76">
        <v>203.3</v>
      </c>
      <c r="F38" s="76">
        <v>218.16</v>
      </c>
      <c r="G38" s="302">
        <v>193.62</v>
      </c>
      <c r="H38" s="100">
        <v>47.36</v>
      </c>
      <c r="I38" s="76">
        <v>155.67812000000001</v>
      </c>
      <c r="J38" s="76">
        <v>254.73490000000001</v>
      </c>
      <c r="K38" s="76">
        <v>243.2484</v>
      </c>
      <c r="L38" s="96">
        <v>187.03692000000001</v>
      </c>
      <c r="M38" s="99">
        <f t="shared" si="1"/>
        <v>338.18908883176238</v>
      </c>
      <c r="N38" s="99">
        <f t="shared" si="2"/>
        <v>1079</v>
      </c>
      <c r="O38" s="99">
        <f t="shared" si="3"/>
        <v>1253</v>
      </c>
      <c r="P38" s="99">
        <f t="shared" si="4"/>
        <v>1115</v>
      </c>
      <c r="Q38" s="99">
        <f t="shared" si="5"/>
        <v>966</v>
      </c>
    </row>
    <row r="39" spans="1:17" s="8" customFormat="1" ht="24.75" customHeight="1" x14ac:dyDescent="0.2">
      <c r="A39" s="359"/>
      <c r="B39" s="228" t="s">
        <v>10</v>
      </c>
      <c r="C39" s="104">
        <f t="shared" ref="C39:L39" si="22">C37+C38</f>
        <v>268.39</v>
      </c>
      <c r="D39" s="104">
        <f t="shared" si="22"/>
        <v>385.64</v>
      </c>
      <c r="E39" s="104">
        <f t="shared" si="22"/>
        <v>385.85</v>
      </c>
      <c r="F39" s="104">
        <f t="shared" si="22"/>
        <v>450</v>
      </c>
      <c r="G39" s="326">
        <f t="shared" si="22"/>
        <v>405.42</v>
      </c>
      <c r="H39" s="104">
        <f t="shared" si="22"/>
        <v>153.87</v>
      </c>
      <c r="I39" s="104">
        <f t="shared" si="22"/>
        <v>430.58716000000004</v>
      </c>
      <c r="J39" s="104">
        <f t="shared" si="22"/>
        <v>464.48485000000005</v>
      </c>
      <c r="K39" s="104">
        <f t="shared" si="22"/>
        <v>520.06536000000006</v>
      </c>
      <c r="L39" s="326">
        <f t="shared" si="22"/>
        <v>427.21812</v>
      </c>
      <c r="M39" s="285">
        <f t="shared" si="1"/>
        <v>573.30750027944407</v>
      </c>
      <c r="N39" s="285">
        <f t="shared" si="2"/>
        <v>1116.5521211492587</v>
      </c>
      <c r="O39" s="285">
        <f t="shared" si="3"/>
        <v>1203.7964234806273</v>
      </c>
      <c r="P39" s="285">
        <f t="shared" si="4"/>
        <v>1155.7008000000003</v>
      </c>
      <c r="Q39" s="285">
        <f t="shared" si="5"/>
        <v>1053.7667603966256</v>
      </c>
    </row>
    <row r="40" spans="1:17" ht="24.75" customHeight="1" x14ac:dyDescent="0.2">
      <c r="A40" s="357" t="s">
        <v>109</v>
      </c>
      <c r="B40" s="187" t="s">
        <v>8</v>
      </c>
      <c r="C40" s="97">
        <v>62</v>
      </c>
      <c r="D40" s="76">
        <v>43</v>
      </c>
      <c r="E40" s="76">
        <v>35</v>
      </c>
      <c r="F40" s="76">
        <v>57</v>
      </c>
      <c r="G40" s="302">
        <v>43</v>
      </c>
      <c r="H40" s="97">
        <v>55</v>
      </c>
      <c r="I40" s="76">
        <v>40.591999999999999</v>
      </c>
      <c r="J40" s="76">
        <v>32.585000000000001</v>
      </c>
      <c r="K40" s="76">
        <v>67.488</v>
      </c>
      <c r="L40" s="96">
        <v>34.872999999999998</v>
      </c>
      <c r="M40" s="99">
        <f t="shared" si="1"/>
        <v>887.09677419354841</v>
      </c>
      <c r="N40" s="99">
        <f t="shared" si="2"/>
        <v>944</v>
      </c>
      <c r="O40" s="99">
        <f t="shared" si="3"/>
        <v>931</v>
      </c>
      <c r="P40" s="99">
        <f t="shared" si="4"/>
        <v>1184</v>
      </c>
      <c r="Q40" s="99">
        <f t="shared" si="5"/>
        <v>811</v>
      </c>
    </row>
    <row r="41" spans="1:17" ht="24.75" customHeight="1" x14ac:dyDescent="0.2">
      <c r="A41" s="358"/>
      <c r="B41" s="187" t="s">
        <v>9</v>
      </c>
      <c r="C41" s="100">
        <v>28</v>
      </c>
      <c r="D41" s="76">
        <v>24</v>
      </c>
      <c r="E41" s="76">
        <v>21</v>
      </c>
      <c r="F41" s="76">
        <v>31</v>
      </c>
      <c r="G41" s="302">
        <v>48</v>
      </c>
      <c r="H41" s="100">
        <v>33</v>
      </c>
      <c r="I41" s="76">
        <v>32.423999999999999</v>
      </c>
      <c r="J41" s="76">
        <v>34.713000000000001</v>
      </c>
      <c r="K41" s="76">
        <v>56.3673</v>
      </c>
      <c r="L41" s="96">
        <v>120.816</v>
      </c>
      <c r="M41" s="99">
        <f t="shared" si="1"/>
        <v>1178.5714285714287</v>
      </c>
      <c r="N41" s="99">
        <f t="shared" si="2"/>
        <v>1351</v>
      </c>
      <c r="O41" s="99">
        <f t="shared" si="3"/>
        <v>1653</v>
      </c>
      <c r="P41" s="99">
        <f t="shared" si="4"/>
        <v>1818.3</v>
      </c>
      <c r="Q41" s="99">
        <f t="shared" si="5"/>
        <v>2517</v>
      </c>
    </row>
    <row r="42" spans="1:17" s="8" customFormat="1" ht="24.75" customHeight="1" x14ac:dyDescent="0.2">
      <c r="A42" s="359"/>
      <c r="B42" s="187" t="s">
        <v>10</v>
      </c>
      <c r="C42" s="100">
        <f t="shared" ref="C42:L42" si="23">C40+C41</f>
        <v>90</v>
      </c>
      <c r="D42" s="100">
        <f t="shared" si="23"/>
        <v>67</v>
      </c>
      <c r="E42" s="100">
        <f t="shared" si="23"/>
        <v>56</v>
      </c>
      <c r="F42" s="100">
        <f t="shared" si="23"/>
        <v>88</v>
      </c>
      <c r="G42" s="327">
        <f t="shared" si="23"/>
        <v>91</v>
      </c>
      <c r="H42" s="100">
        <f t="shared" si="23"/>
        <v>88</v>
      </c>
      <c r="I42" s="100">
        <f t="shared" si="23"/>
        <v>73.015999999999991</v>
      </c>
      <c r="J42" s="100">
        <f t="shared" si="23"/>
        <v>67.298000000000002</v>
      </c>
      <c r="K42" s="100">
        <f t="shared" si="23"/>
        <v>123.8553</v>
      </c>
      <c r="L42" s="327">
        <f t="shared" si="23"/>
        <v>155.68899999999999</v>
      </c>
      <c r="M42" s="99">
        <f t="shared" si="1"/>
        <v>977.77777777777771</v>
      </c>
      <c r="N42" s="99">
        <f t="shared" si="2"/>
        <v>1089.7910447761192</v>
      </c>
      <c r="O42" s="99">
        <f t="shared" si="3"/>
        <v>1201.75</v>
      </c>
      <c r="P42" s="99">
        <f t="shared" si="4"/>
        <v>1407.4465909090909</v>
      </c>
      <c r="Q42" s="99">
        <f t="shared" si="5"/>
        <v>1710.8681318681317</v>
      </c>
    </row>
    <row r="43" spans="1:17" s="8" customFormat="1" ht="24.75" customHeight="1" x14ac:dyDescent="0.2">
      <c r="A43" s="360" t="s">
        <v>85</v>
      </c>
      <c r="B43" s="187" t="s">
        <v>8</v>
      </c>
      <c r="C43" s="100">
        <v>0.68300000000000005</v>
      </c>
      <c r="D43" s="76">
        <v>0.85699999999999998</v>
      </c>
      <c r="E43" s="76">
        <v>0.56299999999999994</v>
      </c>
      <c r="F43" s="76">
        <v>0.54500000000000004</v>
      </c>
      <c r="G43" s="302">
        <v>0.189</v>
      </c>
      <c r="H43" s="100">
        <v>0.54600000000000004</v>
      </c>
      <c r="I43" s="76">
        <v>0.70188300000000003</v>
      </c>
      <c r="J43" s="76">
        <v>0.44983699999999993</v>
      </c>
      <c r="K43" s="76">
        <v>0.45017000000000001</v>
      </c>
      <c r="L43" s="96">
        <v>0.161028</v>
      </c>
      <c r="M43" s="99">
        <f t="shared" si="1"/>
        <v>799.41434846266463</v>
      </c>
      <c r="N43" s="99">
        <f t="shared" si="2"/>
        <v>819.00000000000011</v>
      </c>
      <c r="O43" s="99">
        <f t="shared" si="3"/>
        <v>798.99999999999989</v>
      </c>
      <c r="P43" s="99">
        <f t="shared" si="4"/>
        <v>826</v>
      </c>
      <c r="Q43" s="99">
        <f t="shared" si="5"/>
        <v>852</v>
      </c>
    </row>
    <row r="44" spans="1:17" s="8" customFormat="1" ht="24.75" customHeight="1" x14ac:dyDescent="0.2">
      <c r="A44" s="361"/>
      <c r="B44" s="187" t="s">
        <v>9</v>
      </c>
      <c r="C44" s="100">
        <v>0</v>
      </c>
      <c r="D44" s="76">
        <v>0</v>
      </c>
      <c r="E44" s="76">
        <v>0.39700000000000002</v>
      </c>
      <c r="F44" s="76">
        <v>0.33500000000000002</v>
      </c>
      <c r="G44" s="103"/>
      <c r="H44" s="100">
        <v>0</v>
      </c>
      <c r="I44" s="76">
        <v>0</v>
      </c>
      <c r="J44" s="76">
        <v>0.31799700000000003</v>
      </c>
      <c r="K44" s="76">
        <v>0.26900499999999999</v>
      </c>
      <c r="L44" s="103"/>
      <c r="M44" s="99" t="e">
        <f t="shared" si="1"/>
        <v>#DIV/0!</v>
      </c>
      <c r="N44" s="99" t="e">
        <f t="shared" si="2"/>
        <v>#DIV/0!</v>
      </c>
      <c r="O44" s="99">
        <f t="shared" si="3"/>
        <v>801</v>
      </c>
      <c r="P44" s="99">
        <f t="shared" si="4"/>
        <v>802.99999999999989</v>
      </c>
      <c r="Q44" s="99" t="e">
        <f t="shared" si="5"/>
        <v>#DIV/0!</v>
      </c>
    </row>
    <row r="45" spans="1:17" s="8" customFormat="1" ht="24.75" customHeight="1" x14ac:dyDescent="0.2">
      <c r="A45" s="362"/>
      <c r="B45" s="187" t="s">
        <v>10</v>
      </c>
      <c r="C45" s="96">
        <f t="shared" ref="C45:L45" si="24">C43+C44</f>
        <v>0.68300000000000005</v>
      </c>
      <c r="D45" s="96">
        <f t="shared" si="24"/>
        <v>0.85699999999999998</v>
      </c>
      <c r="E45" s="96">
        <f t="shared" si="24"/>
        <v>0.96</v>
      </c>
      <c r="F45" s="96">
        <f t="shared" si="24"/>
        <v>0.88000000000000012</v>
      </c>
      <c r="G45" s="96">
        <f t="shared" si="24"/>
        <v>0.189</v>
      </c>
      <c r="H45" s="96">
        <f t="shared" si="24"/>
        <v>0.54600000000000004</v>
      </c>
      <c r="I45" s="96">
        <f t="shared" si="24"/>
        <v>0.70188300000000003</v>
      </c>
      <c r="J45" s="96">
        <f t="shared" si="24"/>
        <v>0.76783399999999991</v>
      </c>
      <c r="K45" s="96">
        <f t="shared" si="24"/>
        <v>0.71917500000000001</v>
      </c>
      <c r="L45" s="96">
        <f t="shared" si="24"/>
        <v>0.161028</v>
      </c>
      <c r="M45" s="99">
        <f t="shared" si="1"/>
        <v>799.41434846266463</v>
      </c>
      <c r="N45" s="99">
        <f t="shared" si="2"/>
        <v>819.00000000000011</v>
      </c>
      <c r="O45" s="99">
        <f t="shared" si="3"/>
        <v>799.82708333333335</v>
      </c>
      <c r="P45" s="99">
        <f t="shared" si="4"/>
        <v>817.24431818181813</v>
      </c>
      <c r="Q45" s="99">
        <f t="shared" si="5"/>
        <v>852</v>
      </c>
    </row>
    <row r="46" spans="1:17" s="8" customFormat="1" ht="24.75" customHeight="1" x14ac:dyDescent="0.2">
      <c r="A46" s="32" t="s">
        <v>12</v>
      </c>
      <c r="B46" s="187" t="s">
        <v>8</v>
      </c>
      <c r="C46" s="76">
        <v>183</v>
      </c>
      <c r="D46" s="76">
        <v>169</v>
      </c>
      <c r="E46" s="76">
        <v>147</v>
      </c>
      <c r="F46" s="76">
        <v>168</v>
      </c>
      <c r="G46" s="302">
        <v>174</v>
      </c>
      <c r="H46" s="76">
        <v>183</v>
      </c>
      <c r="I46" s="76">
        <v>214.63</v>
      </c>
      <c r="J46" s="76">
        <v>183.309</v>
      </c>
      <c r="K46" s="76">
        <v>226.63200000000001</v>
      </c>
      <c r="L46" s="96">
        <v>274.572</v>
      </c>
      <c r="M46" s="99">
        <f t="shared" si="1"/>
        <v>1000</v>
      </c>
      <c r="N46" s="99">
        <f t="shared" si="2"/>
        <v>1270</v>
      </c>
      <c r="O46" s="99">
        <f t="shared" si="3"/>
        <v>1247</v>
      </c>
      <c r="P46" s="99">
        <f t="shared" si="4"/>
        <v>1349</v>
      </c>
      <c r="Q46" s="99">
        <f t="shared" si="5"/>
        <v>1578</v>
      </c>
    </row>
    <row r="47" spans="1:17" s="8" customFormat="1" ht="24.75" customHeight="1" x14ac:dyDescent="0.2">
      <c r="A47" s="32" t="s">
        <v>13</v>
      </c>
      <c r="B47" s="187" t="s">
        <v>8</v>
      </c>
      <c r="C47" s="76">
        <v>2.5999999999999999E-2</v>
      </c>
      <c r="D47" s="76">
        <v>0.04</v>
      </c>
      <c r="E47" s="76">
        <v>6.4000000000000001E-2</v>
      </c>
      <c r="F47" s="76">
        <v>0.18</v>
      </c>
      <c r="G47" s="302">
        <v>0.186</v>
      </c>
      <c r="H47" s="76">
        <v>0.01</v>
      </c>
      <c r="I47" s="76">
        <v>1.7999999999999995E-2</v>
      </c>
      <c r="J47" s="76">
        <v>3.0016000000000001E-2</v>
      </c>
      <c r="K47" s="76">
        <v>9.5039999999999986E-2</v>
      </c>
      <c r="L47" s="96">
        <v>0.100068</v>
      </c>
      <c r="M47" s="99">
        <f t="shared" si="1"/>
        <v>384.61538461538464</v>
      </c>
      <c r="N47" s="99">
        <f t="shared" si="2"/>
        <v>449.99999999999983</v>
      </c>
      <c r="O47" s="99">
        <f t="shared" si="3"/>
        <v>469</v>
      </c>
      <c r="P47" s="99">
        <f t="shared" si="4"/>
        <v>527.99999999999989</v>
      </c>
      <c r="Q47" s="99">
        <f t="shared" si="5"/>
        <v>538</v>
      </c>
    </row>
    <row r="48" spans="1:17" s="8" customFormat="1" ht="24.75" customHeight="1" x14ac:dyDescent="0.2">
      <c r="A48" s="32" t="s">
        <v>54</v>
      </c>
      <c r="B48" s="187" t="s">
        <v>8</v>
      </c>
      <c r="C48" s="76">
        <v>5.0000000000000001E-3</v>
      </c>
      <c r="D48" s="76">
        <v>5.0000000000000001E-3</v>
      </c>
      <c r="E48" s="76">
        <v>0.19</v>
      </c>
      <c r="F48" s="76">
        <v>5.0000000000000001E-3</v>
      </c>
      <c r="G48" s="103"/>
      <c r="H48" s="76">
        <v>1.0999999999999999E-2</v>
      </c>
      <c r="I48" s="76">
        <v>1.0999999999999999E-2</v>
      </c>
      <c r="J48" s="76">
        <v>0.15371000000000001</v>
      </c>
      <c r="K48" s="76">
        <v>1.0999999999999999E-2</v>
      </c>
      <c r="L48" s="103"/>
      <c r="M48" s="99">
        <f t="shared" si="1"/>
        <v>2199.9999999999995</v>
      </c>
      <c r="N48" s="99">
        <f t="shared" si="2"/>
        <v>2199.9999999999995</v>
      </c>
      <c r="O48" s="99">
        <f t="shared" si="3"/>
        <v>809</v>
      </c>
      <c r="P48" s="99">
        <f t="shared" si="4"/>
        <v>2199.9999999999995</v>
      </c>
      <c r="Q48" s="99" t="e">
        <f t="shared" si="5"/>
        <v>#DIV/0!</v>
      </c>
    </row>
    <row r="49" spans="1:17" s="8" customFormat="1" ht="24.75" customHeight="1" x14ac:dyDescent="0.2">
      <c r="A49" s="32" t="s">
        <v>55</v>
      </c>
      <c r="B49" s="187" t="s">
        <v>8</v>
      </c>
      <c r="C49" s="76">
        <v>3.1930000000000001</v>
      </c>
      <c r="D49" s="76">
        <v>3.161</v>
      </c>
      <c r="E49" s="76">
        <v>3.16</v>
      </c>
      <c r="F49" s="76">
        <v>3.15</v>
      </c>
      <c r="G49" s="180">
        <v>2.95</v>
      </c>
      <c r="H49" s="76">
        <v>3.0649999999999999</v>
      </c>
      <c r="I49" s="76">
        <v>3.0345599999999999</v>
      </c>
      <c r="J49" s="76">
        <v>3.0367600000000001</v>
      </c>
      <c r="K49" s="76">
        <v>3</v>
      </c>
      <c r="L49" s="96">
        <v>2.8113500000000005</v>
      </c>
      <c r="M49" s="99">
        <f t="shared" si="1"/>
        <v>959.91230817413089</v>
      </c>
      <c r="N49" s="99">
        <f t="shared" si="2"/>
        <v>960</v>
      </c>
      <c r="O49" s="99">
        <f t="shared" si="3"/>
        <v>961</v>
      </c>
      <c r="P49" s="99">
        <f t="shared" si="4"/>
        <v>952.38095238095241</v>
      </c>
      <c r="Q49" s="99">
        <f t="shared" si="5"/>
        <v>953.00000000000011</v>
      </c>
    </row>
    <row r="50" spans="1:17" s="8" customFormat="1" ht="24.75" hidden="1" customHeight="1" x14ac:dyDescent="0.2">
      <c r="A50" s="32" t="s">
        <v>196</v>
      </c>
      <c r="B50" s="187" t="s">
        <v>8</v>
      </c>
      <c r="C50" s="93"/>
      <c r="D50" s="93"/>
      <c r="E50" s="93"/>
      <c r="F50" s="93"/>
      <c r="G50" s="103"/>
      <c r="H50" s="93"/>
      <c r="I50" s="93"/>
      <c r="J50" s="93"/>
      <c r="K50" s="93"/>
      <c r="L50" s="103"/>
      <c r="M50" s="99" t="e">
        <f t="shared" si="1"/>
        <v>#DIV/0!</v>
      </c>
      <c r="N50" s="99" t="e">
        <f t="shared" si="2"/>
        <v>#DIV/0!</v>
      </c>
      <c r="O50" s="99" t="e">
        <f t="shared" si="3"/>
        <v>#DIV/0!</v>
      </c>
      <c r="P50" s="99" t="e">
        <f t="shared" si="4"/>
        <v>#DIV/0!</v>
      </c>
      <c r="Q50" s="99" t="e">
        <f t="shared" si="5"/>
        <v>#DIV/0!</v>
      </c>
    </row>
    <row r="51" spans="1:17" ht="24.75" customHeight="1" x14ac:dyDescent="0.2">
      <c r="A51" s="110" t="s">
        <v>14</v>
      </c>
      <c r="B51" s="228" t="s">
        <v>8</v>
      </c>
      <c r="C51" s="103">
        <f t="shared" ref="C51:L51" si="25">C50+C49+C48+C47+C46+C37+C34+C33+C32+C31+C28+C25+C22+C19+C18+C17+C15+C12+C11+C10+C7+C40+C43+C16</f>
        <v>2059.3810000000003</v>
      </c>
      <c r="D51" s="103">
        <f t="shared" si="25"/>
        <v>2059.87</v>
      </c>
      <c r="E51" s="103">
        <f t="shared" si="25"/>
        <v>1754.694</v>
      </c>
      <c r="F51" s="103">
        <f t="shared" si="25"/>
        <v>1755.1720000000005</v>
      </c>
      <c r="G51" s="103">
        <f t="shared" si="25"/>
        <v>1642.2549999999999</v>
      </c>
      <c r="H51" s="103">
        <f t="shared" si="25"/>
        <v>1964.3579999999999</v>
      </c>
      <c r="I51" s="103">
        <f t="shared" si="25"/>
        <v>2273.8079819999998</v>
      </c>
      <c r="J51" s="103">
        <f t="shared" si="25"/>
        <v>1735.0446039999995</v>
      </c>
      <c r="K51" s="103">
        <f t="shared" si="25"/>
        <v>1696.9703529999999</v>
      </c>
      <c r="L51" s="103">
        <f t="shared" si="25"/>
        <v>1986.3360819999998</v>
      </c>
      <c r="M51" s="285">
        <f t="shared" si="1"/>
        <v>953.85846523785528</v>
      </c>
      <c r="N51" s="285">
        <f t="shared" si="2"/>
        <v>1103.8599435886731</v>
      </c>
      <c r="O51" s="285">
        <f t="shared" si="3"/>
        <v>988.80181045811958</v>
      </c>
      <c r="P51" s="285">
        <f t="shared" si="4"/>
        <v>966.83991825302564</v>
      </c>
      <c r="Q51" s="285">
        <f t="shared" si="5"/>
        <v>1209.5174513093277</v>
      </c>
    </row>
    <row r="52" spans="1:17" ht="24.75" customHeight="1" x14ac:dyDescent="0.2">
      <c r="A52" s="111"/>
      <c r="B52" s="228" t="s">
        <v>9</v>
      </c>
      <c r="C52" s="103">
        <f>C38+C29+C26+C20+C13+C8+C23+C41+C44+C35</f>
        <v>3565.04</v>
      </c>
      <c r="D52" s="103">
        <f t="shared" ref="D52:L52" si="26">D38+D29+D26+D20+D13+D8+D23+D41+D44+D35</f>
        <v>2964.58</v>
      </c>
      <c r="E52" s="103">
        <f t="shared" si="26"/>
        <v>2338.5909999999999</v>
      </c>
      <c r="F52" s="103">
        <f t="shared" si="26"/>
        <v>3068.585</v>
      </c>
      <c r="G52" s="103">
        <f t="shared" si="26"/>
        <v>2735.6190000000001</v>
      </c>
      <c r="H52" s="103">
        <f t="shared" si="26"/>
        <v>2603.5432000000001</v>
      </c>
      <c r="I52" s="103">
        <f t="shared" si="26"/>
        <v>2529.5769200000004</v>
      </c>
      <c r="J52" s="103">
        <f t="shared" si="26"/>
        <v>1740.364527</v>
      </c>
      <c r="K52" s="103">
        <f t="shared" si="26"/>
        <v>3075.1346750000002</v>
      </c>
      <c r="L52" s="103">
        <f t="shared" si="26"/>
        <v>2825.7344460000004</v>
      </c>
      <c r="M52" s="285">
        <f t="shared" si="1"/>
        <v>730.29845387429043</v>
      </c>
      <c r="N52" s="285">
        <f t="shared" si="2"/>
        <v>853.26654028563928</v>
      </c>
      <c r="O52" s="285">
        <f t="shared" si="3"/>
        <v>744.19363069472172</v>
      </c>
      <c r="P52" s="285">
        <f t="shared" si="4"/>
        <v>1002.1344284091854</v>
      </c>
      <c r="Q52" s="285">
        <f t="shared" si="5"/>
        <v>1032.9415192685824</v>
      </c>
    </row>
    <row r="53" spans="1:17" s="8" customFormat="1" ht="24.75" customHeight="1" x14ac:dyDescent="0.2">
      <c r="A53" s="112"/>
      <c r="B53" s="228" t="s">
        <v>10</v>
      </c>
      <c r="C53" s="103">
        <f t="shared" ref="C53:L53" si="27">C52+C51</f>
        <v>5624.4210000000003</v>
      </c>
      <c r="D53" s="103">
        <f t="shared" si="27"/>
        <v>5024.45</v>
      </c>
      <c r="E53" s="103">
        <f t="shared" si="27"/>
        <v>4093.2849999999999</v>
      </c>
      <c r="F53" s="103">
        <f t="shared" si="27"/>
        <v>4823.7570000000005</v>
      </c>
      <c r="G53" s="103">
        <f t="shared" si="27"/>
        <v>4377.8739999999998</v>
      </c>
      <c r="H53" s="103">
        <f t="shared" si="27"/>
        <v>4567.9012000000002</v>
      </c>
      <c r="I53" s="103">
        <f t="shared" si="27"/>
        <v>4803.3849019999998</v>
      </c>
      <c r="J53" s="103">
        <f t="shared" si="27"/>
        <v>3475.4091309999994</v>
      </c>
      <c r="K53" s="103">
        <f t="shared" si="27"/>
        <v>4772.1050279999999</v>
      </c>
      <c r="L53" s="103">
        <f t="shared" si="27"/>
        <v>4812.0705280000002</v>
      </c>
      <c r="M53" s="285">
        <f t="shared" si="1"/>
        <v>812.15492225777552</v>
      </c>
      <c r="N53" s="285">
        <f t="shared" si="2"/>
        <v>956.00212998437644</v>
      </c>
      <c r="O53" s="285">
        <f t="shared" si="3"/>
        <v>849.0513440916036</v>
      </c>
      <c r="P53" s="285">
        <f t="shared" si="4"/>
        <v>989.29216956824303</v>
      </c>
      <c r="Q53" s="285">
        <f t="shared" si="5"/>
        <v>1099.1797680792092</v>
      </c>
    </row>
  </sheetData>
  <mergeCells count="15">
    <mergeCell ref="H4:L4"/>
    <mergeCell ref="M4:Q4"/>
    <mergeCell ref="A2:Q2"/>
    <mergeCell ref="A12:A14"/>
    <mergeCell ref="A7:A9"/>
    <mergeCell ref="A43:A45"/>
    <mergeCell ref="A34:A36"/>
    <mergeCell ref="A4:A5"/>
    <mergeCell ref="B4:B5"/>
    <mergeCell ref="C4:G4"/>
    <mergeCell ref="A37:A39"/>
    <mergeCell ref="A28:A30"/>
    <mergeCell ref="A25:A27"/>
    <mergeCell ref="A22:A24"/>
    <mergeCell ref="A40:A42"/>
  </mergeCells>
  <phoneticPr fontId="0" type="noConversion"/>
  <printOptions horizontalCentered="1" verticalCentered="1"/>
  <pageMargins left="0.31496062992126" right="0.31496062992126" top="0.118110236220472" bottom="0.118110236220472" header="0.511811023622047" footer="0.511811023622047"/>
  <pageSetup paperSize="9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P30"/>
  <sheetViews>
    <sheetView tabSelected="1" view="pageBreakPreview" zoomScale="70" zoomScaleNormal="75" zoomScaleSheetLayoutView="70" workbookViewId="0">
      <pane xSplit="1" ySplit="6" topLeftCell="C25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6.5" x14ac:dyDescent="0.25"/>
  <cols>
    <col min="1" max="1" width="22.7109375" style="258" customWidth="1"/>
    <col min="2" max="2" width="11" style="26" customWidth="1"/>
    <col min="3" max="3" width="10.42578125" style="26" customWidth="1"/>
    <col min="4" max="4" width="10.42578125" style="89" customWidth="1"/>
    <col min="5" max="5" width="10.5703125" style="89" customWidth="1"/>
    <col min="6" max="6" width="10.42578125" style="89" customWidth="1"/>
    <col min="7" max="8" width="10.5703125" style="26" customWidth="1"/>
    <col min="9" max="9" width="10.85546875" style="26" customWidth="1"/>
    <col min="10" max="10" width="10.5703125" style="26" customWidth="1"/>
    <col min="11" max="11" width="11.28515625" style="26" bestFit="1" customWidth="1"/>
    <col min="12" max="14" width="10.85546875" style="26" customWidth="1"/>
    <col min="15" max="16" width="10.5703125" style="26" customWidth="1"/>
    <col min="17" max="16384" width="9.140625" style="1"/>
  </cols>
  <sheetData>
    <row r="2" spans="1:16" ht="18" customHeight="1" x14ac:dyDescent="0.25">
      <c r="A2" s="369" t="s">
        <v>179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</row>
    <row r="3" spans="1:16" x14ac:dyDescent="0.25">
      <c r="A3" s="259"/>
      <c r="B3" s="90"/>
      <c r="C3" s="90"/>
      <c r="D3" s="91"/>
      <c r="E3" s="91"/>
      <c r="F3" s="91"/>
      <c r="G3" s="90"/>
      <c r="H3" s="90"/>
      <c r="I3" s="90"/>
      <c r="J3" s="90"/>
      <c r="K3" s="90"/>
    </row>
    <row r="4" spans="1:16" ht="18" x14ac:dyDescent="0.25">
      <c r="A4" s="368" t="s">
        <v>1</v>
      </c>
      <c r="B4" s="342" t="s">
        <v>174</v>
      </c>
      <c r="C4" s="342"/>
      <c r="D4" s="342"/>
      <c r="E4" s="342"/>
      <c r="F4" s="342"/>
      <c r="G4" s="342" t="s">
        <v>68</v>
      </c>
      <c r="H4" s="342"/>
      <c r="I4" s="342"/>
      <c r="J4" s="342"/>
      <c r="K4" s="342"/>
      <c r="L4" s="342" t="s">
        <v>89</v>
      </c>
      <c r="M4" s="342"/>
      <c r="N4" s="342"/>
      <c r="O4" s="342"/>
      <c r="P4" s="342"/>
    </row>
    <row r="5" spans="1:16" ht="36" customHeight="1" x14ac:dyDescent="0.25">
      <c r="A5" s="368"/>
      <c r="B5" s="270" t="s">
        <v>112</v>
      </c>
      <c r="C5" s="270" t="s">
        <v>164</v>
      </c>
      <c r="D5" s="270" t="s">
        <v>199</v>
      </c>
      <c r="E5" s="270" t="s">
        <v>200</v>
      </c>
      <c r="F5" s="273" t="s">
        <v>202</v>
      </c>
      <c r="G5" s="270" t="s">
        <v>112</v>
      </c>
      <c r="H5" s="270" t="s">
        <v>164</v>
      </c>
      <c r="I5" s="270" t="s">
        <v>199</v>
      </c>
      <c r="J5" s="270" t="s">
        <v>200</v>
      </c>
      <c r="K5" s="273" t="s">
        <v>202</v>
      </c>
      <c r="L5" s="339" t="s">
        <v>112</v>
      </c>
      <c r="M5" s="339" t="s">
        <v>164</v>
      </c>
      <c r="N5" s="339" t="s">
        <v>199</v>
      </c>
      <c r="O5" s="339" t="s">
        <v>200</v>
      </c>
      <c r="P5" s="339" t="s">
        <v>202</v>
      </c>
    </row>
    <row r="6" spans="1:16" s="14" customFormat="1" ht="15" x14ac:dyDescent="0.2">
      <c r="A6" s="267">
        <v>1</v>
      </c>
      <c r="B6" s="230">
        <v>2</v>
      </c>
      <c r="C6" s="230">
        <v>3</v>
      </c>
      <c r="D6" s="230">
        <v>4</v>
      </c>
      <c r="E6" s="230">
        <v>5</v>
      </c>
      <c r="F6" s="230">
        <v>6</v>
      </c>
      <c r="G6" s="230">
        <v>7</v>
      </c>
      <c r="H6" s="230">
        <v>8</v>
      </c>
      <c r="I6" s="230">
        <v>9</v>
      </c>
      <c r="J6" s="230">
        <v>10</v>
      </c>
      <c r="K6" s="230">
        <v>11</v>
      </c>
      <c r="L6" s="230">
        <v>12</v>
      </c>
      <c r="M6" s="230">
        <v>13</v>
      </c>
      <c r="N6" s="230">
        <v>14</v>
      </c>
      <c r="O6" s="230">
        <v>15</v>
      </c>
      <c r="P6" s="230">
        <v>16</v>
      </c>
    </row>
    <row r="7" spans="1:16" ht="30" customHeight="1" x14ac:dyDescent="0.25">
      <c r="A7" s="257" t="s">
        <v>2</v>
      </c>
      <c r="B7" s="75">
        <v>42</v>
      </c>
      <c r="C7" s="75">
        <v>48</v>
      </c>
      <c r="D7" s="75">
        <v>22</v>
      </c>
      <c r="E7" s="75">
        <v>25</v>
      </c>
      <c r="F7" s="318">
        <v>31</v>
      </c>
      <c r="G7" s="75">
        <v>72</v>
      </c>
      <c r="H7" s="75">
        <v>92.495999999999995</v>
      </c>
      <c r="I7" s="75">
        <v>22.681999999999999</v>
      </c>
      <c r="J7" s="75">
        <v>58.2</v>
      </c>
      <c r="K7" s="75">
        <v>70.710999999999999</v>
      </c>
      <c r="L7" s="7">
        <f>G7/B7*1000</f>
        <v>1714.2857142857142</v>
      </c>
      <c r="M7" s="7">
        <f t="shared" ref="M7:P7" si="0">H7/C7*1000</f>
        <v>1926.9999999999998</v>
      </c>
      <c r="N7" s="7">
        <f t="shared" si="0"/>
        <v>1031</v>
      </c>
      <c r="O7" s="7">
        <f t="shared" si="0"/>
        <v>2328.0000000000005</v>
      </c>
      <c r="P7" s="7">
        <f t="shared" si="0"/>
        <v>2281</v>
      </c>
    </row>
    <row r="8" spans="1:16" s="33" customFormat="1" ht="30" customHeight="1" x14ac:dyDescent="0.25">
      <c r="A8" s="257" t="s">
        <v>48</v>
      </c>
      <c r="B8" s="75">
        <v>3.5640000000000001</v>
      </c>
      <c r="C8" s="75">
        <v>4.3789999999999996</v>
      </c>
      <c r="D8" s="75">
        <v>3.109</v>
      </c>
      <c r="E8" s="75">
        <v>3.1589999999999998</v>
      </c>
      <c r="F8" s="318">
        <v>4.2190000000000003</v>
      </c>
      <c r="G8" s="75">
        <v>4.0449999999999999</v>
      </c>
      <c r="H8" s="75">
        <v>4.9657859999999996</v>
      </c>
      <c r="I8" s="75">
        <v>3.5256059999999998</v>
      </c>
      <c r="J8" s="75">
        <v>3.5823059999999995</v>
      </c>
      <c r="K8" s="75">
        <v>4.7843460000000002</v>
      </c>
      <c r="L8" s="7">
        <f t="shared" ref="L8:L29" si="1">G8/B8*1000</f>
        <v>1134.9607182940515</v>
      </c>
      <c r="M8" s="7">
        <f t="shared" ref="M8:M29" si="2">H8/C8*1000</f>
        <v>1134.0000000000002</v>
      </c>
      <c r="N8" s="7">
        <f t="shared" ref="N8:N29" si="3">I8/D8*1000</f>
        <v>1134</v>
      </c>
      <c r="O8" s="7">
        <f t="shared" ref="O8:O29" si="4">J8/E8*1000</f>
        <v>1134</v>
      </c>
      <c r="P8" s="7" t="e">
        <f>#REF!/#REF!*1000</f>
        <v>#REF!</v>
      </c>
    </row>
    <row r="9" spans="1:16" s="33" customFormat="1" ht="30" customHeight="1" x14ac:dyDescent="0.25">
      <c r="A9" s="257" t="s">
        <v>47</v>
      </c>
      <c r="B9" s="75">
        <v>0.1</v>
      </c>
      <c r="C9" s="75">
        <v>0</v>
      </c>
      <c r="D9" s="75">
        <v>0.06</v>
      </c>
      <c r="E9" s="75">
        <v>0</v>
      </c>
      <c r="F9" s="318">
        <v>0.04</v>
      </c>
      <c r="G9" s="264">
        <v>4.2599999999999999E-2</v>
      </c>
      <c r="H9" s="75">
        <v>0</v>
      </c>
      <c r="I9" s="75">
        <v>2.6939999999999999E-2</v>
      </c>
      <c r="J9" s="75">
        <v>0</v>
      </c>
      <c r="K9" s="75">
        <v>2.06E-2</v>
      </c>
      <c r="L9" s="7">
        <f t="shared" si="1"/>
        <v>426</v>
      </c>
      <c r="M9" s="7" t="e">
        <f t="shared" si="2"/>
        <v>#DIV/0!</v>
      </c>
      <c r="N9" s="7">
        <f t="shared" si="3"/>
        <v>449</v>
      </c>
      <c r="O9" s="7" t="e">
        <f t="shared" si="4"/>
        <v>#DIV/0!</v>
      </c>
      <c r="P9" s="7" t="e">
        <f>#REF!/#REF!*1000</f>
        <v>#REF!</v>
      </c>
    </row>
    <row r="10" spans="1:16" ht="30" customHeight="1" x14ac:dyDescent="0.25">
      <c r="A10" s="257" t="s">
        <v>4</v>
      </c>
      <c r="B10" s="75">
        <v>431</v>
      </c>
      <c r="C10" s="75">
        <v>397</v>
      </c>
      <c r="D10" s="75">
        <v>391.58</v>
      </c>
      <c r="E10" s="75">
        <v>435.25</v>
      </c>
      <c r="F10" s="318">
        <v>460.26</v>
      </c>
      <c r="G10" s="75">
        <v>931</v>
      </c>
      <c r="H10" s="75">
        <v>964.71</v>
      </c>
      <c r="I10" s="75">
        <v>892.80239999999992</v>
      </c>
      <c r="J10" s="75">
        <v>913.15449999999998</v>
      </c>
      <c r="K10" s="75">
        <v>1008.88992</v>
      </c>
      <c r="L10" s="7">
        <f t="shared" si="1"/>
        <v>2160.092807424594</v>
      </c>
      <c r="M10" s="7">
        <f t="shared" si="2"/>
        <v>2430</v>
      </c>
      <c r="N10" s="7">
        <f t="shared" si="3"/>
        <v>2280</v>
      </c>
      <c r="O10" s="7">
        <f t="shared" si="4"/>
        <v>2098</v>
      </c>
      <c r="P10" s="7">
        <f>K8/F8*1000</f>
        <v>1134</v>
      </c>
    </row>
    <row r="11" spans="1:16" s="33" customFormat="1" ht="30" customHeight="1" x14ac:dyDescent="0.25">
      <c r="A11" s="257" t="s">
        <v>18</v>
      </c>
      <c r="B11" s="75">
        <v>478</v>
      </c>
      <c r="C11" s="75">
        <v>450</v>
      </c>
      <c r="D11" s="75">
        <v>424.7</v>
      </c>
      <c r="E11" s="75">
        <v>492.8</v>
      </c>
      <c r="F11" s="318">
        <v>569.20000000000005</v>
      </c>
      <c r="G11" s="75">
        <v>964</v>
      </c>
      <c r="H11" s="75">
        <v>720.9</v>
      </c>
      <c r="I11" s="75">
        <v>878.27959999999996</v>
      </c>
      <c r="J11" s="75">
        <v>1019.1104</v>
      </c>
      <c r="K11" s="75">
        <v>1350.1424000000002</v>
      </c>
      <c r="L11" s="7">
        <f t="shared" si="1"/>
        <v>2016.7364016736401</v>
      </c>
      <c r="M11" s="7">
        <f t="shared" si="2"/>
        <v>1601.9999999999998</v>
      </c>
      <c r="N11" s="7">
        <f t="shared" si="3"/>
        <v>2068</v>
      </c>
      <c r="O11" s="7">
        <f t="shared" si="4"/>
        <v>2068</v>
      </c>
      <c r="P11" s="7">
        <f>K9/F9*1000</f>
        <v>515</v>
      </c>
    </row>
    <row r="12" spans="1:16" s="33" customFormat="1" ht="30" customHeight="1" x14ac:dyDescent="0.25">
      <c r="A12" s="257" t="s">
        <v>16</v>
      </c>
      <c r="B12" s="75">
        <v>0.70899999999999996</v>
      </c>
      <c r="C12" s="75">
        <v>7.9000000000000001E-2</v>
      </c>
      <c r="D12" s="75">
        <v>8.7999999999999995E-2</v>
      </c>
      <c r="E12" s="75">
        <v>0.107</v>
      </c>
      <c r="F12" s="318">
        <v>0.52300000000000002</v>
      </c>
      <c r="G12" s="75">
        <v>0.35499999999999998</v>
      </c>
      <c r="H12" s="75">
        <v>5.8000000000000003E-2</v>
      </c>
      <c r="I12" s="75">
        <v>6.4239999999999992E-2</v>
      </c>
      <c r="J12" s="75">
        <v>0.10914</v>
      </c>
      <c r="K12" s="75">
        <v>0.29131100000000004</v>
      </c>
      <c r="L12" s="7">
        <f t="shared" si="1"/>
        <v>500.70521861777149</v>
      </c>
      <c r="M12" s="7">
        <f t="shared" si="2"/>
        <v>734.17721518987344</v>
      </c>
      <c r="N12" s="7">
        <f t="shared" si="3"/>
        <v>730</v>
      </c>
      <c r="O12" s="7">
        <f t="shared" si="4"/>
        <v>1020</v>
      </c>
      <c r="P12" s="7" t="e">
        <f>#REF!/#REF!*1000</f>
        <v>#REF!</v>
      </c>
    </row>
    <row r="13" spans="1:16" s="33" customFormat="1" ht="30" customHeight="1" x14ac:dyDescent="0.25">
      <c r="A13" s="257" t="s">
        <v>58</v>
      </c>
      <c r="B13" s="75">
        <v>13.869</v>
      </c>
      <c r="C13" s="75">
        <v>12.615</v>
      </c>
      <c r="D13" s="75">
        <v>24.358000000000001</v>
      </c>
      <c r="E13" s="75">
        <v>9.7789999999999999</v>
      </c>
      <c r="F13" s="318">
        <v>13.141999999999999</v>
      </c>
      <c r="G13" s="75">
        <v>8.2080000000000002</v>
      </c>
      <c r="H13" s="75">
        <v>7.44285</v>
      </c>
      <c r="I13" s="75">
        <v>13.591764000000001</v>
      </c>
      <c r="J13" s="75">
        <v>5.818505</v>
      </c>
      <c r="K13" s="75">
        <v>6.4658639999999998</v>
      </c>
      <c r="L13" s="7">
        <f t="shared" si="1"/>
        <v>591.82349123945482</v>
      </c>
      <c r="M13" s="7">
        <f t="shared" si="2"/>
        <v>590</v>
      </c>
      <c r="N13" s="7">
        <f t="shared" si="3"/>
        <v>558</v>
      </c>
      <c r="O13" s="7">
        <f t="shared" si="4"/>
        <v>595</v>
      </c>
      <c r="P13" s="7">
        <f t="shared" ref="P13:P18" si="5">K10/F10*1000</f>
        <v>2192</v>
      </c>
    </row>
    <row r="14" spans="1:16" s="33" customFormat="1" ht="30" customHeight="1" x14ac:dyDescent="0.25">
      <c r="A14" s="257" t="s">
        <v>57</v>
      </c>
      <c r="B14" s="75">
        <v>0.33300000000000002</v>
      </c>
      <c r="C14" s="75">
        <v>0.61399999999999999</v>
      </c>
      <c r="D14" s="75">
        <v>0.13</v>
      </c>
      <c r="E14" s="75">
        <v>0.28799999999999998</v>
      </c>
      <c r="F14" s="318">
        <v>0.127</v>
      </c>
      <c r="G14" s="75">
        <v>0.222</v>
      </c>
      <c r="H14" s="75">
        <v>0.35366399999999998</v>
      </c>
      <c r="I14" s="75">
        <v>7.5139999999999998E-2</v>
      </c>
      <c r="J14" s="75">
        <v>0.20476799999999998</v>
      </c>
      <c r="K14" s="75">
        <v>8.1660999999999997E-2</v>
      </c>
      <c r="L14" s="7">
        <f t="shared" si="1"/>
        <v>666.66666666666663</v>
      </c>
      <c r="M14" s="7">
        <f t="shared" si="2"/>
        <v>576</v>
      </c>
      <c r="N14" s="7">
        <f t="shared" si="3"/>
        <v>578</v>
      </c>
      <c r="O14" s="7">
        <f t="shared" si="4"/>
        <v>711</v>
      </c>
      <c r="P14" s="7">
        <f t="shared" si="5"/>
        <v>2372.0000000000005</v>
      </c>
    </row>
    <row r="15" spans="1:16" ht="30" customHeight="1" x14ac:dyDescent="0.25">
      <c r="A15" s="257" t="s">
        <v>5</v>
      </c>
      <c r="B15" s="75">
        <v>242</v>
      </c>
      <c r="C15" s="75">
        <v>231</v>
      </c>
      <c r="D15" s="75">
        <v>184.29999999999998</v>
      </c>
      <c r="E15" s="75">
        <v>322</v>
      </c>
      <c r="F15" s="318">
        <v>222</v>
      </c>
      <c r="G15" s="75">
        <v>255</v>
      </c>
      <c r="H15" s="75">
        <v>286.69410000000005</v>
      </c>
      <c r="I15" s="75">
        <v>176.37509999999997</v>
      </c>
      <c r="J15" s="75">
        <v>367.08</v>
      </c>
      <c r="K15" s="75">
        <v>275.50200000000001</v>
      </c>
      <c r="L15" s="7">
        <f t="shared" si="1"/>
        <v>1053.7190082644627</v>
      </c>
      <c r="M15" s="7">
        <f t="shared" si="2"/>
        <v>1241.1000000000004</v>
      </c>
      <c r="N15" s="7">
        <f t="shared" si="3"/>
        <v>957</v>
      </c>
      <c r="O15" s="7">
        <f t="shared" si="4"/>
        <v>1140</v>
      </c>
      <c r="P15" s="7">
        <f t="shared" si="5"/>
        <v>557</v>
      </c>
    </row>
    <row r="16" spans="1:16" s="33" customFormat="1" ht="30" customHeight="1" x14ac:dyDescent="0.25">
      <c r="A16" s="257" t="s">
        <v>6</v>
      </c>
      <c r="B16" s="265">
        <v>280</v>
      </c>
      <c r="C16" s="75">
        <v>310</v>
      </c>
      <c r="D16" s="75">
        <v>327</v>
      </c>
      <c r="E16" s="75">
        <v>295.89</v>
      </c>
      <c r="F16" s="318">
        <v>327</v>
      </c>
      <c r="G16" s="265">
        <v>680.61</v>
      </c>
      <c r="H16" s="75">
        <v>755</v>
      </c>
      <c r="I16" s="75">
        <v>628.16700000000003</v>
      </c>
      <c r="J16" s="75">
        <v>656.57990999999993</v>
      </c>
      <c r="K16" s="265">
        <v>737.71199999999999</v>
      </c>
      <c r="L16" s="7">
        <f t="shared" si="1"/>
        <v>2430.75</v>
      </c>
      <c r="M16" s="7">
        <f t="shared" si="2"/>
        <v>2435.483870967742</v>
      </c>
      <c r="N16" s="7">
        <f t="shared" si="3"/>
        <v>1921</v>
      </c>
      <c r="O16" s="7">
        <f t="shared" si="4"/>
        <v>2219</v>
      </c>
      <c r="P16" s="7">
        <f t="shared" si="5"/>
        <v>492</v>
      </c>
    </row>
    <row r="17" spans="1:16" s="33" customFormat="1" ht="30" customHeight="1" x14ac:dyDescent="0.25">
      <c r="A17" s="260" t="s">
        <v>7</v>
      </c>
      <c r="B17" s="265">
        <v>837.1</v>
      </c>
      <c r="C17" s="75">
        <v>788</v>
      </c>
      <c r="D17" s="75">
        <v>609.6</v>
      </c>
      <c r="E17" s="75">
        <v>672.78</v>
      </c>
      <c r="F17" s="318">
        <v>687.5</v>
      </c>
      <c r="G17" s="265">
        <v>799.8</v>
      </c>
      <c r="H17" s="75">
        <v>669.01199999999994</v>
      </c>
      <c r="I17" s="75">
        <v>332.23200000000003</v>
      </c>
      <c r="J17" s="75">
        <v>511.98557999999997</v>
      </c>
      <c r="K17" s="75">
        <v>656.5625</v>
      </c>
      <c r="L17" s="7">
        <f t="shared" si="1"/>
        <v>955.44140485007756</v>
      </c>
      <c r="M17" s="7">
        <f t="shared" si="2"/>
        <v>849</v>
      </c>
      <c r="N17" s="7">
        <f t="shared" si="3"/>
        <v>545</v>
      </c>
      <c r="O17" s="7">
        <f t="shared" si="4"/>
        <v>761</v>
      </c>
      <c r="P17" s="7">
        <f t="shared" si="5"/>
        <v>643</v>
      </c>
    </row>
    <row r="18" spans="1:16" s="33" customFormat="1" ht="30" customHeight="1" x14ac:dyDescent="0.25">
      <c r="A18" s="260" t="s">
        <v>20</v>
      </c>
      <c r="B18" s="265">
        <v>0.69</v>
      </c>
      <c r="C18" s="75">
        <v>0.7</v>
      </c>
      <c r="D18" s="75">
        <v>0.71</v>
      </c>
      <c r="E18" s="75">
        <v>0.71</v>
      </c>
      <c r="F18" s="75">
        <v>0.71</v>
      </c>
      <c r="G18" s="265">
        <v>0.7</v>
      </c>
      <c r="H18" s="75">
        <v>0.70979999999999999</v>
      </c>
      <c r="I18" s="75">
        <v>0.71993999999999991</v>
      </c>
      <c r="J18" s="75">
        <v>0.71993999999999991</v>
      </c>
      <c r="K18" s="75">
        <v>0.71993999999999991</v>
      </c>
      <c r="L18" s="7">
        <f t="shared" si="1"/>
        <v>1014.4927536231885</v>
      </c>
      <c r="M18" s="7">
        <f t="shared" si="2"/>
        <v>1014</v>
      </c>
      <c r="N18" s="7">
        <f t="shared" si="3"/>
        <v>1014</v>
      </c>
      <c r="O18" s="7">
        <f t="shared" si="4"/>
        <v>1014</v>
      </c>
      <c r="P18" s="7">
        <f t="shared" si="5"/>
        <v>1241</v>
      </c>
    </row>
    <row r="19" spans="1:16" s="33" customFormat="1" ht="30" customHeight="1" x14ac:dyDescent="0.25">
      <c r="A19" s="257" t="s">
        <v>195</v>
      </c>
      <c r="B19" s="265">
        <v>1.84</v>
      </c>
      <c r="C19" s="75">
        <v>1.76</v>
      </c>
      <c r="D19" s="75">
        <v>2.16</v>
      </c>
      <c r="E19" s="75">
        <v>1.87</v>
      </c>
      <c r="F19" s="318">
        <v>1.27</v>
      </c>
      <c r="G19" s="265">
        <v>1.1299999999999999</v>
      </c>
      <c r="H19" s="75">
        <v>1.08944</v>
      </c>
      <c r="I19" s="75">
        <v>1.34352</v>
      </c>
      <c r="J19" s="75">
        <v>1.1594</v>
      </c>
      <c r="K19" s="75">
        <v>0.78994000000000009</v>
      </c>
      <c r="L19" s="7">
        <f t="shared" si="1"/>
        <v>614.13043478260863</v>
      </c>
      <c r="M19" s="7">
        <f t="shared" si="2"/>
        <v>619</v>
      </c>
      <c r="N19" s="7">
        <f t="shared" si="3"/>
        <v>622</v>
      </c>
      <c r="O19" s="7">
        <f t="shared" si="4"/>
        <v>620</v>
      </c>
      <c r="P19" s="7" t="e">
        <f>#REF!/#REF!*1000</f>
        <v>#REF!</v>
      </c>
    </row>
    <row r="20" spans="1:16" s="33" customFormat="1" ht="30" customHeight="1" x14ac:dyDescent="0.25">
      <c r="A20" s="257" t="s">
        <v>21</v>
      </c>
      <c r="B20" s="75">
        <v>1.2</v>
      </c>
      <c r="C20" s="75">
        <v>1</v>
      </c>
      <c r="D20" s="75">
        <v>1.1000000000000001</v>
      </c>
      <c r="E20" s="75">
        <v>0.5</v>
      </c>
      <c r="F20" s="318">
        <v>0.4</v>
      </c>
      <c r="G20" s="264">
        <v>0.7</v>
      </c>
      <c r="H20" s="75">
        <v>0.59799999999999998</v>
      </c>
      <c r="I20" s="75">
        <v>0.71610000000000007</v>
      </c>
      <c r="J20" s="75">
        <v>0.3175</v>
      </c>
      <c r="K20" s="75">
        <v>0.25600000000000001</v>
      </c>
      <c r="L20" s="7">
        <f t="shared" si="1"/>
        <v>583.33333333333337</v>
      </c>
      <c r="M20" s="7">
        <f t="shared" si="2"/>
        <v>598</v>
      </c>
      <c r="N20" s="7">
        <f t="shared" si="3"/>
        <v>651</v>
      </c>
      <c r="O20" s="7">
        <f t="shared" si="4"/>
        <v>635</v>
      </c>
      <c r="P20" s="7">
        <f>K16/F16*1000</f>
        <v>2256</v>
      </c>
    </row>
    <row r="21" spans="1:16" s="33" customFormat="1" ht="30" customHeight="1" x14ac:dyDescent="0.25">
      <c r="A21" s="257" t="s">
        <v>22</v>
      </c>
      <c r="B21" s="75">
        <v>4150.3119999999999</v>
      </c>
      <c r="C21" s="75">
        <v>4236.2879999999996</v>
      </c>
      <c r="D21" s="75">
        <v>4180.2</v>
      </c>
      <c r="E21" s="75">
        <v>4287.17</v>
      </c>
      <c r="F21" s="318">
        <v>4348.3959999999997</v>
      </c>
      <c r="G21" s="75">
        <v>4154.9650000000001</v>
      </c>
      <c r="H21" s="75">
        <v>3753.3511679999997</v>
      </c>
      <c r="I21" s="75">
        <v>3808.1621999999998</v>
      </c>
      <c r="J21" s="75">
        <v>4685.8768100000007</v>
      </c>
      <c r="K21" s="75">
        <v>4561.467404</v>
      </c>
      <c r="L21" s="7">
        <f t="shared" si="1"/>
        <v>1001.1211205326251</v>
      </c>
      <c r="M21" s="7">
        <f t="shared" si="2"/>
        <v>886</v>
      </c>
      <c r="N21" s="7">
        <f t="shared" si="3"/>
        <v>911</v>
      </c>
      <c r="O21" s="7">
        <f t="shared" si="4"/>
        <v>1093.0000000000002</v>
      </c>
      <c r="P21" s="7">
        <f>K17/F17*1000</f>
        <v>955</v>
      </c>
    </row>
    <row r="22" spans="1:16" s="33" customFormat="1" ht="30" customHeight="1" x14ac:dyDescent="0.25">
      <c r="A22" s="257" t="s">
        <v>11</v>
      </c>
      <c r="B22" s="75">
        <v>49.67</v>
      </c>
      <c r="C22" s="75">
        <v>63.03</v>
      </c>
      <c r="D22" s="75">
        <v>46.88</v>
      </c>
      <c r="E22" s="75">
        <v>67.489999999999995</v>
      </c>
      <c r="F22" s="318">
        <v>67.41</v>
      </c>
      <c r="G22" s="75">
        <v>102.25999999999999</v>
      </c>
      <c r="H22" s="75">
        <v>143.51930999999999</v>
      </c>
      <c r="I22" s="75">
        <v>117.99696</v>
      </c>
      <c r="J22" s="75">
        <v>185.12506999999997</v>
      </c>
      <c r="K22" s="75">
        <v>158.88536999999999</v>
      </c>
      <c r="L22" s="7">
        <f t="shared" si="1"/>
        <v>2058.7880008053148</v>
      </c>
      <c r="M22" s="7">
        <f t="shared" si="2"/>
        <v>2276.9999999999995</v>
      </c>
      <c r="N22" s="7">
        <f t="shared" si="3"/>
        <v>2517</v>
      </c>
      <c r="O22" s="7">
        <f t="shared" si="4"/>
        <v>2743</v>
      </c>
      <c r="P22" s="7" t="e">
        <f>#REF!/#REF!*1000</f>
        <v>#REF!</v>
      </c>
    </row>
    <row r="23" spans="1:16" s="33" customFormat="1" ht="30" customHeight="1" x14ac:dyDescent="0.25">
      <c r="A23" s="257" t="s">
        <v>109</v>
      </c>
      <c r="B23" s="75">
        <v>17</v>
      </c>
      <c r="C23" s="75">
        <v>9</v>
      </c>
      <c r="D23" s="75">
        <v>8</v>
      </c>
      <c r="E23" s="75">
        <v>9</v>
      </c>
      <c r="F23" s="303">
        <v>10</v>
      </c>
      <c r="G23" s="75">
        <v>15</v>
      </c>
      <c r="H23" s="75">
        <v>9.5129999999999999</v>
      </c>
      <c r="I23" s="75">
        <v>3.976</v>
      </c>
      <c r="J23" s="75">
        <v>10.422000000000001</v>
      </c>
      <c r="K23" s="75">
        <v>9.3000000000000007</v>
      </c>
      <c r="L23" s="7">
        <f t="shared" si="1"/>
        <v>882.35294117647061</v>
      </c>
      <c r="M23" s="7">
        <f t="shared" si="2"/>
        <v>1057</v>
      </c>
      <c r="N23" s="7">
        <f t="shared" si="3"/>
        <v>497</v>
      </c>
      <c r="O23" s="7">
        <f t="shared" si="4"/>
        <v>1158.0000000000002</v>
      </c>
      <c r="P23" s="7" t="e">
        <f>#REF!/#REF!*1000</f>
        <v>#REF!</v>
      </c>
    </row>
    <row r="24" spans="1:16" ht="30" customHeight="1" x14ac:dyDescent="0.25">
      <c r="A24" s="257" t="s">
        <v>12</v>
      </c>
      <c r="B24" s="75">
        <v>907</v>
      </c>
      <c r="C24" s="75">
        <v>925</v>
      </c>
      <c r="D24" s="75">
        <v>877</v>
      </c>
      <c r="E24" s="75">
        <v>917</v>
      </c>
      <c r="F24" s="318">
        <v>907</v>
      </c>
      <c r="G24" s="75">
        <v>1736</v>
      </c>
      <c r="H24" s="75">
        <v>1794.5</v>
      </c>
      <c r="I24" s="75">
        <v>1779.433</v>
      </c>
      <c r="J24" s="75">
        <v>1939.4549999999999</v>
      </c>
      <c r="K24" s="75">
        <v>2014.4469999999999</v>
      </c>
      <c r="L24" s="7">
        <f t="shared" si="1"/>
        <v>1914.0022050716648</v>
      </c>
      <c r="M24" s="7">
        <f t="shared" si="2"/>
        <v>1940</v>
      </c>
      <c r="N24" s="7">
        <f t="shared" si="3"/>
        <v>2029</v>
      </c>
      <c r="O24" s="7">
        <f t="shared" si="4"/>
        <v>2114.9999999999995</v>
      </c>
      <c r="P24" s="7" t="e">
        <f>#REF!/#REF!*1000</f>
        <v>#REF!</v>
      </c>
    </row>
    <row r="25" spans="1:16" ht="30" customHeight="1" x14ac:dyDescent="0.25">
      <c r="A25" s="257" t="s">
        <v>13</v>
      </c>
      <c r="B25" s="265">
        <v>0.16700000000000001</v>
      </c>
      <c r="C25" s="75">
        <v>0.2</v>
      </c>
      <c r="D25" s="75">
        <v>7.0999999999999994E-2</v>
      </c>
      <c r="E25" s="75">
        <v>6.8000000000000005E-2</v>
      </c>
      <c r="F25" s="318">
        <v>7.0000000000000007E-2</v>
      </c>
      <c r="G25" s="265">
        <v>4.9000000000000002E-2</v>
      </c>
      <c r="H25" s="75">
        <v>0.06</v>
      </c>
      <c r="I25" s="75">
        <v>2.8541999999999998E-2</v>
      </c>
      <c r="J25" s="75">
        <v>2.7268000000000001E-2</v>
      </c>
      <c r="K25" s="75">
        <v>2.9750000000000002E-2</v>
      </c>
      <c r="L25" s="7">
        <f t="shared" si="1"/>
        <v>293.41317365269458</v>
      </c>
      <c r="M25" s="7">
        <f t="shared" si="2"/>
        <v>300</v>
      </c>
      <c r="N25" s="7">
        <f t="shared" si="3"/>
        <v>402</v>
      </c>
      <c r="O25" s="7">
        <f t="shared" si="4"/>
        <v>400.99999999999994</v>
      </c>
      <c r="P25" s="7">
        <f>K18/F18*1000</f>
        <v>1014</v>
      </c>
    </row>
    <row r="26" spans="1:16" ht="30" customHeight="1" x14ac:dyDescent="0.25">
      <c r="A26" s="257" t="s">
        <v>113</v>
      </c>
      <c r="B26" s="265">
        <v>1.6E-2</v>
      </c>
      <c r="C26" s="75">
        <v>1.4E-2</v>
      </c>
      <c r="D26" s="75">
        <v>1.0999999999999999E-2</v>
      </c>
      <c r="E26" s="75">
        <v>2.1999999999999999E-2</v>
      </c>
      <c r="F26" s="75">
        <v>0.01</v>
      </c>
      <c r="G26" s="75">
        <v>2.1000000000000001E-2</v>
      </c>
      <c r="H26" s="75">
        <v>3.9003999999999997E-2</v>
      </c>
      <c r="I26" s="75">
        <v>2.7994999999999999E-2</v>
      </c>
      <c r="J26" s="75">
        <v>5.7001999999999997E-2</v>
      </c>
      <c r="K26" s="75">
        <v>2.5999999999999999E-2</v>
      </c>
      <c r="L26" s="7">
        <f t="shared" si="1"/>
        <v>1312.5</v>
      </c>
      <c r="M26" s="7">
        <f t="shared" si="2"/>
        <v>2785.9999999999995</v>
      </c>
      <c r="N26" s="7">
        <f t="shared" si="3"/>
        <v>2545</v>
      </c>
      <c r="O26" s="7">
        <f t="shared" si="4"/>
        <v>2591</v>
      </c>
      <c r="P26" s="7">
        <f>K19/F19*1000</f>
        <v>622.00000000000011</v>
      </c>
    </row>
    <row r="27" spans="1:16" ht="30" customHeight="1" x14ac:dyDescent="0.25">
      <c r="A27" s="257" t="s">
        <v>23</v>
      </c>
      <c r="B27" s="265">
        <v>1.4970000000000001</v>
      </c>
      <c r="C27" s="265">
        <v>1.482</v>
      </c>
      <c r="D27" s="75">
        <v>1.48</v>
      </c>
      <c r="E27" s="75">
        <v>1.4750000000000001</v>
      </c>
      <c r="F27" s="265">
        <v>1.325</v>
      </c>
      <c r="G27" s="265">
        <v>3.278</v>
      </c>
      <c r="H27" s="75">
        <v>3.255954</v>
      </c>
      <c r="I27" s="75">
        <v>3.2530399999999999</v>
      </c>
      <c r="J27" s="75">
        <v>3.2400000000000007</v>
      </c>
      <c r="K27" s="75">
        <v>5.3397500000000004</v>
      </c>
      <c r="L27" s="7">
        <f t="shared" si="1"/>
        <v>2189.7127588510352</v>
      </c>
      <c r="M27" s="7">
        <f t="shared" si="2"/>
        <v>2197</v>
      </c>
      <c r="N27" s="7">
        <f t="shared" si="3"/>
        <v>2198</v>
      </c>
      <c r="O27" s="7">
        <f t="shared" si="4"/>
        <v>2196.610169491526</v>
      </c>
      <c r="P27" s="7">
        <f>K20/F20*1000</f>
        <v>640</v>
      </c>
    </row>
    <row r="28" spans="1:16" ht="30" customHeight="1" x14ac:dyDescent="0.25">
      <c r="A28" s="257" t="s">
        <v>86</v>
      </c>
      <c r="B28" s="265">
        <v>0.434</v>
      </c>
      <c r="C28" s="75">
        <v>0.434</v>
      </c>
      <c r="D28" s="75">
        <v>0.496</v>
      </c>
      <c r="E28" s="75">
        <v>0.32500000000000001</v>
      </c>
      <c r="F28" s="75">
        <v>0.496</v>
      </c>
      <c r="G28" s="265">
        <v>0.47799999999999998</v>
      </c>
      <c r="H28" s="75">
        <v>0.57852200000000009</v>
      </c>
      <c r="I28" s="75">
        <v>0.64777599999999991</v>
      </c>
      <c r="J28" s="75">
        <v>0.37375000000000003</v>
      </c>
      <c r="K28" s="75">
        <v>0.74846399999999991</v>
      </c>
      <c r="L28" s="7">
        <f t="shared" si="1"/>
        <v>1101.3824884792627</v>
      </c>
      <c r="M28" s="7">
        <f t="shared" si="2"/>
        <v>1333.0000000000002</v>
      </c>
      <c r="N28" s="7">
        <f t="shared" si="3"/>
        <v>1305.9999999999998</v>
      </c>
      <c r="O28" s="7">
        <f t="shared" si="4"/>
        <v>1150.0000000000002</v>
      </c>
      <c r="P28" s="7">
        <f>K21/F21*1000</f>
        <v>1049.0000000000002</v>
      </c>
    </row>
    <row r="29" spans="1:16" s="213" customFormat="1" ht="30" customHeight="1" x14ac:dyDescent="0.2">
      <c r="A29" s="257" t="s">
        <v>14</v>
      </c>
      <c r="B29" s="212">
        <f>SUM(B7:B28)</f>
        <v>7458.5010000000002</v>
      </c>
      <c r="C29" s="212">
        <f t="shared" ref="C29" si="6">SUM(C7:C28)</f>
        <v>7480.5949999999993</v>
      </c>
      <c r="D29" s="212">
        <f>SUM(D7:D28)</f>
        <v>7105.0329999999994</v>
      </c>
      <c r="E29" s="212">
        <f>SUM(E7:E28)</f>
        <v>7542.683</v>
      </c>
      <c r="F29" s="212">
        <f>SUM(F7:F28)</f>
        <v>7652.098</v>
      </c>
      <c r="G29" s="212">
        <f>SUM(G7:G28)</f>
        <v>9729.8636000000006</v>
      </c>
      <c r="H29" s="212">
        <f t="shared" ref="H29" si="7">SUM(H7:H28)</f>
        <v>9208.8465980000001</v>
      </c>
      <c r="I29" s="212">
        <f>SUM(I7:I28)</f>
        <v>8664.1268629999995</v>
      </c>
      <c r="J29" s="212">
        <f>SUM(J7:J28)</f>
        <v>10362.598849</v>
      </c>
      <c r="K29" s="212">
        <f>SUM(K7:K28)</f>
        <v>10863.173219999999</v>
      </c>
      <c r="L29" s="286">
        <f t="shared" si="1"/>
        <v>1304.5333908247785</v>
      </c>
      <c r="M29" s="286">
        <f t="shared" si="2"/>
        <v>1231.0313013871223</v>
      </c>
      <c r="N29" s="286">
        <f t="shared" si="3"/>
        <v>1219.4351332358344</v>
      </c>
      <c r="O29" s="286">
        <f t="shared" si="4"/>
        <v>1373.861111357855</v>
      </c>
      <c r="P29" s="286">
        <f t="shared" ref="P29" si="8">K29/F29*1000</f>
        <v>1419.6333110213695</v>
      </c>
    </row>
    <row r="30" spans="1:16" x14ac:dyDescent="0.25">
      <c r="A30" s="261"/>
    </row>
  </sheetData>
  <mergeCells count="5">
    <mergeCell ref="A4:A5"/>
    <mergeCell ref="B4:F4"/>
    <mergeCell ref="G4:K4"/>
    <mergeCell ref="L4:P4"/>
    <mergeCell ref="A2:P2"/>
  </mergeCells>
  <phoneticPr fontId="0" type="noConversion"/>
  <printOptions horizontalCentered="1" verticalCentered="1"/>
  <pageMargins left="0.511811023622047" right="0.511811023622047" top="0.23622047244094499" bottom="0.23622047244094499" header="0.511811023622047" footer="0.511811023622047"/>
  <pageSetup paperSize="9" scale="67" orientation="landscape" r:id="rId1"/>
  <headerFooter alignWithMargins="0"/>
  <rowBreaks count="1" manualBreakCount="1">
    <brk id="4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93"/>
  <sheetViews>
    <sheetView tabSelected="1" view="pageBreakPreview" zoomScale="80" zoomScaleSheetLayoutView="80" workbookViewId="0">
      <pane xSplit="2" ySplit="6" topLeftCell="C75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7.140625" style="4" customWidth="1"/>
    <col min="2" max="2" width="11.85546875" style="4" bestFit="1" customWidth="1"/>
    <col min="3" max="4" width="12.28515625" style="4" bestFit="1" customWidth="1"/>
    <col min="5" max="5" width="12.7109375" style="4" bestFit="1" customWidth="1"/>
    <col min="6" max="7" width="12.7109375" style="4" customWidth="1"/>
    <col min="8" max="9" width="14.42578125" style="4" bestFit="1" customWidth="1"/>
    <col min="10" max="12" width="14.42578125" style="4" customWidth="1"/>
    <col min="13" max="15" width="12.28515625" style="4" bestFit="1" customWidth="1"/>
    <col min="16" max="17" width="12.28515625" style="4" customWidth="1"/>
    <col min="18" max="16384" width="9.140625" style="4"/>
  </cols>
  <sheetData>
    <row r="1" spans="1:17" ht="23.25" customHeight="1" x14ac:dyDescent="0.2"/>
    <row r="2" spans="1:17" ht="18.75" customHeight="1" x14ac:dyDescent="0.2">
      <c r="A2" s="351" t="s">
        <v>168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17" ht="14.25" customHeight="1" x14ac:dyDescent="0.2">
      <c r="A3" s="3"/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7" ht="18" x14ac:dyDescent="0.2">
      <c r="A4" s="364" t="s">
        <v>1</v>
      </c>
      <c r="B4" s="376" t="s">
        <v>0</v>
      </c>
      <c r="C4" s="342" t="s">
        <v>174</v>
      </c>
      <c r="D4" s="342"/>
      <c r="E4" s="342"/>
      <c r="F4" s="342"/>
      <c r="G4" s="342"/>
      <c r="H4" s="342" t="s">
        <v>68</v>
      </c>
      <c r="I4" s="342"/>
      <c r="J4" s="342"/>
      <c r="K4" s="342"/>
      <c r="L4" s="342"/>
      <c r="M4" s="342" t="s">
        <v>89</v>
      </c>
      <c r="N4" s="342"/>
      <c r="O4" s="342"/>
      <c r="P4" s="342"/>
      <c r="Q4" s="342"/>
    </row>
    <row r="5" spans="1:17" ht="27" customHeight="1" x14ac:dyDescent="0.2">
      <c r="A5" s="364"/>
      <c r="B5" s="376"/>
      <c r="C5" s="271" t="s">
        <v>112</v>
      </c>
      <c r="D5" s="271" t="s">
        <v>164</v>
      </c>
      <c r="E5" s="271" t="s">
        <v>199</v>
      </c>
      <c r="F5" s="271" t="s">
        <v>200</v>
      </c>
      <c r="G5" s="273" t="s">
        <v>202</v>
      </c>
      <c r="H5" s="271" t="s">
        <v>112</v>
      </c>
      <c r="I5" s="271" t="s">
        <v>164</v>
      </c>
      <c r="J5" s="271" t="s">
        <v>199</v>
      </c>
      <c r="K5" s="271" t="s">
        <v>200</v>
      </c>
      <c r="L5" s="273" t="s">
        <v>202</v>
      </c>
      <c r="M5" s="339" t="s">
        <v>112</v>
      </c>
      <c r="N5" s="339" t="s">
        <v>164</v>
      </c>
      <c r="O5" s="339" t="s">
        <v>199</v>
      </c>
      <c r="P5" s="339" t="s">
        <v>200</v>
      </c>
      <c r="Q5" s="339" t="s">
        <v>202</v>
      </c>
    </row>
    <row r="6" spans="1:17" s="14" customFormat="1" x14ac:dyDescent="0.2">
      <c r="A6" s="185">
        <v>1</v>
      </c>
      <c r="B6" s="185">
        <v>2</v>
      </c>
      <c r="C6" s="230">
        <v>3</v>
      </c>
      <c r="D6" s="230">
        <v>4</v>
      </c>
      <c r="E6" s="230">
        <v>5</v>
      </c>
      <c r="F6" s="230">
        <v>6</v>
      </c>
      <c r="G6" s="230">
        <v>7</v>
      </c>
      <c r="H6" s="230">
        <v>8</v>
      </c>
      <c r="I6" s="230">
        <v>9</v>
      </c>
      <c r="J6" s="230">
        <v>10</v>
      </c>
      <c r="K6" s="230">
        <v>11</v>
      </c>
      <c r="L6" s="230">
        <v>12</v>
      </c>
      <c r="M6" s="230">
        <v>13</v>
      </c>
      <c r="N6" s="230">
        <v>14</v>
      </c>
      <c r="O6" s="230">
        <v>15</v>
      </c>
      <c r="P6" s="230">
        <v>16</v>
      </c>
      <c r="Q6" s="230">
        <v>17</v>
      </c>
    </row>
    <row r="7" spans="1:17" ht="21" customHeight="1" x14ac:dyDescent="0.2">
      <c r="A7" s="345" t="s">
        <v>2</v>
      </c>
      <c r="B7" s="187" t="s">
        <v>8</v>
      </c>
      <c r="C7" s="97">
        <v>85</v>
      </c>
      <c r="D7" s="76">
        <v>107</v>
      </c>
      <c r="E7" s="76">
        <v>104</v>
      </c>
      <c r="F7" s="76">
        <v>96</v>
      </c>
      <c r="G7" s="96">
        <v>114</v>
      </c>
      <c r="H7" s="97">
        <v>355</v>
      </c>
      <c r="I7" s="76">
        <v>500.54599999999999</v>
      </c>
      <c r="J7" s="76">
        <v>429.93599999999998</v>
      </c>
      <c r="K7" s="76">
        <v>452.83199999999999</v>
      </c>
      <c r="L7" s="96">
        <v>433.99799999999999</v>
      </c>
      <c r="M7" s="99">
        <f>H7/C7*1000</f>
        <v>4176.4705882352946</v>
      </c>
      <c r="N7" s="99">
        <f t="shared" ref="N7:Q7" si="0">I7/D7*1000</f>
        <v>4678</v>
      </c>
      <c r="O7" s="99">
        <f t="shared" si="0"/>
        <v>4133.9999999999991</v>
      </c>
      <c r="P7" s="99">
        <f t="shared" si="0"/>
        <v>4717</v>
      </c>
      <c r="Q7" s="99">
        <f t="shared" si="0"/>
        <v>3807</v>
      </c>
    </row>
    <row r="8" spans="1:17" ht="21" customHeight="1" x14ac:dyDescent="0.2">
      <c r="A8" s="345"/>
      <c r="B8" s="187" t="s">
        <v>9</v>
      </c>
      <c r="C8" s="100">
        <v>165</v>
      </c>
      <c r="D8" s="76">
        <v>229</v>
      </c>
      <c r="E8" s="76">
        <v>162</v>
      </c>
      <c r="F8" s="76">
        <v>205</v>
      </c>
      <c r="G8" s="96">
        <v>187</v>
      </c>
      <c r="H8" s="100">
        <v>1298</v>
      </c>
      <c r="I8" s="76">
        <v>1821.924</v>
      </c>
      <c r="J8" s="76">
        <v>1132.704</v>
      </c>
      <c r="K8" s="76">
        <v>1564.15</v>
      </c>
      <c r="L8" s="96">
        <v>1346.961</v>
      </c>
      <c r="M8" s="99">
        <f t="shared" ref="M8:M43" si="1">H8/C8*1000</f>
        <v>7866.6666666666661</v>
      </c>
      <c r="N8" s="99">
        <f t="shared" ref="N8:N43" si="2">I8/D8*1000</f>
        <v>7955.9999999999991</v>
      </c>
      <c r="O8" s="99">
        <f t="shared" ref="O8:O43" si="3">J8/E8*1000</f>
        <v>6992</v>
      </c>
      <c r="P8" s="99">
        <f t="shared" ref="P8:P43" si="4">K8/F8*1000</f>
        <v>7630.0000000000009</v>
      </c>
      <c r="Q8" s="99">
        <f t="shared" ref="Q8:Q43" si="5">L8/G8*1000</f>
        <v>7203</v>
      </c>
    </row>
    <row r="9" spans="1:17" s="8" customFormat="1" ht="21" customHeight="1" x14ac:dyDescent="0.2">
      <c r="A9" s="345"/>
      <c r="B9" s="186" t="s">
        <v>10</v>
      </c>
      <c r="C9" s="93">
        <f t="shared" ref="C9:L9" si="6">C7+C8</f>
        <v>250</v>
      </c>
      <c r="D9" s="93">
        <f t="shared" si="6"/>
        <v>336</v>
      </c>
      <c r="E9" s="93">
        <f t="shared" si="6"/>
        <v>266</v>
      </c>
      <c r="F9" s="93">
        <f t="shared" si="6"/>
        <v>301</v>
      </c>
      <c r="G9" s="103">
        <f t="shared" si="6"/>
        <v>301</v>
      </c>
      <c r="H9" s="93">
        <f t="shared" si="6"/>
        <v>1653</v>
      </c>
      <c r="I9" s="93">
        <f t="shared" si="6"/>
        <v>2322.4699999999998</v>
      </c>
      <c r="J9" s="93">
        <f t="shared" si="6"/>
        <v>1562.6399999999999</v>
      </c>
      <c r="K9" s="93">
        <f t="shared" si="6"/>
        <v>2016.982</v>
      </c>
      <c r="L9" s="103">
        <f t="shared" si="6"/>
        <v>1780.9590000000001</v>
      </c>
      <c r="M9" s="285">
        <f t="shared" si="1"/>
        <v>6612</v>
      </c>
      <c r="N9" s="285">
        <f t="shared" si="2"/>
        <v>6912.1130952380945</v>
      </c>
      <c r="O9" s="285">
        <f t="shared" si="3"/>
        <v>5874.5864661654132</v>
      </c>
      <c r="P9" s="285">
        <f t="shared" si="4"/>
        <v>6700.9368770764122</v>
      </c>
      <c r="Q9" s="285">
        <f t="shared" si="5"/>
        <v>5916.8073089700993</v>
      </c>
    </row>
    <row r="10" spans="1:17" ht="21" customHeight="1" x14ac:dyDescent="0.2">
      <c r="A10" s="345" t="s">
        <v>24</v>
      </c>
      <c r="B10" s="187" t="s">
        <v>8</v>
      </c>
      <c r="C10" s="97">
        <v>40.703000000000003</v>
      </c>
      <c r="D10" s="76">
        <v>41</v>
      </c>
      <c r="E10" s="76">
        <v>51</v>
      </c>
      <c r="F10" s="76">
        <v>41.84</v>
      </c>
      <c r="G10" s="96">
        <v>41.228000000000002</v>
      </c>
      <c r="H10" s="97">
        <v>59.906999999999996</v>
      </c>
      <c r="I10" s="76">
        <v>60.926000000000002</v>
      </c>
      <c r="J10" s="76">
        <v>78.03</v>
      </c>
      <c r="K10" s="76">
        <v>63.345759999999999</v>
      </c>
      <c r="L10" s="96">
        <v>63.284980000000004</v>
      </c>
      <c r="M10" s="99">
        <f t="shared" si="1"/>
        <v>1471.8079748421492</v>
      </c>
      <c r="N10" s="99">
        <f t="shared" si="2"/>
        <v>1486</v>
      </c>
      <c r="O10" s="99">
        <f t="shared" si="3"/>
        <v>1530</v>
      </c>
      <c r="P10" s="99">
        <f t="shared" si="4"/>
        <v>1513.9999999999998</v>
      </c>
      <c r="Q10" s="99">
        <f t="shared" si="5"/>
        <v>1535.0000000000002</v>
      </c>
    </row>
    <row r="11" spans="1:17" ht="21" customHeight="1" x14ac:dyDescent="0.2">
      <c r="A11" s="345"/>
      <c r="B11" s="187" t="s">
        <v>9</v>
      </c>
      <c r="C11" s="100">
        <v>9.5969999999999995</v>
      </c>
      <c r="D11" s="76">
        <v>9.7970000000000006</v>
      </c>
      <c r="E11" s="76">
        <v>0</v>
      </c>
      <c r="F11" s="76">
        <v>9.9160000000000004</v>
      </c>
      <c r="G11" s="96">
        <v>9.923</v>
      </c>
      <c r="H11" s="100">
        <v>15.542999999999999</v>
      </c>
      <c r="I11" s="76">
        <v>16.312005000000003</v>
      </c>
      <c r="J11" s="76">
        <v>0</v>
      </c>
      <c r="K11" s="76">
        <v>16.857200000000002</v>
      </c>
      <c r="L11" s="96">
        <v>17.027867999999998</v>
      </c>
      <c r="M11" s="99">
        <f t="shared" si="1"/>
        <v>1619.5686151922475</v>
      </c>
      <c r="N11" s="99">
        <f t="shared" si="2"/>
        <v>1665.0000000000002</v>
      </c>
      <c r="O11" s="99" t="e">
        <f t="shared" si="3"/>
        <v>#DIV/0!</v>
      </c>
      <c r="P11" s="99">
        <f t="shared" si="4"/>
        <v>1700.0000000000002</v>
      </c>
      <c r="Q11" s="99">
        <f t="shared" si="5"/>
        <v>1715.9999999999998</v>
      </c>
    </row>
    <row r="12" spans="1:17" s="34" customFormat="1" ht="21" customHeight="1" x14ac:dyDescent="0.2">
      <c r="A12" s="345"/>
      <c r="B12" s="187" t="s">
        <v>10</v>
      </c>
      <c r="C12" s="76">
        <f t="shared" ref="C12:L12" si="7">C10+C11</f>
        <v>50.300000000000004</v>
      </c>
      <c r="D12" s="76">
        <f t="shared" si="7"/>
        <v>50.796999999999997</v>
      </c>
      <c r="E12" s="76">
        <f t="shared" si="7"/>
        <v>51</v>
      </c>
      <c r="F12" s="76">
        <f t="shared" si="7"/>
        <v>51.756</v>
      </c>
      <c r="G12" s="96">
        <f t="shared" si="7"/>
        <v>51.151000000000003</v>
      </c>
      <c r="H12" s="76">
        <f t="shared" si="7"/>
        <v>75.449999999999989</v>
      </c>
      <c r="I12" s="76">
        <f t="shared" si="7"/>
        <v>77.238005000000001</v>
      </c>
      <c r="J12" s="76">
        <f t="shared" si="7"/>
        <v>78.03</v>
      </c>
      <c r="K12" s="76">
        <f t="shared" si="7"/>
        <v>80.202960000000004</v>
      </c>
      <c r="L12" s="96">
        <f t="shared" si="7"/>
        <v>80.312848000000002</v>
      </c>
      <c r="M12" s="99">
        <f t="shared" si="1"/>
        <v>1499.9999999999995</v>
      </c>
      <c r="N12" s="99">
        <f t="shared" si="2"/>
        <v>1520.5229639545644</v>
      </c>
      <c r="O12" s="99">
        <f t="shared" si="3"/>
        <v>1530</v>
      </c>
      <c r="P12" s="99">
        <f t="shared" si="4"/>
        <v>1549.6359842337122</v>
      </c>
      <c r="Q12" s="99">
        <f t="shared" si="5"/>
        <v>1570.1129596684327</v>
      </c>
    </row>
    <row r="13" spans="1:17" ht="21" customHeight="1" x14ac:dyDescent="0.2">
      <c r="A13" s="197" t="s">
        <v>25</v>
      </c>
      <c r="B13" s="187" t="s">
        <v>8</v>
      </c>
      <c r="C13" s="97">
        <v>31.332999999999998</v>
      </c>
      <c r="D13" s="76">
        <v>31.536999999999999</v>
      </c>
      <c r="E13" s="76">
        <v>32.264000000000003</v>
      </c>
      <c r="F13" s="76">
        <v>36.636000000000003</v>
      </c>
      <c r="G13" s="180">
        <v>41.154000000000003</v>
      </c>
      <c r="H13" s="97">
        <v>91.218999999999994</v>
      </c>
      <c r="I13" s="76">
        <v>98.773883999999995</v>
      </c>
      <c r="J13" s="76">
        <v>104.98705600000001</v>
      </c>
      <c r="K13" s="76">
        <v>128.04282000000001</v>
      </c>
      <c r="L13" s="96">
        <v>147.90747600000003</v>
      </c>
      <c r="M13" s="99">
        <f t="shared" si="1"/>
        <v>2911.2756518686365</v>
      </c>
      <c r="N13" s="99">
        <f t="shared" si="2"/>
        <v>3132</v>
      </c>
      <c r="O13" s="99">
        <f t="shared" si="3"/>
        <v>3254</v>
      </c>
      <c r="P13" s="99">
        <f t="shared" si="4"/>
        <v>3495</v>
      </c>
      <c r="Q13" s="99">
        <f t="shared" si="5"/>
        <v>3594.0000000000005</v>
      </c>
    </row>
    <row r="14" spans="1:17" ht="21" customHeight="1" x14ac:dyDescent="0.2">
      <c r="A14" s="345" t="s">
        <v>38</v>
      </c>
      <c r="B14" s="187" t="s">
        <v>8</v>
      </c>
      <c r="C14" s="97">
        <v>241.45</v>
      </c>
      <c r="D14" s="76">
        <v>223.24199999999999</v>
      </c>
      <c r="E14" s="76">
        <v>223.31700000000001</v>
      </c>
      <c r="F14" s="76">
        <v>209.30699999999999</v>
      </c>
      <c r="G14" s="96">
        <v>193.607</v>
      </c>
      <c r="H14" s="97">
        <v>624.29999999999995</v>
      </c>
      <c r="I14" s="76">
        <v>535.78079999999989</v>
      </c>
      <c r="J14" s="76">
        <v>464.05272600000001</v>
      </c>
      <c r="K14" s="76">
        <v>434.93994600000002</v>
      </c>
      <c r="L14" s="96">
        <v>225.164941</v>
      </c>
      <c r="M14" s="99">
        <f t="shared" si="1"/>
        <v>2585.6284945123211</v>
      </c>
      <c r="N14" s="99">
        <f t="shared" si="2"/>
        <v>2399.9999999999995</v>
      </c>
      <c r="O14" s="99">
        <f t="shared" si="3"/>
        <v>2078</v>
      </c>
      <c r="P14" s="99">
        <f t="shared" si="4"/>
        <v>2078.0000000000005</v>
      </c>
      <c r="Q14" s="99">
        <f t="shared" si="5"/>
        <v>1163</v>
      </c>
    </row>
    <row r="15" spans="1:17" ht="21" customHeight="1" x14ac:dyDescent="0.2">
      <c r="A15" s="345"/>
      <c r="B15" s="187" t="s">
        <v>9</v>
      </c>
      <c r="C15" s="100">
        <v>479.46</v>
      </c>
      <c r="D15" s="76">
        <v>454.20399999999995</v>
      </c>
      <c r="E15" s="76">
        <v>446.161</v>
      </c>
      <c r="F15" s="76">
        <v>463.83099999999996</v>
      </c>
      <c r="G15" s="96">
        <v>455.58</v>
      </c>
      <c r="H15" s="100">
        <v>2065.99314</v>
      </c>
      <c r="I15" s="76">
        <v>1819.0870199999997</v>
      </c>
      <c r="J15" s="76">
        <v>2018.6331364499999</v>
      </c>
      <c r="K15" s="76">
        <v>1567.7487799999999</v>
      </c>
      <c r="L15" s="96">
        <v>1859.22198</v>
      </c>
      <c r="M15" s="99">
        <f t="shared" si="1"/>
        <v>4309</v>
      </c>
      <c r="N15" s="99">
        <f t="shared" si="2"/>
        <v>4005</v>
      </c>
      <c r="O15" s="99">
        <f t="shared" si="3"/>
        <v>4524.45</v>
      </c>
      <c r="P15" s="99">
        <f t="shared" si="4"/>
        <v>3380</v>
      </c>
      <c r="Q15" s="99">
        <f t="shared" si="5"/>
        <v>4081.0000000000005</v>
      </c>
    </row>
    <row r="16" spans="1:17" s="8" customFormat="1" ht="21" customHeight="1" x14ac:dyDescent="0.2">
      <c r="A16" s="345"/>
      <c r="B16" s="186" t="s">
        <v>10</v>
      </c>
      <c r="C16" s="93">
        <f>C15+C14</f>
        <v>720.91</v>
      </c>
      <c r="D16" s="93">
        <f t="shared" ref="D16:L16" si="8">D15+D14</f>
        <v>677.44599999999991</v>
      </c>
      <c r="E16" s="93">
        <f t="shared" si="8"/>
        <v>669.47800000000007</v>
      </c>
      <c r="F16" s="93">
        <f t="shared" si="8"/>
        <v>673.13799999999992</v>
      </c>
      <c r="G16" s="103">
        <f t="shared" si="8"/>
        <v>649.18700000000001</v>
      </c>
      <c r="H16" s="93">
        <f t="shared" si="8"/>
        <v>2690.2931399999998</v>
      </c>
      <c r="I16" s="93">
        <f t="shared" si="8"/>
        <v>2354.8678199999995</v>
      </c>
      <c r="J16" s="93">
        <f t="shared" si="8"/>
        <v>2482.6858624500001</v>
      </c>
      <c r="K16" s="93">
        <f t="shared" si="8"/>
        <v>2002.6887259999999</v>
      </c>
      <c r="L16" s="103">
        <f t="shared" si="8"/>
        <v>2084.3869210000003</v>
      </c>
      <c r="M16" s="285">
        <f t="shared" si="1"/>
        <v>3731.8016673371153</v>
      </c>
      <c r="N16" s="285">
        <f t="shared" si="2"/>
        <v>3476.0967221003593</v>
      </c>
      <c r="O16" s="285">
        <f t="shared" si="3"/>
        <v>3708.3905108905742</v>
      </c>
      <c r="P16" s="285">
        <f t="shared" si="4"/>
        <v>2975.1532761484273</v>
      </c>
      <c r="Q16" s="285">
        <f t="shared" si="5"/>
        <v>3210.7650353442077</v>
      </c>
    </row>
    <row r="17" spans="1:17" ht="21" customHeight="1" x14ac:dyDescent="0.2">
      <c r="A17" s="197" t="s">
        <v>47</v>
      </c>
      <c r="B17" s="187" t="s">
        <v>8</v>
      </c>
      <c r="C17" s="97">
        <v>120</v>
      </c>
      <c r="D17" s="76">
        <v>133.41</v>
      </c>
      <c r="E17" s="76">
        <v>118.39</v>
      </c>
      <c r="F17" s="76">
        <v>128.18</v>
      </c>
      <c r="G17" s="96">
        <v>113.89</v>
      </c>
      <c r="H17" s="97">
        <v>322.89999999999998</v>
      </c>
      <c r="I17" s="76">
        <v>317.51580000000001</v>
      </c>
      <c r="J17" s="76">
        <v>296.33017000000001</v>
      </c>
      <c r="K17" s="76">
        <v>344.93238000000002</v>
      </c>
      <c r="L17" s="96">
        <v>341.21444000000002</v>
      </c>
      <c r="M17" s="99">
        <f t="shared" si="1"/>
        <v>2690.833333333333</v>
      </c>
      <c r="N17" s="99">
        <f t="shared" si="2"/>
        <v>2380.0000000000005</v>
      </c>
      <c r="O17" s="99">
        <f t="shared" si="3"/>
        <v>2503</v>
      </c>
      <c r="P17" s="99">
        <f t="shared" si="4"/>
        <v>2691</v>
      </c>
      <c r="Q17" s="99">
        <f t="shared" si="5"/>
        <v>2996</v>
      </c>
    </row>
    <row r="18" spans="1:17" ht="21" hidden="1" customHeight="1" x14ac:dyDescent="0.2">
      <c r="A18" s="197" t="s">
        <v>15</v>
      </c>
      <c r="B18" s="187" t="s">
        <v>8</v>
      </c>
      <c r="C18" s="98"/>
      <c r="D18" s="76"/>
      <c r="E18" s="76"/>
      <c r="F18" s="76"/>
      <c r="G18" s="332"/>
      <c r="H18" s="98"/>
      <c r="I18" s="76"/>
      <c r="J18" s="76"/>
      <c r="K18" s="76"/>
      <c r="L18" s="332"/>
      <c r="M18" s="99" t="e">
        <f t="shared" si="1"/>
        <v>#DIV/0!</v>
      </c>
      <c r="N18" s="99" t="e">
        <f t="shared" si="2"/>
        <v>#DIV/0!</v>
      </c>
      <c r="O18" s="99" t="e">
        <f t="shared" si="3"/>
        <v>#DIV/0!</v>
      </c>
      <c r="P18" s="99" t="e">
        <f t="shared" si="4"/>
        <v>#DIV/0!</v>
      </c>
      <c r="Q18" s="99" t="e">
        <f t="shared" si="5"/>
        <v>#DIV/0!</v>
      </c>
    </row>
    <row r="19" spans="1:17" ht="21" customHeight="1" x14ac:dyDescent="0.2">
      <c r="A19" s="345" t="s">
        <v>4</v>
      </c>
      <c r="B19" s="187" t="s">
        <v>8</v>
      </c>
      <c r="C19" s="97">
        <v>322</v>
      </c>
      <c r="D19" s="76">
        <v>303</v>
      </c>
      <c r="E19" s="76">
        <v>310.54000000000002</v>
      </c>
      <c r="F19" s="76">
        <v>300.5</v>
      </c>
      <c r="G19" s="96">
        <v>286.70999999999998</v>
      </c>
      <c r="H19" s="97">
        <v>542</v>
      </c>
      <c r="I19" s="76">
        <v>469.95299999999997</v>
      </c>
      <c r="J19" s="76">
        <v>549.6558</v>
      </c>
      <c r="K19" s="76">
        <v>449.8485</v>
      </c>
      <c r="L19" s="96">
        <v>436.08590999999996</v>
      </c>
      <c r="M19" s="99">
        <f t="shared" si="1"/>
        <v>1683.2298136645961</v>
      </c>
      <c r="N19" s="99">
        <f t="shared" si="2"/>
        <v>1551</v>
      </c>
      <c r="O19" s="99">
        <f t="shared" si="3"/>
        <v>1769.9999999999998</v>
      </c>
      <c r="P19" s="99">
        <f t="shared" si="4"/>
        <v>1497</v>
      </c>
      <c r="Q19" s="99">
        <f t="shared" si="5"/>
        <v>1521</v>
      </c>
    </row>
    <row r="20" spans="1:17" ht="21" customHeight="1" x14ac:dyDescent="0.2">
      <c r="A20" s="345"/>
      <c r="B20" s="187" t="s">
        <v>9</v>
      </c>
      <c r="C20" s="100">
        <v>128</v>
      </c>
      <c r="D20" s="76">
        <v>98</v>
      </c>
      <c r="E20" s="76">
        <v>98.69</v>
      </c>
      <c r="F20" s="76">
        <v>137.86000000000001</v>
      </c>
      <c r="G20" s="96">
        <v>102.22</v>
      </c>
      <c r="H20" s="100">
        <v>259</v>
      </c>
      <c r="I20" s="76">
        <v>196</v>
      </c>
      <c r="J20" s="76">
        <v>252.99000000000004</v>
      </c>
      <c r="K20" s="76">
        <v>345.94999999999993</v>
      </c>
      <c r="L20" s="96">
        <v>231.5283</v>
      </c>
      <c r="M20" s="99">
        <f t="shared" si="1"/>
        <v>2023.4375</v>
      </c>
      <c r="N20" s="99">
        <f t="shared" si="2"/>
        <v>2000</v>
      </c>
      <c r="O20" s="99">
        <f t="shared" si="3"/>
        <v>2563.4816090789345</v>
      </c>
      <c r="P20" s="99">
        <f t="shared" si="4"/>
        <v>2509.4298563760331</v>
      </c>
      <c r="Q20" s="99">
        <f t="shared" si="5"/>
        <v>2265</v>
      </c>
    </row>
    <row r="21" spans="1:17" s="8" customFormat="1" ht="21" customHeight="1" x14ac:dyDescent="0.2">
      <c r="A21" s="345"/>
      <c r="B21" s="186" t="s">
        <v>10</v>
      </c>
      <c r="C21" s="103">
        <f t="shared" ref="C21:L21" si="9">C19+C20</f>
        <v>450</v>
      </c>
      <c r="D21" s="103">
        <f t="shared" si="9"/>
        <v>401</v>
      </c>
      <c r="E21" s="103">
        <f t="shared" si="9"/>
        <v>409.23</v>
      </c>
      <c r="F21" s="103">
        <f t="shared" si="9"/>
        <v>438.36</v>
      </c>
      <c r="G21" s="103">
        <f t="shared" si="9"/>
        <v>388.92999999999995</v>
      </c>
      <c r="H21" s="103">
        <f t="shared" si="9"/>
        <v>801</v>
      </c>
      <c r="I21" s="103">
        <f t="shared" si="9"/>
        <v>665.95299999999997</v>
      </c>
      <c r="J21" s="103">
        <f t="shared" si="9"/>
        <v>802.64580000000001</v>
      </c>
      <c r="K21" s="103">
        <f t="shared" si="9"/>
        <v>795.79849999999988</v>
      </c>
      <c r="L21" s="103">
        <f t="shared" si="9"/>
        <v>667.61420999999996</v>
      </c>
      <c r="M21" s="285">
        <f t="shared" si="1"/>
        <v>1780</v>
      </c>
      <c r="N21" s="285">
        <f t="shared" si="2"/>
        <v>1660.7306733167081</v>
      </c>
      <c r="O21" s="285">
        <f t="shared" si="3"/>
        <v>1961.3562055567772</v>
      </c>
      <c r="P21" s="285">
        <f t="shared" si="4"/>
        <v>1815.39944337987</v>
      </c>
      <c r="Q21" s="285">
        <f t="shared" si="5"/>
        <v>1716.5407914020518</v>
      </c>
    </row>
    <row r="22" spans="1:17" ht="21" customHeight="1" x14ac:dyDescent="0.2">
      <c r="A22" s="197" t="s">
        <v>18</v>
      </c>
      <c r="B22" s="187" t="s">
        <v>8</v>
      </c>
      <c r="C22" s="97">
        <v>5</v>
      </c>
      <c r="D22" s="76">
        <v>6</v>
      </c>
      <c r="E22" s="76">
        <v>5.9</v>
      </c>
      <c r="F22" s="76">
        <v>6</v>
      </c>
      <c r="G22" s="302">
        <v>6.63</v>
      </c>
      <c r="H22" s="97">
        <v>17</v>
      </c>
      <c r="I22" s="76">
        <v>19.001999999999999</v>
      </c>
      <c r="J22" s="76">
        <v>15.599600000000001</v>
      </c>
      <c r="K22" s="76">
        <v>16.998000000000001</v>
      </c>
      <c r="L22" s="96">
        <v>20.062380000000001</v>
      </c>
      <c r="M22" s="99">
        <f t="shared" si="1"/>
        <v>3400</v>
      </c>
      <c r="N22" s="99">
        <f t="shared" si="2"/>
        <v>3167</v>
      </c>
      <c r="O22" s="99">
        <f t="shared" si="3"/>
        <v>2644</v>
      </c>
      <c r="P22" s="99">
        <f t="shared" si="4"/>
        <v>2833</v>
      </c>
      <c r="Q22" s="99">
        <f t="shared" si="5"/>
        <v>3026.0000000000005</v>
      </c>
    </row>
    <row r="23" spans="1:17" ht="21" customHeight="1" x14ac:dyDescent="0.2">
      <c r="A23" s="197" t="s">
        <v>16</v>
      </c>
      <c r="B23" s="187" t="s">
        <v>8</v>
      </c>
      <c r="C23" s="93">
        <v>293.56599999999997</v>
      </c>
      <c r="D23" s="93">
        <v>280.81099999999998</v>
      </c>
      <c r="E23" s="93">
        <v>286.77999999999997</v>
      </c>
      <c r="F23" s="93">
        <v>287.44400000000002</v>
      </c>
      <c r="G23" s="330">
        <v>267.40699999999998</v>
      </c>
      <c r="H23" s="93">
        <v>784.29</v>
      </c>
      <c r="I23" s="93">
        <v>711.11400000000003</v>
      </c>
      <c r="J23" s="93">
        <v>725.5533999999999</v>
      </c>
      <c r="K23" s="93">
        <v>730.10775999999998</v>
      </c>
      <c r="L23" s="103">
        <v>729.21888899999999</v>
      </c>
      <c r="M23" s="285">
        <f t="shared" si="1"/>
        <v>2671.5968470463204</v>
      </c>
      <c r="N23" s="285">
        <f t="shared" si="2"/>
        <v>2532.3580628963969</v>
      </c>
      <c r="O23" s="285">
        <f t="shared" si="3"/>
        <v>2530</v>
      </c>
      <c r="P23" s="285">
        <f t="shared" si="4"/>
        <v>2539.9999999999995</v>
      </c>
      <c r="Q23" s="285">
        <f t="shared" si="5"/>
        <v>2727.0000000000005</v>
      </c>
    </row>
    <row r="24" spans="1:17" ht="21" customHeight="1" x14ac:dyDescent="0.2">
      <c r="A24" s="197" t="s">
        <v>19</v>
      </c>
      <c r="B24" s="187" t="s">
        <v>8</v>
      </c>
      <c r="C24" s="102">
        <v>295.17399999999998</v>
      </c>
      <c r="D24" s="93">
        <v>302.51600000000002</v>
      </c>
      <c r="E24" s="93">
        <v>262.35300000000001</v>
      </c>
      <c r="F24" s="93">
        <v>268.66899999999998</v>
      </c>
      <c r="G24" s="330">
        <v>289.17899999999997</v>
      </c>
      <c r="H24" s="102">
        <v>541.12</v>
      </c>
      <c r="I24" s="93">
        <v>546.04138</v>
      </c>
      <c r="J24" s="93">
        <v>574.29071700000009</v>
      </c>
      <c r="K24" s="93">
        <v>541.36803499999996</v>
      </c>
      <c r="L24" s="103">
        <v>508.66586099999995</v>
      </c>
      <c r="M24" s="285">
        <f t="shared" si="1"/>
        <v>1833.2237934235402</v>
      </c>
      <c r="N24" s="285">
        <f t="shared" si="2"/>
        <v>1805</v>
      </c>
      <c r="O24" s="285">
        <f t="shared" si="3"/>
        <v>2189</v>
      </c>
      <c r="P24" s="285">
        <f t="shared" si="4"/>
        <v>2015.0000000000002</v>
      </c>
      <c r="Q24" s="285">
        <f t="shared" si="5"/>
        <v>1759</v>
      </c>
    </row>
    <row r="25" spans="1:17" ht="21" customHeight="1" x14ac:dyDescent="0.2">
      <c r="A25" s="345" t="s">
        <v>41</v>
      </c>
      <c r="B25" s="187" t="s">
        <v>8</v>
      </c>
      <c r="C25" s="97">
        <v>285.38099999999997</v>
      </c>
      <c r="D25" s="76">
        <v>284.565</v>
      </c>
      <c r="E25" s="76">
        <v>255.14500000000001</v>
      </c>
      <c r="F25" s="76">
        <v>249.12700000000001</v>
      </c>
      <c r="G25" s="302">
        <v>285.81900000000002</v>
      </c>
      <c r="H25" s="97">
        <v>549.91300000000001</v>
      </c>
      <c r="I25" s="76">
        <v>576.24412500000005</v>
      </c>
      <c r="J25" s="76">
        <v>443.95230000000004</v>
      </c>
      <c r="K25" s="76">
        <v>494.76622200000003</v>
      </c>
      <c r="L25" s="96">
        <v>623.37123900000006</v>
      </c>
      <c r="M25" s="99">
        <f t="shared" si="1"/>
        <v>1926.9432793353449</v>
      </c>
      <c r="N25" s="99">
        <f t="shared" si="2"/>
        <v>2025.0000000000005</v>
      </c>
      <c r="O25" s="99">
        <f t="shared" si="3"/>
        <v>1740</v>
      </c>
      <c r="P25" s="99">
        <f t="shared" si="4"/>
        <v>1986</v>
      </c>
      <c r="Q25" s="99">
        <f t="shared" si="5"/>
        <v>2181</v>
      </c>
    </row>
    <row r="26" spans="1:17" ht="21" customHeight="1" x14ac:dyDescent="0.2">
      <c r="A26" s="345"/>
      <c r="B26" s="187" t="s">
        <v>9</v>
      </c>
      <c r="C26" s="100">
        <v>9.9730000000000008</v>
      </c>
      <c r="D26" s="76">
        <v>10.132999999999999</v>
      </c>
      <c r="E26" s="76">
        <v>5.944</v>
      </c>
      <c r="F26" s="76">
        <v>7.6440000000000001</v>
      </c>
      <c r="G26" s="96">
        <v>12.33</v>
      </c>
      <c r="H26" s="100">
        <v>17.914999999999999</v>
      </c>
      <c r="I26" s="76">
        <v>20.580123</v>
      </c>
      <c r="J26" s="76">
        <v>11.323319999999999</v>
      </c>
      <c r="K26" s="76">
        <v>16.044756</v>
      </c>
      <c r="L26" s="96">
        <v>28.420650000000002</v>
      </c>
      <c r="M26" s="99">
        <f t="shared" si="1"/>
        <v>1796.3501453925596</v>
      </c>
      <c r="N26" s="99">
        <f t="shared" si="2"/>
        <v>2031.0000000000002</v>
      </c>
      <c r="O26" s="99">
        <f t="shared" si="3"/>
        <v>1904.9999999999998</v>
      </c>
      <c r="P26" s="99">
        <f t="shared" si="4"/>
        <v>2098.9999999999995</v>
      </c>
      <c r="Q26" s="99">
        <f t="shared" si="5"/>
        <v>2305</v>
      </c>
    </row>
    <row r="27" spans="1:17" s="8" customFormat="1" ht="21" customHeight="1" x14ac:dyDescent="0.2">
      <c r="A27" s="345"/>
      <c r="B27" s="186" t="s">
        <v>10</v>
      </c>
      <c r="C27" s="93">
        <f t="shared" ref="C27:L27" si="10">C25+C26</f>
        <v>295.35399999999998</v>
      </c>
      <c r="D27" s="93">
        <f t="shared" si="10"/>
        <v>294.69799999999998</v>
      </c>
      <c r="E27" s="93">
        <f t="shared" si="10"/>
        <v>261.089</v>
      </c>
      <c r="F27" s="93">
        <f t="shared" si="10"/>
        <v>256.77100000000002</v>
      </c>
      <c r="G27" s="103">
        <f t="shared" si="10"/>
        <v>298.149</v>
      </c>
      <c r="H27" s="93">
        <f t="shared" si="10"/>
        <v>567.82799999999997</v>
      </c>
      <c r="I27" s="93">
        <f t="shared" si="10"/>
        <v>596.82424800000001</v>
      </c>
      <c r="J27" s="93">
        <f t="shared" si="10"/>
        <v>455.27562000000006</v>
      </c>
      <c r="K27" s="93">
        <f t="shared" si="10"/>
        <v>510.81097800000003</v>
      </c>
      <c r="L27" s="103">
        <f t="shared" si="10"/>
        <v>651.79188900000008</v>
      </c>
      <c r="M27" s="285">
        <f t="shared" si="1"/>
        <v>1922.5336376009805</v>
      </c>
      <c r="N27" s="285">
        <f t="shared" si="2"/>
        <v>2025.2063061167705</v>
      </c>
      <c r="O27" s="285">
        <f t="shared" si="3"/>
        <v>1743.7564202245214</v>
      </c>
      <c r="P27" s="285">
        <f t="shared" si="4"/>
        <v>1989.3639780193246</v>
      </c>
      <c r="Q27" s="285">
        <f t="shared" si="5"/>
        <v>2186.1280400068422</v>
      </c>
    </row>
    <row r="28" spans="1:17" ht="21" customHeight="1" x14ac:dyDescent="0.2">
      <c r="A28" s="373" t="s">
        <v>5</v>
      </c>
      <c r="B28" s="187" t="s">
        <v>8</v>
      </c>
      <c r="C28" s="97">
        <v>1263</v>
      </c>
      <c r="D28" s="76">
        <v>1183</v>
      </c>
      <c r="E28" s="76">
        <v>1231.2</v>
      </c>
      <c r="F28" s="76">
        <v>1287</v>
      </c>
      <c r="G28" s="302">
        <v>1532</v>
      </c>
      <c r="H28" s="97">
        <v>2989</v>
      </c>
      <c r="I28" s="76">
        <v>3393.5537999999997</v>
      </c>
      <c r="J28" s="76">
        <v>3391.9560000000001</v>
      </c>
      <c r="K28" s="76">
        <v>3740.0219999999999</v>
      </c>
      <c r="L28" s="96">
        <v>4674.1319999999996</v>
      </c>
      <c r="M28" s="99">
        <f t="shared" si="1"/>
        <v>2366.5874901029292</v>
      </c>
      <c r="N28" s="99">
        <f t="shared" si="2"/>
        <v>2868.6</v>
      </c>
      <c r="O28" s="99">
        <f t="shared" si="3"/>
        <v>2755</v>
      </c>
      <c r="P28" s="99">
        <f t="shared" si="4"/>
        <v>2906</v>
      </c>
      <c r="Q28" s="99">
        <f t="shared" si="5"/>
        <v>3050.9999999999995</v>
      </c>
    </row>
    <row r="29" spans="1:17" ht="21" customHeight="1" x14ac:dyDescent="0.2">
      <c r="A29" s="374"/>
      <c r="B29" s="187" t="s">
        <v>9</v>
      </c>
      <c r="C29" s="100">
        <v>107</v>
      </c>
      <c r="D29" s="76">
        <v>124</v>
      </c>
      <c r="E29" s="76">
        <v>108.3</v>
      </c>
      <c r="F29" s="76">
        <v>137</v>
      </c>
      <c r="G29" s="96">
        <v>194</v>
      </c>
      <c r="H29" s="100">
        <v>325</v>
      </c>
      <c r="I29" s="76">
        <v>460</v>
      </c>
      <c r="J29" s="76">
        <v>365.75</v>
      </c>
      <c r="K29" s="76">
        <v>518</v>
      </c>
      <c r="L29" s="96">
        <v>688</v>
      </c>
      <c r="M29" s="99">
        <f t="shared" si="1"/>
        <v>3037.3831775700933</v>
      </c>
      <c r="N29" s="99">
        <f t="shared" si="2"/>
        <v>3709.6774193548385</v>
      </c>
      <c r="O29" s="99">
        <f t="shared" si="3"/>
        <v>3377.1929824561403</v>
      </c>
      <c r="P29" s="99">
        <f t="shared" si="4"/>
        <v>3781.0218978102189</v>
      </c>
      <c r="Q29" s="99">
        <f t="shared" si="5"/>
        <v>3546.3917525773195</v>
      </c>
    </row>
    <row r="30" spans="1:17" s="8" customFormat="1" ht="21" customHeight="1" x14ac:dyDescent="0.2">
      <c r="A30" s="375"/>
      <c r="B30" s="186" t="s">
        <v>10</v>
      </c>
      <c r="C30" s="93">
        <f>C29+C28</f>
        <v>1370</v>
      </c>
      <c r="D30" s="93">
        <f>D29+D28</f>
        <v>1307</v>
      </c>
      <c r="E30" s="93">
        <f t="shared" ref="E30:L30" si="11">E29+E28</f>
        <v>1339.5</v>
      </c>
      <c r="F30" s="93">
        <f t="shared" si="11"/>
        <v>1424</v>
      </c>
      <c r="G30" s="103">
        <f t="shared" si="11"/>
        <v>1726</v>
      </c>
      <c r="H30" s="93">
        <f t="shared" si="11"/>
        <v>3314</v>
      </c>
      <c r="I30" s="93">
        <f t="shared" si="11"/>
        <v>3853.5537999999997</v>
      </c>
      <c r="J30" s="93">
        <f t="shared" si="11"/>
        <v>3757.7060000000001</v>
      </c>
      <c r="K30" s="93">
        <f t="shared" si="11"/>
        <v>4258.0219999999999</v>
      </c>
      <c r="L30" s="103">
        <f t="shared" si="11"/>
        <v>5362.1319999999996</v>
      </c>
      <c r="M30" s="285">
        <f t="shared" si="1"/>
        <v>2418.9781021897811</v>
      </c>
      <c r="N30" s="285">
        <f t="shared" si="2"/>
        <v>2948.3961744452945</v>
      </c>
      <c r="O30" s="285">
        <f t="shared" si="3"/>
        <v>2805.3049645390074</v>
      </c>
      <c r="P30" s="285">
        <f t="shared" si="4"/>
        <v>2990.1839887640449</v>
      </c>
      <c r="Q30" s="285">
        <f t="shared" si="5"/>
        <v>3106.6813441483196</v>
      </c>
    </row>
    <row r="31" spans="1:17" ht="21" customHeight="1" x14ac:dyDescent="0.2">
      <c r="A31" s="345" t="s">
        <v>17</v>
      </c>
      <c r="B31" s="187" t="s">
        <v>8</v>
      </c>
      <c r="C31" s="97">
        <v>6.5000000000000002E-2</v>
      </c>
      <c r="D31" s="76">
        <v>7.0699999999999999E-2</v>
      </c>
      <c r="E31" s="76">
        <v>3.1E-2</v>
      </c>
      <c r="F31" s="76">
        <v>3.5000000000000003E-2</v>
      </c>
      <c r="G31" s="302">
        <v>2.5999999999999999E-2</v>
      </c>
      <c r="H31" s="97">
        <v>6.8000000000000005E-2</v>
      </c>
      <c r="I31" s="76">
        <v>0.15900429999999999</v>
      </c>
      <c r="J31" s="76">
        <v>3.9710999999999996E-2</v>
      </c>
      <c r="K31" s="76">
        <v>4.5990000000000003E-2</v>
      </c>
      <c r="L31" s="96">
        <v>3.6997999999999996E-2</v>
      </c>
      <c r="M31" s="99">
        <f t="shared" si="1"/>
        <v>1046.1538461538462</v>
      </c>
      <c r="N31" s="99">
        <f t="shared" si="2"/>
        <v>2248.9999999999995</v>
      </c>
      <c r="O31" s="99">
        <f t="shared" si="3"/>
        <v>1281</v>
      </c>
      <c r="P31" s="99">
        <f t="shared" si="4"/>
        <v>1314</v>
      </c>
      <c r="Q31" s="99">
        <f t="shared" si="5"/>
        <v>1422.9999999999998</v>
      </c>
    </row>
    <row r="32" spans="1:17" ht="21" customHeight="1" x14ac:dyDescent="0.2">
      <c r="A32" s="345"/>
      <c r="B32" s="187" t="s">
        <v>9</v>
      </c>
      <c r="C32" s="76">
        <v>0</v>
      </c>
      <c r="D32" s="76"/>
      <c r="E32" s="76">
        <v>7.3300000000000004E-2</v>
      </c>
      <c r="F32" s="76">
        <v>7.8E-2</v>
      </c>
      <c r="G32" s="96">
        <v>8.199999999999999E-2</v>
      </c>
      <c r="H32" s="76">
        <v>0</v>
      </c>
      <c r="I32" s="76">
        <v>0</v>
      </c>
      <c r="J32" s="76">
        <v>0.10470000000000002</v>
      </c>
      <c r="K32" s="76">
        <v>9.4E-2</v>
      </c>
      <c r="L32" s="96">
        <v>7.8965999999999995E-2</v>
      </c>
      <c r="M32" s="99" t="e">
        <f t="shared" si="1"/>
        <v>#DIV/0!</v>
      </c>
      <c r="N32" s="99" t="e">
        <f t="shared" si="2"/>
        <v>#DIV/0!</v>
      </c>
      <c r="O32" s="99">
        <f t="shared" si="3"/>
        <v>1428.3765347885405</v>
      </c>
      <c r="P32" s="99">
        <f t="shared" si="4"/>
        <v>1205.1282051282051</v>
      </c>
      <c r="Q32" s="99">
        <f t="shared" si="5"/>
        <v>963.00000000000011</v>
      </c>
    </row>
    <row r="33" spans="1:17" s="8" customFormat="1" ht="21" customHeight="1" x14ac:dyDescent="0.2">
      <c r="A33" s="345"/>
      <c r="B33" s="187" t="s">
        <v>10</v>
      </c>
      <c r="C33" s="76">
        <f t="shared" ref="C33:L33" si="12">C32+C31</f>
        <v>6.5000000000000002E-2</v>
      </c>
      <c r="D33" s="76">
        <f t="shared" si="12"/>
        <v>7.0699999999999999E-2</v>
      </c>
      <c r="E33" s="76">
        <f t="shared" si="12"/>
        <v>0.1043</v>
      </c>
      <c r="F33" s="76">
        <f t="shared" si="12"/>
        <v>0.113</v>
      </c>
      <c r="G33" s="96">
        <f t="shared" si="12"/>
        <v>0.10799999999999998</v>
      </c>
      <c r="H33" s="76">
        <f t="shared" si="12"/>
        <v>6.8000000000000005E-2</v>
      </c>
      <c r="I33" s="76">
        <f t="shared" si="12"/>
        <v>0.15900429999999999</v>
      </c>
      <c r="J33" s="76">
        <f t="shared" si="12"/>
        <v>0.14441100000000001</v>
      </c>
      <c r="K33" s="76">
        <f t="shared" si="12"/>
        <v>0.13999</v>
      </c>
      <c r="L33" s="96">
        <f t="shared" si="12"/>
        <v>0.11596399999999998</v>
      </c>
      <c r="M33" s="99">
        <f t="shared" si="1"/>
        <v>1046.1538461538462</v>
      </c>
      <c r="N33" s="99">
        <f t="shared" si="2"/>
        <v>2248.9999999999995</v>
      </c>
      <c r="O33" s="99">
        <f t="shared" si="3"/>
        <v>1384.5733461169702</v>
      </c>
      <c r="P33" s="99">
        <f t="shared" si="4"/>
        <v>1238.8495575221239</v>
      </c>
      <c r="Q33" s="99">
        <f t="shared" si="5"/>
        <v>1073.7407407407406</v>
      </c>
    </row>
    <row r="34" spans="1:17" ht="21" customHeight="1" x14ac:dyDescent="0.2">
      <c r="A34" s="345" t="s">
        <v>6</v>
      </c>
      <c r="B34" s="187" t="s">
        <v>8</v>
      </c>
      <c r="C34" s="97">
        <v>1263</v>
      </c>
      <c r="D34" s="76">
        <v>1317</v>
      </c>
      <c r="E34" s="76">
        <v>1256</v>
      </c>
      <c r="F34" s="76">
        <v>1383</v>
      </c>
      <c r="G34" s="302">
        <v>1383</v>
      </c>
      <c r="H34" s="97">
        <v>3264.855</v>
      </c>
      <c r="I34" s="76">
        <v>3404.4450000000002</v>
      </c>
      <c r="J34" s="76">
        <v>4089.5360000000001</v>
      </c>
      <c r="K34" s="76">
        <v>3985.806</v>
      </c>
      <c r="L34" s="180">
        <v>3793.569</v>
      </c>
      <c r="M34" s="99">
        <f t="shared" si="1"/>
        <v>2585</v>
      </c>
      <c r="N34" s="99">
        <f t="shared" si="2"/>
        <v>2585</v>
      </c>
      <c r="O34" s="99">
        <f t="shared" si="3"/>
        <v>3256</v>
      </c>
      <c r="P34" s="99">
        <f t="shared" si="4"/>
        <v>2882</v>
      </c>
      <c r="Q34" s="99">
        <f t="shared" si="5"/>
        <v>2743</v>
      </c>
    </row>
    <row r="35" spans="1:17" ht="21" customHeight="1" x14ac:dyDescent="0.2">
      <c r="A35" s="345"/>
      <c r="B35" s="187" t="s">
        <v>9</v>
      </c>
      <c r="C35" s="97">
        <v>21</v>
      </c>
      <c r="D35" s="76">
        <v>36</v>
      </c>
      <c r="E35" s="76">
        <v>11</v>
      </c>
      <c r="F35" s="76">
        <v>21</v>
      </c>
      <c r="G35" s="180">
        <v>22</v>
      </c>
      <c r="H35" s="97">
        <v>76</v>
      </c>
      <c r="I35" s="76">
        <v>133</v>
      </c>
      <c r="J35" s="76">
        <v>41.899000000000001</v>
      </c>
      <c r="K35" s="76">
        <v>83.978999999999999</v>
      </c>
      <c r="L35" s="180">
        <v>87.977999999999994</v>
      </c>
      <c r="M35" s="99">
        <f t="shared" si="1"/>
        <v>3619.0476190476193</v>
      </c>
      <c r="N35" s="99">
        <f t="shared" si="2"/>
        <v>3694.4444444444448</v>
      </c>
      <c r="O35" s="99">
        <f t="shared" si="3"/>
        <v>3809</v>
      </c>
      <c r="P35" s="99">
        <f t="shared" si="4"/>
        <v>3999</v>
      </c>
      <c r="Q35" s="99">
        <f t="shared" si="5"/>
        <v>3998.9999999999995</v>
      </c>
    </row>
    <row r="36" spans="1:17" ht="21" customHeight="1" x14ac:dyDescent="0.2">
      <c r="A36" s="345"/>
      <c r="B36" s="187" t="s">
        <v>10</v>
      </c>
      <c r="C36" s="101">
        <f t="shared" ref="C36:L36" si="13">C35+C34</f>
        <v>1284</v>
      </c>
      <c r="D36" s="101">
        <f t="shared" si="13"/>
        <v>1353</v>
      </c>
      <c r="E36" s="101">
        <f t="shared" si="13"/>
        <v>1267</v>
      </c>
      <c r="F36" s="101">
        <f t="shared" si="13"/>
        <v>1404</v>
      </c>
      <c r="G36" s="331">
        <f t="shared" si="13"/>
        <v>1405</v>
      </c>
      <c r="H36" s="101">
        <f t="shared" si="13"/>
        <v>3340.855</v>
      </c>
      <c r="I36" s="101">
        <f t="shared" si="13"/>
        <v>3537.4450000000002</v>
      </c>
      <c r="J36" s="101">
        <f t="shared" si="13"/>
        <v>4131.4350000000004</v>
      </c>
      <c r="K36" s="101">
        <f t="shared" si="13"/>
        <v>4069.7849999999999</v>
      </c>
      <c r="L36" s="331">
        <f t="shared" si="13"/>
        <v>3881.547</v>
      </c>
      <c r="M36" s="285">
        <f t="shared" si="1"/>
        <v>2601.9119937694704</v>
      </c>
      <c r="N36" s="285">
        <f t="shared" si="2"/>
        <v>2614.5195861049519</v>
      </c>
      <c r="O36" s="285">
        <f t="shared" si="3"/>
        <v>3260.8011049723759</v>
      </c>
      <c r="P36" s="285">
        <f t="shared" si="4"/>
        <v>2898.7072649572651</v>
      </c>
      <c r="Q36" s="285">
        <f t="shared" si="5"/>
        <v>2762.6669039145904</v>
      </c>
    </row>
    <row r="37" spans="1:17" ht="21" customHeight="1" x14ac:dyDescent="0.2">
      <c r="A37" s="345" t="s">
        <v>7</v>
      </c>
      <c r="B37" s="187" t="s">
        <v>8</v>
      </c>
      <c r="C37" s="97">
        <v>752.4</v>
      </c>
      <c r="D37" s="76">
        <v>695</v>
      </c>
      <c r="E37" s="76">
        <v>708</v>
      </c>
      <c r="F37" s="76">
        <v>771.71</v>
      </c>
      <c r="G37" s="302">
        <v>789</v>
      </c>
      <c r="H37" s="97">
        <v>2442.2903999999999</v>
      </c>
      <c r="I37" s="76">
        <v>2165.62</v>
      </c>
      <c r="J37" s="76">
        <v>1365.0239999999999</v>
      </c>
      <c r="K37" s="76">
        <v>1051.8407299999999</v>
      </c>
      <c r="L37" s="96">
        <v>2557.1489999999999</v>
      </c>
      <c r="M37" s="99">
        <f t="shared" si="1"/>
        <v>3246</v>
      </c>
      <c r="N37" s="99">
        <f t="shared" si="2"/>
        <v>3115.9999999999995</v>
      </c>
      <c r="O37" s="99">
        <f t="shared" si="3"/>
        <v>1928</v>
      </c>
      <c r="P37" s="99">
        <f t="shared" si="4"/>
        <v>1362.9999999999998</v>
      </c>
      <c r="Q37" s="99">
        <f t="shared" si="5"/>
        <v>3240.9999999999995</v>
      </c>
    </row>
    <row r="38" spans="1:17" ht="21" customHeight="1" x14ac:dyDescent="0.2">
      <c r="A38" s="345"/>
      <c r="B38" s="187" t="s">
        <v>9</v>
      </c>
      <c r="C38" s="100">
        <v>395.1</v>
      </c>
      <c r="D38" s="76">
        <v>369</v>
      </c>
      <c r="E38" s="76">
        <v>218.53</v>
      </c>
      <c r="F38" s="76">
        <v>354.94</v>
      </c>
      <c r="G38" s="96">
        <v>393.24</v>
      </c>
      <c r="H38" s="100">
        <v>1010.6658</v>
      </c>
      <c r="I38" s="76">
        <v>885.71070000000009</v>
      </c>
      <c r="J38" s="76">
        <v>400.55</v>
      </c>
      <c r="K38" s="76">
        <v>908.30000000000007</v>
      </c>
      <c r="L38" s="333">
        <v>963.04476</v>
      </c>
      <c r="M38" s="99">
        <f t="shared" si="1"/>
        <v>2558</v>
      </c>
      <c r="N38" s="99">
        <f t="shared" si="2"/>
        <v>2400.3000000000002</v>
      </c>
      <c r="O38" s="99">
        <f t="shared" si="3"/>
        <v>1832.9291172836681</v>
      </c>
      <c r="P38" s="99">
        <f t="shared" si="4"/>
        <v>2559.0240604045757</v>
      </c>
      <c r="Q38" s="99">
        <f t="shared" si="5"/>
        <v>2449</v>
      </c>
    </row>
    <row r="39" spans="1:17" s="8" customFormat="1" ht="21" customHeight="1" x14ac:dyDescent="0.2">
      <c r="A39" s="345"/>
      <c r="B39" s="186" t="s">
        <v>10</v>
      </c>
      <c r="C39" s="93">
        <f t="shared" ref="C39:L39" si="14">C37+C38</f>
        <v>1147.5</v>
      </c>
      <c r="D39" s="93">
        <f t="shared" si="14"/>
        <v>1064</v>
      </c>
      <c r="E39" s="93">
        <f t="shared" si="14"/>
        <v>926.53</v>
      </c>
      <c r="F39" s="93">
        <f t="shared" si="14"/>
        <v>1126.6500000000001</v>
      </c>
      <c r="G39" s="103">
        <f t="shared" si="14"/>
        <v>1182.24</v>
      </c>
      <c r="H39" s="93">
        <f t="shared" si="14"/>
        <v>3452.9561999999996</v>
      </c>
      <c r="I39" s="93">
        <f t="shared" si="14"/>
        <v>3051.3307</v>
      </c>
      <c r="J39" s="93">
        <f t="shared" si="14"/>
        <v>1765.5739999999998</v>
      </c>
      <c r="K39" s="93">
        <f t="shared" si="14"/>
        <v>1960.1407300000001</v>
      </c>
      <c r="L39" s="103">
        <f t="shared" si="14"/>
        <v>3520.1937600000001</v>
      </c>
      <c r="M39" s="285">
        <f t="shared" si="1"/>
        <v>3009.1121568627445</v>
      </c>
      <c r="N39" s="285">
        <f t="shared" si="2"/>
        <v>2867.7920112781953</v>
      </c>
      <c r="O39" s="285">
        <f t="shared" si="3"/>
        <v>1905.5767217467323</v>
      </c>
      <c r="P39" s="285">
        <f t="shared" si="4"/>
        <v>1739.7956153197531</v>
      </c>
      <c r="Q39" s="285">
        <f t="shared" si="5"/>
        <v>2977.5627283800245</v>
      </c>
    </row>
    <row r="40" spans="1:17" ht="21" customHeight="1" x14ac:dyDescent="0.2">
      <c r="A40" s="345" t="s">
        <v>29</v>
      </c>
      <c r="B40" s="187" t="s">
        <v>8</v>
      </c>
      <c r="C40" s="98">
        <v>0</v>
      </c>
      <c r="D40" s="76">
        <v>0</v>
      </c>
      <c r="E40" s="76">
        <v>0</v>
      </c>
      <c r="F40" s="76">
        <v>2.2168000000000001</v>
      </c>
      <c r="G40" s="96">
        <v>18.510000000000002</v>
      </c>
      <c r="H40" s="98">
        <v>0</v>
      </c>
      <c r="I40" s="76">
        <v>0</v>
      </c>
      <c r="J40" s="76">
        <v>0</v>
      </c>
      <c r="K40" s="76">
        <v>4.9390304000000009</v>
      </c>
      <c r="L40" s="96">
        <v>43.720620000000004</v>
      </c>
      <c r="M40" s="99" t="e">
        <f t="shared" si="1"/>
        <v>#DIV/0!</v>
      </c>
      <c r="N40" s="99" t="e">
        <f t="shared" si="2"/>
        <v>#DIV/0!</v>
      </c>
      <c r="O40" s="99" t="e">
        <f t="shared" si="3"/>
        <v>#DIV/0!</v>
      </c>
      <c r="P40" s="99">
        <f t="shared" si="4"/>
        <v>2228</v>
      </c>
      <c r="Q40" s="99">
        <f t="shared" si="5"/>
        <v>2362</v>
      </c>
    </row>
    <row r="41" spans="1:17" ht="21" customHeight="1" x14ac:dyDescent="0.2">
      <c r="A41" s="345"/>
      <c r="B41" s="187" t="s">
        <v>9</v>
      </c>
      <c r="C41" s="100">
        <v>26.8</v>
      </c>
      <c r="D41" s="76">
        <v>26.93</v>
      </c>
      <c r="E41" s="76">
        <v>26.38</v>
      </c>
      <c r="F41" s="76">
        <v>0</v>
      </c>
      <c r="G41" s="96">
        <v>7.02</v>
      </c>
      <c r="H41" s="100">
        <v>58.8</v>
      </c>
      <c r="I41" s="76">
        <v>63.096989999999998</v>
      </c>
      <c r="J41" s="76">
        <v>58.167899999999996</v>
      </c>
      <c r="K41" s="76">
        <v>0</v>
      </c>
      <c r="L41" s="333">
        <v>16.012619999999998</v>
      </c>
      <c r="M41" s="99">
        <f t="shared" si="1"/>
        <v>2194.0298507462685</v>
      </c>
      <c r="N41" s="99">
        <f t="shared" si="2"/>
        <v>2343</v>
      </c>
      <c r="O41" s="99">
        <f t="shared" si="3"/>
        <v>2205</v>
      </c>
      <c r="P41" s="99" t="e">
        <f t="shared" si="4"/>
        <v>#DIV/0!</v>
      </c>
      <c r="Q41" s="99">
        <f t="shared" si="5"/>
        <v>2280.9999999999995</v>
      </c>
    </row>
    <row r="42" spans="1:17" s="8" customFormat="1" ht="21" customHeight="1" x14ac:dyDescent="0.2">
      <c r="A42" s="345"/>
      <c r="B42" s="187" t="s">
        <v>10</v>
      </c>
      <c r="C42" s="76">
        <f t="shared" ref="C42:L42" si="15">C40+C41</f>
        <v>26.8</v>
      </c>
      <c r="D42" s="76">
        <f t="shared" si="15"/>
        <v>26.93</v>
      </c>
      <c r="E42" s="76">
        <f t="shared" si="15"/>
        <v>26.38</v>
      </c>
      <c r="F42" s="76">
        <f t="shared" si="15"/>
        <v>2.2168000000000001</v>
      </c>
      <c r="G42" s="96">
        <f t="shared" si="15"/>
        <v>25.53</v>
      </c>
      <c r="H42" s="76">
        <f t="shared" si="15"/>
        <v>58.8</v>
      </c>
      <c r="I42" s="76">
        <f t="shared" si="15"/>
        <v>63.096989999999998</v>
      </c>
      <c r="J42" s="76">
        <f t="shared" si="15"/>
        <v>58.167899999999996</v>
      </c>
      <c r="K42" s="76">
        <f t="shared" si="15"/>
        <v>4.9390304000000009</v>
      </c>
      <c r="L42" s="96">
        <f t="shared" si="15"/>
        <v>59.733240000000002</v>
      </c>
      <c r="M42" s="99">
        <f t="shared" si="1"/>
        <v>2194.0298507462685</v>
      </c>
      <c r="N42" s="99">
        <f t="shared" si="2"/>
        <v>2343</v>
      </c>
      <c r="O42" s="99">
        <f t="shared" si="3"/>
        <v>2205</v>
      </c>
      <c r="P42" s="99">
        <f t="shared" si="4"/>
        <v>2228</v>
      </c>
      <c r="Q42" s="99">
        <f t="shared" si="5"/>
        <v>2339.7273795534661</v>
      </c>
    </row>
    <row r="43" spans="1:17" ht="21" customHeight="1" x14ac:dyDescent="0.2">
      <c r="A43" s="198" t="s">
        <v>26</v>
      </c>
      <c r="B43" s="187" t="s">
        <v>8</v>
      </c>
      <c r="C43" s="97">
        <v>18.13</v>
      </c>
      <c r="D43" s="76">
        <v>18.152000000000001</v>
      </c>
      <c r="E43" s="76">
        <v>18.163</v>
      </c>
      <c r="F43" s="76">
        <v>18.170000000000002</v>
      </c>
      <c r="G43" s="96">
        <v>18.184999999999999</v>
      </c>
      <c r="H43" s="97">
        <v>41.54</v>
      </c>
      <c r="I43" s="76">
        <v>41.622535999999997</v>
      </c>
      <c r="J43" s="76">
        <v>41.665922000000002</v>
      </c>
      <c r="K43" s="76">
        <v>41.754660000000001</v>
      </c>
      <c r="L43" s="96">
        <v>41.825499999999998</v>
      </c>
      <c r="M43" s="99">
        <f t="shared" si="1"/>
        <v>2291.2300055157198</v>
      </c>
      <c r="N43" s="99">
        <f t="shared" si="2"/>
        <v>2292.9999999999995</v>
      </c>
      <c r="O43" s="99">
        <f t="shared" si="3"/>
        <v>2294</v>
      </c>
      <c r="P43" s="99">
        <f t="shared" si="4"/>
        <v>2298</v>
      </c>
      <c r="Q43" s="99">
        <f t="shared" si="5"/>
        <v>2300.0000000000005</v>
      </c>
    </row>
    <row r="44" spans="1:17" ht="21" customHeight="1" x14ac:dyDescent="0.2">
      <c r="A44" s="92"/>
      <c r="B44" s="15"/>
      <c r="C44" s="114"/>
      <c r="D44" s="114"/>
      <c r="E44" s="94"/>
      <c r="F44" s="94"/>
      <c r="G44" s="94"/>
      <c r="H44" s="114"/>
      <c r="I44" s="114"/>
      <c r="J44" s="94"/>
      <c r="K44" s="94"/>
      <c r="L44" s="94"/>
      <c r="M44" s="95"/>
      <c r="N44" s="35" t="s">
        <v>31</v>
      </c>
      <c r="O44" s="95"/>
      <c r="P44" s="95"/>
      <c r="Q44" s="95"/>
    </row>
    <row r="45" spans="1:17" ht="21" customHeight="1" x14ac:dyDescent="0.2">
      <c r="A45" s="92"/>
      <c r="B45" s="15"/>
      <c r="C45" s="114"/>
      <c r="D45" s="114"/>
      <c r="E45" s="94"/>
      <c r="F45" s="94"/>
      <c r="G45" s="94"/>
      <c r="H45" s="114"/>
      <c r="I45" s="114"/>
      <c r="J45" s="94"/>
      <c r="K45" s="94"/>
      <c r="L45" s="94"/>
      <c r="M45" s="95"/>
      <c r="N45" s="35"/>
      <c r="O45" s="95"/>
      <c r="P45" s="95"/>
      <c r="Q45" s="95"/>
    </row>
    <row r="46" spans="1:17" ht="17.25" customHeight="1" x14ac:dyDescent="0.2">
      <c r="A46" s="92"/>
      <c r="B46" s="15"/>
      <c r="C46" s="12"/>
      <c r="D46" s="12"/>
      <c r="E46" s="77"/>
      <c r="F46" s="77"/>
      <c r="G46" s="77"/>
      <c r="H46" s="12"/>
      <c r="I46" s="12"/>
      <c r="J46" s="77"/>
      <c r="K46" s="77"/>
      <c r="L46" s="77"/>
      <c r="M46" s="37"/>
      <c r="N46" s="37"/>
      <c r="O46" s="37"/>
      <c r="P46" s="37"/>
      <c r="Q46" s="37"/>
    </row>
    <row r="47" spans="1:17" ht="21" customHeight="1" x14ac:dyDescent="0.2">
      <c r="A47" s="364" t="s">
        <v>1</v>
      </c>
      <c r="B47" s="376" t="s">
        <v>0</v>
      </c>
      <c r="C47" s="342" t="s">
        <v>174</v>
      </c>
      <c r="D47" s="342"/>
      <c r="E47" s="342"/>
      <c r="F47" s="342"/>
      <c r="G47" s="342"/>
      <c r="H47" s="342" t="s">
        <v>68</v>
      </c>
      <c r="I47" s="342"/>
      <c r="J47" s="342"/>
      <c r="K47" s="342"/>
      <c r="L47" s="342"/>
      <c r="M47" s="342" t="s">
        <v>89</v>
      </c>
      <c r="N47" s="342"/>
      <c r="O47" s="342"/>
      <c r="P47" s="342"/>
      <c r="Q47" s="342"/>
    </row>
    <row r="48" spans="1:17" ht="15.75" customHeight="1" x14ac:dyDescent="0.2">
      <c r="A48" s="364"/>
      <c r="B48" s="376"/>
      <c r="C48" s="271" t="s">
        <v>112</v>
      </c>
      <c r="D48" s="271" t="s">
        <v>164</v>
      </c>
      <c r="E48" s="271" t="s">
        <v>199</v>
      </c>
      <c r="F48" s="271" t="s">
        <v>200</v>
      </c>
      <c r="G48" s="273" t="s">
        <v>202</v>
      </c>
      <c r="H48" s="271" t="s">
        <v>112</v>
      </c>
      <c r="I48" s="271" t="s">
        <v>164</v>
      </c>
      <c r="J48" s="271" t="s">
        <v>199</v>
      </c>
      <c r="K48" s="271" t="s">
        <v>200</v>
      </c>
      <c r="L48" s="273" t="s">
        <v>202</v>
      </c>
      <c r="M48" s="271" t="s">
        <v>112</v>
      </c>
      <c r="N48" s="271" t="s">
        <v>164</v>
      </c>
      <c r="O48" s="271" t="s">
        <v>199</v>
      </c>
      <c r="P48" s="271" t="s">
        <v>200</v>
      </c>
      <c r="Q48" s="273" t="s">
        <v>202</v>
      </c>
    </row>
    <row r="49" spans="1:17" ht="13.5" customHeight="1" x14ac:dyDescent="0.2">
      <c r="A49" s="185">
        <v>1</v>
      </c>
      <c r="B49" s="185">
        <v>2</v>
      </c>
      <c r="C49" s="230">
        <v>3</v>
      </c>
      <c r="D49" s="230">
        <v>4</v>
      </c>
      <c r="E49" s="230">
        <v>5</v>
      </c>
      <c r="F49" s="230">
        <v>6</v>
      </c>
      <c r="G49" s="230">
        <v>7</v>
      </c>
      <c r="H49" s="230">
        <v>8</v>
      </c>
      <c r="I49" s="230">
        <v>9</v>
      </c>
      <c r="J49" s="230">
        <v>10</v>
      </c>
      <c r="K49" s="230">
        <v>11</v>
      </c>
      <c r="L49" s="230">
        <v>12</v>
      </c>
      <c r="M49" s="230">
        <v>13</v>
      </c>
      <c r="N49" s="230">
        <v>14</v>
      </c>
      <c r="O49" s="230">
        <v>15</v>
      </c>
      <c r="P49" s="230">
        <v>16</v>
      </c>
      <c r="Q49" s="230">
        <v>17</v>
      </c>
    </row>
    <row r="50" spans="1:17" ht="20.100000000000001" customHeight="1" x14ac:dyDescent="0.2">
      <c r="A50" s="345" t="s">
        <v>30</v>
      </c>
      <c r="B50" s="187" t="s">
        <v>8</v>
      </c>
      <c r="C50" s="97">
        <v>5.4809999999999999</v>
      </c>
      <c r="D50" s="76">
        <v>5.4740000000000002</v>
      </c>
      <c r="E50" s="76">
        <v>5.7329999999999997</v>
      </c>
      <c r="F50" s="76">
        <v>5.86</v>
      </c>
      <c r="G50" s="96">
        <v>6.4279999999999999</v>
      </c>
      <c r="H50" s="97">
        <v>8.4429999999999996</v>
      </c>
      <c r="I50" s="76">
        <v>8.7856999999999985</v>
      </c>
      <c r="J50" s="76">
        <v>10.3</v>
      </c>
      <c r="K50" s="76">
        <v>10.3</v>
      </c>
      <c r="L50" s="74">
        <v>11.724672</v>
      </c>
      <c r="M50" s="99">
        <f>H50/C50*1000</f>
        <v>1540.4123335157817</v>
      </c>
      <c r="N50" s="99">
        <f t="shared" ref="N50:Q50" si="16">I50/D50*1000</f>
        <v>1604.9872122762144</v>
      </c>
      <c r="O50" s="99">
        <f t="shared" si="16"/>
        <v>1796.6160823303683</v>
      </c>
      <c r="P50" s="99">
        <f t="shared" si="16"/>
        <v>1757.679180887372</v>
      </c>
      <c r="Q50" s="99">
        <f t="shared" si="16"/>
        <v>1824</v>
      </c>
    </row>
    <row r="51" spans="1:17" ht="20.100000000000001" customHeight="1" x14ac:dyDescent="0.2">
      <c r="A51" s="345"/>
      <c r="B51" s="187" t="s">
        <v>9</v>
      </c>
      <c r="C51" s="100">
        <v>0.29799999999999999</v>
      </c>
      <c r="D51" s="76">
        <v>0.50519999999999998</v>
      </c>
      <c r="E51" s="76">
        <v>0.43</v>
      </c>
      <c r="F51" s="76">
        <v>0.49299999999999999</v>
      </c>
      <c r="G51" s="96">
        <v>0.51800000000000002</v>
      </c>
      <c r="H51" s="100">
        <v>0.46800000000000003</v>
      </c>
      <c r="I51" s="76">
        <v>0.68459999999999988</v>
      </c>
      <c r="J51" s="76">
        <v>0.67</v>
      </c>
      <c r="K51" s="76">
        <v>0.67</v>
      </c>
      <c r="L51" s="324">
        <v>0.82983600000000002</v>
      </c>
      <c r="M51" s="99">
        <f t="shared" ref="M51:M92" si="17">H51/C51*1000</f>
        <v>1570.4697986577182</v>
      </c>
      <c r="N51" s="99">
        <f t="shared" ref="N51:N92" si="18">I51/D51*1000</f>
        <v>1355.1068883610449</v>
      </c>
      <c r="O51" s="99">
        <f t="shared" ref="O51:O92" si="19">J51/E51*1000</f>
        <v>1558.1395348837211</v>
      </c>
      <c r="P51" s="99">
        <f t="shared" ref="P51:P92" si="20">K51/F51*1000</f>
        <v>1359.026369168357</v>
      </c>
      <c r="Q51" s="99">
        <f t="shared" ref="Q51:Q92" si="21">L51/G51*1000</f>
        <v>1602</v>
      </c>
    </row>
    <row r="52" spans="1:17" s="8" customFormat="1" ht="20.100000000000001" customHeight="1" x14ac:dyDescent="0.2">
      <c r="A52" s="345"/>
      <c r="B52" s="187" t="s">
        <v>10</v>
      </c>
      <c r="C52" s="76">
        <f t="shared" ref="C52:L52" si="22">C50+C51</f>
        <v>5.7789999999999999</v>
      </c>
      <c r="D52" s="76">
        <f t="shared" si="22"/>
        <v>5.9792000000000005</v>
      </c>
      <c r="E52" s="76">
        <f t="shared" si="22"/>
        <v>6.1629999999999994</v>
      </c>
      <c r="F52" s="76">
        <f t="shared" si="22"/>
        <v>6.3530000000000006</v>
      </c>
      <c r="G52" s="96">
        <f t="shared" si="22"/>
        <v>6.9459999999999997</v>
      </c>
      <c r="H52" s="76">
        <f t="shared" si="22"/>
        <v>8.9109999999999996</v>
      </c>
      <c r="I52" s="76">
        <f t="shared" si="22"/>
        <v>9.4702999999999982</v>
      </c>
      <c r="J52" s="76">
        <f t="shared" si="22"/>
        <v>10.97</v>
      </c>
      <c r="K52" s="76">
        <f t="shared" si="22"/>
        <v>10.97</v>
      </c>
      <c r="L52" s="76">
        <f t="shared" si="22"/>
        <v>12.554508</v>
      </c>
      <c r="M52" s="99">
        <f t="shared" si="17"/>
        <v>1541.9622772105902</v>
      </c>
      <c r="N52" s="99">
        <f t="shared" si="18"/>
        <v>1583.8740968691459</v>
      </c>
      <c r="O52" s="99">
        <f t="shared" si="19"/>
        <v>1779.977283790362</v>
      </c>
      <c r="P52" s="99">
        <f t="shared" si="20"/>
        <v>1726.7432708956399</v>
      </c>
      <c r="Q52" s="99">
        <f t="shared" si="21"/>
        <v>1807.4442844802766</v>
      </c>
    </row>
    <row r="53" spans="1:17" ht="20.100000000000001" customHeight="1" x14ac:dyDescent="0.2">
      <c r="A53" s="345" t="s">
        <v>20</v>
      </c>
      <c r="B53" s="187" t="s">
        <v>8</v>
      </c>
      <c r="C53" s="97">
        <v>63.66</v>
      </c>
      <c r="D53" s="76">
        <v>63.68</v>
      </c>
      <c r="E53" s="76">
        <v>63.71</v>
      </c>
      <c r="F53" s="76">
        <v>63.74</v>
      </c>
      <c r="G53" s="96">
        <v>63.77</v>
      </c>
      <c r="H53" s="97">
        <v>126.04</v>
      </c>
      <c r="I53" s="76">
        <v>126.21375999999999</v>
      </c>
      <c r="J53" s="76">
        <v>126.27321999999999</v>
      </c>
      <c r="K53" s="76">
        <v>126.46016</v>
      </c>
      <c r="L53" s="96">
        <v>126.77476000000001</v>
      </c>
      <c r="M53" s="99">
        <f t="shared" si="17"/>
        <v>1979.8931825322027</v>
      </c>
      <c r="N53" s="99">
        <f t="shared" si="18"/>
        <v>1982</v>
      </c>
      <c r="O53" s="99">
        <f t="shared" si="19"/>
        <v>1982</v>
      </c>
      <c r="P53" s="99">
        <f t="shared" si="20"/>
        <v>1984</v>
      </c>
      <c r="Q53" s="99">
        <f t="shared" si="21"/>
        <v>1988.0000000000002</v>
      </c>
    </row>
    <row r="54" spans="1:17" ht="20.100000000000001" customHeight="1" x14ac:dyDescent="0.2">
      <c r="A54" s="345"/>
      <c r="B54" s="187" t="s">
        <v>9</v>
      </c>
      <c r="C54" s="100">
        <v>5.3</v>
      </c>
      <c r="D54" s="76">
        <v>5.33</v>
      </c>
      <c r="E54" s="76">
        <v>5.36</v>
      </c>
      <c r="F54" s="76">
        <v>5.39</v>
      </c>
      <c r="G54" s="96">
        <v>5.42</v>
      </c>
      <c r="H54" s="100">
        <v>10.5</v>
      </c>
      <c r="I54" s="76">
        <v>10.558729999999999</v>
      </c>
      <c r="J54" s="76">
        <v>10.628880000000001</v>
      </c>
      <c r="K54" s="76">
        <v>10.699149999999999</v>
      </c>
      <c r="L54" s="333">
        <v>10.758700000000001</v>
      </c>
      <c r="M54" s="99">
        <f t="shared" si="17"/>
        <v>1981.132075471698</v>
      </c>
      <c r="N54" s="99">
        <f t="shared" si="18"/>
        <v>1980.9999999999995</v>
      </c>
      <c r="O54" s="99">
        <f t="shared" si="19"/>
        <v>1982.9999999999998</v>
      </c>
      <c r="P54" s="99">
        <f t="shared" si="20"/>
        <v>1985</v>
      </c>
      <c r="Q54" s="99">
        <f t="shared" si="21"/>
        <v>1985.0000000000002</v>
      </c>
    </row>
    <row r="55" spans="1:17" s="8" customFormat="1" ht="20.100000000000001" customHeight="1" x14ac:dyDescent="0.2">
      <c r="A55" s="345"/>
      <c r="B55" s="187" t="s">
        <v>10</v>
      </c>
      <c r="C55" s="76">
        <v>68.959999999999994</v>
      </c>
      <c r="D55" s="76">
        <f t="shared" ref="D55:L55" si="23">D53+D54</f>
        <v>69.010000000000005</v>
      </c>
      <c r="E55" s="76">
        <f t="shared" si="23"/>
        <v>69.070000000000007</v>
      </c>
      <c r="F55" s="76">
        <f t="shared" si="23"/>
        <v>69.13</v>
      </c>
      <c r="G55" s="96">
        <f t="shared" si="23"/>
        <v>69.19</v>
      </c>
      <c r="H55" s="76">
        <f t="shared" si="23"/>
        <v>136.54000000000002</v>
      </c>
      <c r="I55" s="76">
        <f t="shared" si="23"/>
        <v>136.77249</v>
      </c>
      <c r="J55" s="76">
        <f t="shared" si="23"/>
        <v>136.90209999999999</v>
      </c>
      <c r="K55" s="76">
        <f t="shared" si="23"/>
        <v>137.15931</v>
      </c>
      <c r="L55" s="96">
        <f t="shared" si="23"/>
        <v>137.53346000000002</v>
      </c>
      <c r="M55" s="99">
        <f t="shared" si="17"/>
        <v>1979.9883990719263</v>
      </c>
      <c r="N55" s="99">
        <f t="shared" si="18"/>
        <v>1981.922764816693</v>
      </c>
      <c r="O55" s="99">
        <f t="shared" si="19"/>
        <v>1982.0776024323147</v>
      </c>
      <c r="P55" s="99">
        <f t="shared" si="20"/>
        <v>1984.0779690438305</v>
      </c>
      <c r="Q55" s="99">
        <f t="shared" si="21"/>
        <v>1987.7649949414661</v>
      </c>
    </row>
    <row r="56" spans="1:17" ht="20.100000000000001" customHeight="1" x14ac:dyDescent="0.2">
      <c r="A56" s="345" t="s">
        <v>107</v>
      </c>
      <c r="B56" s="187" t="s">
        <v>8</v>
      </c>
      <c r="C56" s="97">
        <v>69.8</v>
      </c>
      <c r="D56" s="76">
        <v>44.809999999999995</v>
      </c>
      <c r="E56" s="76">
        <v>49.2</v>
      </c>
      <c r="F56" s="76">
        <v>61.14</v>
      </c>
      <c r="G56" s="302">
        <v>75.31</v>
      </c>
      <c r="H56" s="97">
        <v>197.13</v>
      </c>
      <c r="I56" s="76">
        <v>112.15</v>
      </c>
      <c r="J56" s="76">
        <v>113.49999999999999</v>
      </c>
      <c r="K56" s="76">
        <v>175.89</v>
      </c>
      <c r="L56" s="96">
        <v>219.82989000000001</v>
      </c>
      <c r="M56" s="99">
        <f t="shared" si="17"/>
        <v>2824.2120343839542</v>
      </c>
      <c r="N56" s="99">
        <f t="shared" si="18"/>
        <v>2502.7895559027006</v>
      </c>
      <c r="O56" s="99">
        <f t="shared" si="19"/>
        <v>2306.9105691056907</v>
      </c>
      <c r="P56" s="99">
        <f t="shared" si="20"/>
        <v>2876.8400392541707</v>
      </c>
      <c r="Q56" s="99">
        <f t="shared" si="21"/>
        <v>2919</v>
      </c>
    </row>
    <row r="57" spans="1:17" ht="20.100000000000001" customHeight="1" x14ac:dyDescent="0.2">
      <c r="A57" s="345"/>
      <c r="B57" s="187" t="s">
        <v>9</v>
      </c>
      <c r="C57" s="100">
        <v>2.59</v>
      </c>
      <c r="D57" s="76">
        <v>2.13</v>
      </c>
      <c r="E57" s="76">
        <v>2.86</v>
      </c>
      <c r="F57" s="76">
        <v>3.93</v>
      </c>
      <c r="G57" s="302">
        <v>2.61</v>
      </c>
      <c r="H57" s="100">
        <v>7.54</v>
      </c>
      <c r="I57" s="76">
        <v>5.7957299999999998</v>
      </c>
      <c r="J57" s="76">
        <v>7.464599999999999</v>
      </c>
      <c r="K57" s="76">
        <v>13.098690000000001</v>
      </c>
      <c r="L57" s="96">
        <v>6.82254</v>
      </c>
      <c r="M57" s="99">
        <f t="shared" si="17"/>
        <v>2911.1969111969111</v>
      </c>
      <c r="N57" s="99">
        <f t="shared" si="18"/>
        <v>2721</v>
      </c>
      <c r="O57" s="99">
        <f t="shared" si="19"/>
        <v>2610</v>
      </c>
      <c r="P57" s="99">
        <f t="shared" si="20"/>
        <v>3333</v>
      </c>
      <c r="Q57" s="99">
        <f t="shared" si="21"/>
        <v>2614.0000000000005</v>
      </c>
    </row>
    <row r="58" spans="1:17" ht="20.100000000000001" customHeight="1" x14ac:dyDescent="0.2">
      <c r="A58" s="345"/>
      <c r="B58" s="187" t="s">
        <v>10</v>
      </c>
      <c r="C58" s="76">
        <f t="shared" ref="C58:L58" si="24">C56+C57</f>
        <v>72.39</v>
      </c>
      <c r="D58" s="76">
        <f t="shared" si="24"/>
        <v>46.94</v>
      </c>
      <c r="E58" s="76">
        <f t="shared" si="24"/>
        <v>52.06</v>
      </c>
      <c r="F58" s="76">
        <f t="shared" si="24"/>
        <v>65.070000000000007</v>
      </c>
      <c r="G58" s="96">
        <f t="shared" si="24"/>
        <v>77.92</v>
      </c>
      <c r="H58" s="76">
        <f t="shared" si="24"/>
        <v>204.67</v>
      </c>
      <c r="I58" s="76">
        <f t="shared" si="24"/>
        <v>117.94573000000001</v>
      </c>
      <c r="J58" s="76">
        <f t="shared" si="24"/>
        <v>120.96459999999999</v>
      </c>
      <c r="K58" s="76">
        <f t="shared" si="24"/>
        <v>188.98868999999999</v>
      </c>
      <c r="L58" s="96">
        <f t="shared" si="24"/>
        <v>226.65243000000001</v>
      </c>
      <c r="M58" s="99">
        <f t="shared" si="17"/>
        <v>2827.3242160519408</v>
      </c>
      <c r="N58" s="99">
        <f t="shared" si="18"/>
        <v>2512.6913080528338</v>
      </c>
      <c r="O58" s="99">
        <f t="shared" si="19"/>
        <v>2323.5612754514018</v>
      </c>
      <c r="P58" s="99">
        <f t="shared" si="20"/>
        <v>2904.3905025357303</v>
      </c>
      <c r="Q58" s="99">
        <f t="shared" si="21"/>
        <v>2908.7837525667351</v>
      </c>
    </row>
    <row r="59" spans="1:17" ht="20.100000000000001" customHeight="1" x14ac:dyDescent="0.2">
      <c r="A59" s="197" t="s">
        <v>21</v>
      </c>
      <c r="B59" s="187" t="s">
        <v>8</v>
      </c>
      <c r="C59" s="102">
        <v>116</v>
      </c>
      <c r="D59" s="93">
        <v>114</v>
      </c>
      <c r="E59" s="93">
        <v>109</v>
      </c>
      <c r="F59" s="93">
        <v>114.6</v>
      </c>
      <c r="G59" s="330">
        <v>107.8</v>
      </c>
      <c r="H59" s="102">
        <v>445</v>
      </c>
      <c r="I59" s="93">
        <v>422.71199999999999</v>
      </c>
      <c r="J59" s="93">
        <v>395.125</v>
      </c>
      <c r="K59" s="93">
        <v>410.38259999999997</v>
      </c>
      <c r="L59" s="103">
        <v>395.08699999999999</v>
      </c>
      <c r="M59" s="285">
        <f t="shared" si="17"/>
        <v>3836.2068965517242</v>
      </c>
      <c r="N59" s="285">
        <f t="shared" si="18"/>
        <v>3707.9999999999995</v>
      </c>
      <c r="O59" s="285">
        <f t="shared" si="19"/>
        <v>3625</v>
      </c>
      <c r="P59" s="285">
        <f t="shared" si="20"/>
        <v>3581</v>
      </c>
      <c r="Q59" s="285">
        <f t="shared" si="21"/>
        <v>3665</v>
      </c>
    </row>
    <row r="60" spans="1:17" ht="20.100000000000001" customHeight="1" x14ac:dyDescent="0.2">
      <c r="A60" s="345" t="s">
        <v>22</v>
      </c>
      <c r="B60" s="187" t="s">
        <v>8</v>
      </c>
      <c r="C60" s="97">
        <v>918.68299999999999</v>
      </c>
      <c r="D60" s="76">
        <v>855.89499999999998</v>
      </c>
      <c r="E60" s="76">
        <v>844.85299999999995</v>
      </c>
      <c r="F60" s="76">
        <v>875.16</v>
      </c>
      <c r="G60" s="302">
        <v>976.19399999999996</v>
      </c>
      <c r="H60" s="97">
        <v>1379.2909999999999</v>
      </c>
      <c r="I60" s="76">
        <v>1740.034535</v>
      </c>
      <c r="J60" s="76">
        <v>1892.47072</v>
      </c>
      <c r="K60" s="76">
        <v>1135.0825199999999</v>
      </c>
      <c r="L60" s="96">
        <v>2186.6745599999999</v>
      </c>
      <c r="M60" s="99">
        <f t="shared" si="17"/>
        <v>1501.3786039362872</v>
      </c>
      <c r="N60" s="99">
        <f t="shared" si="18"/>
        <v>2033</v>
      </c>
      <c r="O60" s="99">
        <f t="shared" si="19"/>
        <v>2240</v>
      </c>
      <c r="P60" s="99">
        <f t="shared" si="20"/>
        <v>1297</v>
      </c>
      <c r="Q60" s="99">
        <f t="shared" si="21"/>
        <v>2240</v>
      </c>
    </row>
    <row r="61" spans="1:17" ht="20.100000000000001" customHeight="1" x14ac:dyDescent="0.2">
      <c r="A61" s="345"/>
      <c r="B61" s="187" t="s">
        <v>9</v>
      </c>
      <c r="C61" s="98">
        <v>0</v>
      </c>
      <c r="D61" s="76">
        <v>13.893000000000001</v>
      </c>
      <c r="E61" s="76">
        <v>8.0000000000000002E-3</v>
      </c>
      <c r="F61" s="76">
        <v>15.950000000000001</v>
      </c>
      <c r="G61" s="302">
        <v>16.905999999999999</v>
      </c>
      <c r="H61" s="98">
        <v>0</v>
      </c>
      <c r="I61" s="76">
        <v>54.307737000000003</v>
      </c>
      <c r="J61" s="76">
        <v>0</v>
      </c>
      <c r="K61" s="76">
        <v>71.97999999999999</v>
      </c>
      <c r="L61" s="96">
        <v>82.856306000000004</v>
      </c>
      <c r="M61" s="99" t="e">
        <f t="shared" si="17"/>
        <v>#DIV/0!</v>
      </c>
      <c r="N61" s="99">
        <f t="shared" si="18"/>
        <v>3909</v>
      </c>
      <c r="O61" s="99">
        <f t="shared" si="19"/>
        <v>0</v>
      </c>
      <c r="P61" s="99">
        <f t="shared" si="20"/>
        <v>4512.8526645768015</v>
      </c>
      <c r="Q61" s="99">
        <f t="shared" si="21"/>
        <v>4901.0000000000009</v>
      </c>
    </row>
    <row r="62" spans="1:17" s="8" customFormat="1" ht="20.100000000000001" customHeight="1" x14ac:dyDescent="0.2">
      <c r="A62" s="345"/>
      <c r="B62" s="186" t="s">
        <v>10</v>
      </c>
      <c r="C62" s="103">
        <f t="shared" ref="C62:L62" si="25">C60+C61</f>
        <v>918.68299999999999</v>
      </c>
      <c r="D62" s="103">
        <f t="shared" si="25"/>
        <v>869.78800000000001</v>
      </c>
      <c r="E62" s="103">
        <f t="shared" si="25"/>
        <v>844.86099999999999</v>
      </c>
      <c r="F62" s="103">
        <f t="shared" si="25"/>
        <v>891.11</v>
      </c>
      <c r="G62" s="103">
        <f t="shared" si="25"/>
        <v>993.09999999999991</v>
      </c>
      <c r="H62" s="103">
        <f t="shared" si="25"/>
        <v>1379.2909999999999</v>
      </c>
      <c r="I62" s="103">
        <f t="shared" si="25"/>
        <v>1794.3422720000001</v>
      </c>
      <c r="J62" s="103">
        <f t="shared" si="25"/>
        <v>1892.47072</v>
      </c>
      <c r="K62" s="103">
        <f t="shared" si="25"/>
        <v>1207.0625199999999</v>
      </c>
      <c r="L62" s="103">
        <f t="shared" si="25"/>
        <v>2269.5308660000001</v>
      </c>
      <c r="M62" s="285">
        <f t="shared" si="17"/>
        <v>1501.3786039362872</v>
      </c>
      <c r="N62" s="285">
        <f t="shared" si="18"/>
        <v>2062.9650811462102</v>
      </c>
      <c r="O62" s="285">
        <f t="shared" si="19"/>
        <v>2239.9787894103288</v>
      </c>
      <c r="P62" s="285">
        <f t="shared" si="20"/>
        <v>1354.5606266341977</v>
      </c>
      <c r="Q62" s="285">
        <f t="shared" si="21"/>
        <v>2285.2994320813614</v>
      </c>
    </row>
    <row r="63" spans="1:17" ht="20.100000000000001" customHeight="1" x14ac:dyDescent="0.2">
      <c r="A63" s="197" t="s">
        <v>43</v>
      </c>
      <c r="B63" s="187" t="s">
        <v>8</v>
      </c>
      <c r="C63" s="97">
        <v>38.962000000000003</v>
      </c>
      <c r="D63" s="76">
        <v>38.457999999999998</v>
      </c>
      <c r="E63" s="76">
        <v>37.777999999999999</v>
      </c>
      <c r="F63" s="76">
        <v>38.387</v>
      </c>
      <c r="G63" s="302">
        <v>38.39</v>
      </c>
      <c r="H63" s="97">
        <v>68.680000000000007</v>
      </c>
      <c r="I63" s="76">
        <v>67.955285999999987</v>
      </c>
      <c r="J63" s="76">
        <v>66.791504000000003</v>
      </c>
      <c r="K63" s="76">
        <v>67.906603000000004</v>
      </c>
      <c r="L63" s="96">
        <v>67.950299999999999</v>
      </c>
      <c r="M63" s="99">
        <f t="shared" si="17"/>
        <v>1762.7431856680869</v>
      </c>
      <c r="N63" s="99">
        <f t="shared" si="18"/>
        <v>1766.9999999999998</v>
      </c>
      <c r="O63" s="99">
        <f t="shared" si="19"/>
        <v>1768.0000000000002</v>
      </c>
      <c r="P63" s="99">
        <f t="shared" si="20"/>
        <v>1769.0000000000002</v>
      </c>
      <c r="Q63" s="99">
        <f t="shared" si="21"/>
        <v>1770</v>
      </c>
    </row>
    <row r="64" spans="1:17" ht="20.100000000000001" customHeight="1" x14ac:dyDescent="0.2">
      <c r="A64" s="345" t="s">
        <v>61</v>
      </c>
      <c r="B64" s="187" t="s">
        <v>8</v>
      </c>
      <c r="C64" s="97">
        <v>169.14</v>
      </c>
      <c r="D64" s="76">
        <v>166.2</v>
      </c>
      <c r="E64" s="76">
        <v>168.94</v>
      </c>
      <c r="F64" s="76">
        <v>168.58</v>
      </c>
      <c r="G64" s="302">
        <v>225.65</v>
      </c>
      <c r="H64" s="76">
        <v>770.22</v>
      </c>
      <c r="I64" s="76">
        <v>1532.1977999999999</v>
      </c>
      <c r="J64" s="76">
        <v>1283.6061199999999</v>
      </c>
      <c r="K64" s="76">
        <v>1368.0267000000001</v>
      </c>
      <c r="L64" s="96">
        <v>1641.8294000000001</v>
      </c>
      <c r="M64" s="99">
        <f t="shared" si="17"/>
        <v>4553.7424618659106</v>
      </c>
      <c r="N64" s="99">
        <f t="shared" si="18"/>
        <v>9219</v>
      </c>
      <c r="O64" s="99">
        <f t="shared" si="19"/>
        <v>7598</v>
      </c>
      <c r="P64" s="99">
        <f t="shared" si="20"/>
        <v>8115</v>
      </c>
      <c r="Q64" s="99">
        <f t="shared" si="21"/>
        <v>7276</v>
      </c>
    </row>
    <row r="65" spans="1:18" ht="20.100000000000001" customHeight="1" x14ac:dyDescent="0.2">
      <c r="A65" s="345"/>
      <c r="B65" s="187" t="s">
        <v>9</v>
      </c>
      <c r="C65" s="100">
        <v>145.88999999999999</v>
      </c>
      <c r="D65" s="76">
        <v>158.32</v>
      </c>
      <c r="E65" s="76">
        <v>221.62</v>
      </c>
      <c r="F65" s="76">
        <v>164.98</v>
      </c>
      <c r="G65" s="302">
        <v>174.56</v>
      </c>
      <c r="H65" s="100">
        <v>183.16</v>
      </c>
      <c r="I65" s="76">
        <v>1059.4774399999999</v>
      </c>
      <c r="J65" s="76">
        <v>1550.8967600000001</v>
      </c>
      <c r="K65" s="76">
        <v>1108.17066</v>
      </c>
      <c r="L65" s="96">
        <v>922.89872000000003</v>
      </c>
      <c r="M65" s="99">
        <f t="shared" si="17"/>
        <v>1255.4664473233258</v>
      </c>
      <c r="N65" s="99">
        <f t="shared" si="18"/>
        <v>6691.9999999999991</v>
      </c>
      <c r="O65" s="99">
        <f t="shared" si="19"/>
        <v>6998</v>
      </c>
      <c r="P65" s="99">
        <f t="shared" si="20"/>
        <v>6717.0000000000009</v>
      </c>
      <c r="Q65" s="99">
        <f t="shared" si="21"/>
        <v>5287</v>
      </c>
    </row>
    <row r="66" spans="1:18" s="8" customFormat="1" ht="20.100000000000001" customHeight="1" x14ac:dyDescent="0.2">
      <c r="A66" s="345"/>
      <c r="B66" s="186" t="s">
        <v>10</v>
      </c>
      <c r="C66" s="103">
        <f t="shared" ref="C66:L66" si="26">C64+C65</f>
        <v>315.02999999999997</v>
      </c>
      <c r="D66" s="103">
        <f t="shared" si="26"/>
        <v>324.52</v>
      </c>
      <c r="E66" s="103">
        <f t="shared" si="26"/>
        <v>390.56</v>
      </c>
      <c r="F66" s="103">
        <f t="shared" si="26"/>
        <v>333.56</v>
      </c>
      <c r="G66" s="103">
        <f t="shared" si="26"/>
        <v>400.21000000000004</v>
      </c>
      <c r="H66" s="103">
        <f t="shared" si="26"/>
        <v>953.38</v>
      </c>
      <c r="I66" s="103">
        <f t="shared" si="26"/>
        <v>2591.6752399999996</v>
      </c>
      <c r="J66" s="103">
        <f t="shared" si="26"/>
        <v>2834.50288</v>
      </c>
      <c r="K66" s="103">
        <f t="shared" si="26"/>
        <v>2476.1973600000001</v>
      </c>
      <c r="L66" s="103">
        <f t="shared" si="26"/>
        <v>2564.7281200000002</v>
      </c>
      <c r="M66" s="285">
        <f t="shared" si="17"/>
        <v>3026.3149541313528</v>
      </c>
      <c r="N66" s="285">
        <f t="shared" si="18"/>
        <v>7986.1803278688512</v>
      </c>
      <c r="O66" s="285">
        <f t="shared" si="19"/>
        <v>7257.5350266284313</v>
      </c>
      <c r="P66" s="285">
        <f t="shared" si="20"/>
        <v>7423.5440700323788</v>
      </c>
      <c r="Q66" s="285">
        <f t="shared" si="21"/>
        <v>6408.4558606731471</v>
      </c>
    </row>
    <row r="67" spans="1:18" ht="19.5" customHeight="1" x14ac:dyDescent="0.2">
      <c r="A67" s="345" t="s">
        <v>109</v>
      </c>
      <c r="B67" s="187" t="s">
        <v>8</v>
      </c>
      <c r="C67" s="97">
        <v>636</v>
      </c>
      <c r="D67" s="76">
        <v>463</v>
      </c>
      <c r="E67" s="76">
        <v>426</v>
      </c>
      <c r="F67" s="76">
        <v>391</v>
      </c>
      <c r="G67" s="302">
        <v>86</v>
      </c>
      <c r="H67" s="97">
        <v>1756</v>
      </c>
      <c r="I67" s="76">
        <v>1597.35</v>
      </c>
      <c r="J67" s="76">
        <v>1322.73</v>
      </c>
      <c r="K67" s="76">
        <v>1894.395</v>
      </c>
      <c r="L67" s="96">
        <v>399.55599999999998</v>
      </c>
      <c r="M67" s="99">
        <f t="shared" si="17"/>
        <v>2761.0062893081763</v>
      </c>
      <c r="N67" s="99">
        <f t="shared" si="18"/>
        <v>3449.9999999999995</v>
      </c>
      <c r="O67" s="99">
        <f t="shared" si="19"/>
        <v>3105</v>
      </c>
      <c r="P67" s="99">
        <f t="shared" si="20"/>
        <v>4845</v>
      </c>
      <c r="Q67" s="99">
        <f t="shared" si="21"/>
        <v>4646</v>
      </c>
    </row>
    <row r="68" spans="1:18" ht="20.100000000000001" customHeight="1" x14ac:dyDescent="0.2">
      <c r="A68" s="345"/>
      <c r="B68" s="187" t="s">
        <v>9</v>
      </c>
      <c r="C68" s="100">
        <v>166</v>
      </c>
      <c r="D68" s="76">
        <v>167</v>
      </c>
      <c r="E68" s="76">
        <v>117</v>
      </c>
      <c r="F68" s="76">
        <v>170</v>
      </c>
      <c r="G68" s="302">
        <v>173</v>
      </c>
      <c r="H68" s="100">
        <v>907.19</v>
      </c>
      <c r="I68" s="76">
        <v>958.28774999999996</v>
      </c>
      <c r="J68" s="76">
        <v>760.73400000000004</v>
      </c>
      <c r="K68" s="76">
        <v>1105.3399999999999</v>
      </c>
      <c r="L68" s="96">
        <v>1357.0119999999999</v>
      </c>
      <c r="M68" s="99">
        <f t="shared" si="17"/>
        <v>5465.0000000000009</v>
      </c>
      <c r="N68" s="99">
        <f t="shared" si="18"/>
        <v>5738.25</v>
      </c>
      <c r="O68" s="99">
        <f t="shared" si="19"/>
        <v>6502.0000000000009</v>
      </c>
      <c r="P68" s="99">
        <f t="shared" si="20"/>
        <v>6502</v>
      </c>
      <c r="Q68" s="99">
        <f t="shared" si="21"/>
        <v>7843.9999999999991</v>
      </c>
    </row>
    <row r="69" spans="1:18" s="8" customFormat="1" ht="20.100000000000001" customHeight="1" x14ac:dyDescent="0.2">
      <c r="A69" s="345"/>
      <c r="B69" s="186" t="s">
        <v>10</v>
      </c>
      <c r="C69" s="103">
        <f t="shared" ref="C69:L69" si="27">C67+C68</f>
        <v>802</v>
      </c>
      <c r="D69" s="103">
        <f t="shared" si="27"/>
        <v>630</v>
      </c>
      <c r="E69" s="103">
        <f t="shared" si="27"/>
        <v>543</v>
      </c>
      <c r="F69" s="103">
        <f t="shared" si="27"/>
        <v>561</v>
      </c>
      <c r="G69" s="103">
        <f t="shared" si="27"/>
        <v>259</v>
      </c>
      <c r="H69" s="103">
        <f t="shared" si="27"/>
        <v>2663.19</v>
      </c>
      <c r="I69" s="103">
        <f t="shared" si="27"/>
        <v>2555.6377499999999</v>
      </c>
      <c r="J69" s="103">
        <f t="shared" si="27"/>
        <v>2083.4639999999999</v>
      </c>
      <c r="K69" s="103">
        <f t="shared" si="27"/>
        <v>2999.7349999999997</v>
      </c>
      <c r="L69" s="103">
        <f t="shared" si="27"/>
        <v>1756.568</v>
      </c>
      <c r="M69" s="285">
        <f t="shared" si="17"/>
        <v>3320.68578553616</v>
      </c>
      <c r="N69" s="285">
        <f t="shared" si="18"/>
        <v>4056.5678571428566</v>
      </c>
      <c r="O69" s="285">
        <f t="shared" si="19"/>
        <v>3836.9502762430934</v>
      </c>
      <c r="P69" s="285">
        <f t="shared" si="20"/>
        <v>5347.121212121212</v>
      </c>
      <c r="Q69" s="285">
        <f t="shared" si="21"/>
        <v>6782.1158301158302</v>
      </c>
    </row>
    <row r="70" spans="1:18" ht="20.100000000000001" customHeight="1" x14ac:dyDescent="0.2">
      <c r="A70" s="345" t="s">
        <v>62</v>
      </c>
      <c r="B70" s="187" t="s">
        <v>8</v>
      </c>
      <c r="C70" s="97">
        <v>12.196</v>
      </c>
      <c r="D70" s="76">
        <v>13.596</v>
      </c>
      <c r="E70" s="76">
        <v>13.519</v>
      </c>
      <c r="F70" s="76">
        <v>12.484999999999999</v>
      </c>
      <c r="G70" s="302">
        <v>14.42</v>
      </c>
      <c r="H70" s="97">
        <v>16.608000000000001</v>
      </c>
      <c r="I70" s="76">
        <v>19.143168000000003</v>
      </c>
      <c r="J70" s="76">
        <v>17.425991000000003</v>
      </c>
      <c r="K70" s="76">
        <v>17.75367</v>
      </c>
      <c r="L70" s="96">
        <v>24.39864</v>
      </c>
      <c r="M70" s="99">
        <f t="shared" si="17"/>
        <v>1361.7579534273534</v>
      </c>
      <c r="N70" s="99">
        <f t="shared" si="18"/>
        <v>1408.0000000000002</v>
      </c>
      <c r="O70" s="99">
        <f t="shared" si="19"/>
        <v>1289.0000000000002</v>
      </c>
      <c r="P70" s="99">
        <f t="shared" si="20"/>
        <v>1422</v>
      </c>
      <c r="Q70" s="99">
        <f t="shared" si="21"/>
        <v>1692</v>
      </c>
    </row>
    <row r="71" spans="1:18" ht="20.100000000000001" customHeight="1" x14ac:dyDescent="0.2">
      <c r="A71" s="345"/>
      <c r="B71" s="187" t="s">
        <v>9</v>
      </c>
      <c r="C71" s="100">
        <v>2.5</v>
      </c>
      <c r="D71" s="76">
        <v>2.14</v>
      </c>
      <c r="E71" s="76">
        <v>2.4630000000000001</v>
      </c>
      <c r="F71" s="76">
        <v>2.15</v>
      </c>
      <c r="G71" s="302">
        <v>7.3639999999999999</v>
      </c>
      <c r="H71" s="100">
        <v>3.887</v>
      </c>
      <c r="I71" s="76">
        <v>3.3362600000000002</v>
      </c>
      <c r="J71" s="76">
        <v>5.2658940000000003</v>
      </c>
      <c r="K71" s="76">
        <v>5.2180499999999999</v>
      </c>
      <c r="L71" s="96">
        <v>18.343723999999998</v>
      </c>
      <c r="M71" s="99">
        <f t="shared" si="17"/>
        <v>1554.8</v>
      </c>
      <c r="N71" s="99">
        <f t="shared" si="18"/>
        <v>1559</v>
      </c>
      <c r="O71" s="99">
        <f t="shared" si="19"/>
        <v>2138</v>
      </c>
      <c r="P71" s="99">
        <f t="shared" si="20"/>
        <v>2427</v>
      </c>
      <c r="Q71" s="99">
        <f t="shared" si="21"/>
        <v>2490.9999999999995</v>
      </c>
      <c r="R71" s="9"/>
    </row>
    <row r="72" spans="1:18" s="8" customFormat="1" ht="20.100000000000001" customHeight="1" x14ac:dyDescent="0.2">
      <c r="A72" s="345"/>
      <c r="B72" s="187" t="s">
        <v>10</v>
      </c>
      <c r="C72" s="76">
        <f t="shared" ref="C72:L72" si="28">C70+C71</f>
        <v>14.696</v>
      </c>
      <c r="D72" s="76">
        <f t="shared" si="28"/>
        <v>15.736000000000001</v>
      </c>
      <c r="E72" s="76">
        <f t="shared" si="28"/>
        <v>15.981999999999999</v>
      </c>
      <c r="F72" s="76">
        <f t="shared" si="28"/>
        <v>14.635</v>
      </c>
      <c r="G72" s="96">
        <f t="shared" si="28"/>
        <v>21.783999999999999</v>
      </c>
      <c r="H72" s="76">
        <f t="shared" si="28"/>
        <v>20.495000000000001</v>
      </c>
      <c r="I72" s="76">
        <f t="shared" si="28"/>
        <v>22.479428000000002</v>
      </c>
      <c r="J72" s="76">
        <f t="shared" si="28"/>
        <v>22.691885000000003</v>
      </c>
      <c r="K72" s="76">
        <f t="shared" si="28"/>
        <v>22.971719999999998</v>
      </c>
      <c r="L72" s="96">
        <f t="shared" si="28"/>
        <v>42.742363999999995</v>
      </c>
      <c r="M72" s="99">
        <f t="shared" si="17"/>
        <v>1394.597169297768</v>
      </c>
      <c r="N72" s="99">
        <f t="shared" si="18"/>
        <v>1428.5350788002033</v>
      </c>
      <c r="O72" s="99">
        <f t="shared" si="19"/>
        <v>1419.8401326492308</v>
      </c>
      <c r="P72" s="99">
        <f t="shared" si="20"/>
        <v>1569.6426375128117</v>
      </c>
      <c r="Q72" s="99">
        <f t="shared" si="21"/>
        <v>1962.0989717223649</v>
      </c>
    </row>
    <row r="73" spans="1:18" ht="20.100000000000001" customHeight="1" x14ac:dyDescent="0.2">
      <c r="A73" s="345" t="s">
        <v>12</v>
      </c>
      <c r="B73" s="187" t="s">
        <v>8</v>
      </c>
      <c r="C73" s="97">
        <v>727</v>
      </c>
      <c r="D73" s="76">
        <v>664</v>
      </c>
      <c r="E73" s="76">
        <v>674</v>
      </c>
      <c r="F73" s="76">
        <v>665</v>
      </c>
      <c r="G73" s="302">
        <v>709</v>
      </c>
      <c r="H73" s="97">
        <v>1364</v>
      </c>
      <c r="I73" s="76">
        <v>1455.4880000000001</v>
      </c>
      <c r="J73" s="76">
        <v>1393.1579999999999</v>
      </c>
      <c r="K73" s="76">
        <v>1530.5640000000001</v>
      </c>
      <c r="L73" s="96">
        <v>1637.0809999999999</v>
      </c>
      <c r="M73" s="99">
        <f t="shared" si="17"/>
        <v>1876.2035763411279</v>
      </c>
      <c r="N73" s="99">
        <f t="shared" si="18"/>
        <v>2192</v>
      </c>
      <c r="O73" s="99">
        <f t="shared" si="19"/>
        <v>2066.9999999999995</v>
      </c>
      <c r="P73" s="99">
        <f t="shared" si="20"/>
        <v>2301.6</v>
      </c>
      <c r="Q73" s="99">
        <f t="shared" si="21"/>
        <v>2308.9999999999995</v>
      </c>
    </row>
    <row r="74" spans="1:18" ht="20.100000000000001" customHeight="1" x14ac:dyDescent="0.2">
      <c r="A74" s="345"/>
      <c r="B74" s="187" t="s">
        <v>9</v>
      </c>
      <c r="C74" s="100">
        <v>12</v>
      </c>
      <c r="D74" s="76">
        <v>60</v>
      </c>
      <c r="E74" s="76">
        <v>59</v>
      </c>
      <c r="F74" s="76">
        <v>64</v>
      </c>
      <c r="G74" s="302">
        <v>64</v>
      </c>
      <c r="H74" s="100">
        <v>161</v>
      </c>
      <c r="I74" s="76">
        <v>143</v>
      </c>
      <c r="J74" s="76">
        <v>133.00000000000003</v>
      </c>
      <c r="K74" s="76">
        <v>163.00800000000001</v>
      </c>
      <c r="L74" s="96">
        <v>181</v>
      </c>
      <c r="M74" s="99">
        <f t="shared" si="17"/>
        <v>13416.666666666666</v>
      </c>
      <c r="N74" s="99">
        <f t="shared" si="18"/>
        <v>2383.3333333333335</v>
      </c>
      <c r="O74" s="99">
        <f t="shared" si="19"/>
        <v>2254.2372881355941</v>
      </c>
      <c r="P74" s="99">
        <f t="shared" si="20"/>
        <v>2547</v>
      </c>
      <c r="Q74" s="99">
        <f t="shared" si="21"/>
        <v>2828.125</v>
      </c>
    </row>
    <row r="75" spans="1:18" s="8" customFormat="1" ht="20.100000000000001" customHeight="1" x14ac:dyDescent="0.2">
      <c r="A75" s="345"/>
      <c r="B75" s="186" t="s">
        <v>10</v>
      </c>
      <c r="C75" s="93">
        <f t="shared" ref="C75:L75" si="29">C73+C74</f>
        <v>739</v>
      </c>
      <c r="D75" s="93">
        <f t="shared" si="29"/>
        <v>724</v>
      </c>
      <c r="E75" s="93">
        <f t="shared" si="29"/>
        <v>733</v>
      </c>
      <c r="F75" s="93">
        <f t="shared" si="29"/>
        <v>729</v>
      </c>
      <c r="G75" s="103">
        <f t="shared" si="29"/>
        <v>773</v>
      </c>
      <c r="H75" s="93">
        <f t="shared" si="29"/>
        <v>1525</v>
      </c>
      <c r="I75" s="93">
        <f t="shared" si="29"/>
        <v>1598.4880000000001</v>
      </c>
      <c r="J75" s="93">
        <f t="shared" si="29"/>
        <v>1526.1579999999999</v>
      </c>
      <c r="K75" s="93">
        <f t="shared" si="29"/>
        <v>1693.5720000000001</v>
      </c>
      <c r="L75" s="103">
        <f t="shared" si="29"/>
        <v>1818.0809999999999</v>
      </c>
      <c r="M75" s="285">
        <f t="shared" si="17"/>
        <v>2063.5994587280106</v>
      </c>
      <c r="N75" s="285">
        <f t="shared" si="18"/>
        <v>2207.8563535911603</v>
      </c>
      <c r="O75" s="285">
        <f t="shared" si="19"/>
        <v>2082.0709413369714</v>
      </c>
      <c r="P75" s="285">
        <f t="shared" si="20"/>
        <v>2323.1440329218108</v>
      </c>
      <c r="Q75" s="285">
        <f t="shared" si="21"/>
        <v>2351.9805950840878</v>
      </c>
    </row>
    <row r="76" spans="1:18" ht="20.100000000000001" customHeight="1" x14ac:dyDescent="0.2">
      <c r="A76" s="345" t="s">
        <v>91</v>
      </c>
      <c r="B76" s="187" t="s">
        <v>8</v>
      </c>
      <c r="C76" s="97">
        <v>22</v>
      </c>
      <c r="D76" s="76">
        <v>22</v>
      </c>
      <c r="E76" s="76">
        <v>21</v>
      </c>
      <c r="F76" s="76">
        <v>21</v>
      </c>
      <c r="G76" s="302">
        <v>20</v>
      </c>
      <c r="H76" s="97">
        <v>37</v>
      </c>
      <c r="I76" s="76">
        <v>43.34</v>
      </c>
      <c r="J76" s="76">
        <v>39.186</v>
      </c>
      <c r="K76" s="76">
        <v>40.341000000000001</v>
      </c>
      <c r="L76" s="96">
        <v>41.48</v>
      </c>
      <c r="M76" s="99">
        <f t="shared" si="17"/>
        <v>1681.818181818182</v>
      </c>
      <c r="N76" s="99">
        <f t="shared" si="18"/>
        <v>1970.0000000000002</v>
      </c>
      <c r="O76" s="99">
        <f t="shared" si="19"/>
        <v>1866</v>
      </c>
      <c r="P76" s="99">
        <f t="shared" si="20"/>
        <v>1921</v>
      </c>
      <c r="Q76" s="99">
        <f t="shared" si="21"/>
        <v>2074</v>
      </c>
    </row>
    <row r="77" spans="1:18" ht="20.100000000000001" customHeight="1" x14ac:dyDescent="0.2">
      <c r="A77" s="345"/>
      <c r="B77" s="187" t="s">
        <v>9</v>
      </c>
      <c r="C77" s="98">
        <v>0</v>
      </c>
      <c r="D77" s="76">
        <v>0</v>
      </c>
      <c r="E77" s="76">
        <v>0</v>
      </c>
      <c r="F77" s="76"/>
      <c r="G77" s="96"/>
      <c r="H77" s="98">
        <v>0</v>
      </c>
      <c r="I77" s="76">
        <v>0</v>
      </c>
      <c r="J77" s="76">
        <v>0</v>
      </c>
      <c r="K77" s="76">
        <v>0</v>
      </c>
      <c r="L77" s="96"/>
      <c r="M77" s="99" t="e">
        <f t="shared" si="17"/>
        <v>#DIV/0!</v>
      </c>
      <c r="N77" s="99" t="e">
        <f t="shared" si="18"/>
        <v>#DIV/0!</v>
      </c>
      <c r="O77" s="99" t="e">
        <f t="shared" si="19"/>
        <v>#DIV/0!</v>
      </c>
      <c r="P77" s="99" t="e">
        <f t="shared" si="20"/>
        <v>#DIV/0!</v>
      </c>
      <c r="Q77" s="99" t="e">
        <f t="shared" si="21"/>
        <v>#DIV/0!</v>
      </c>
    </row>
    <row r="78" spans="1:18" s="8" customFormat="1" ht="20.100000000000001" customHeight="1" x14ac:dyDescent="0.2">
      <c r="A78" s="345"/>
      <c r="B78" s="187" t="s">
        <v>10</v>
      </c>
      <c r="C78" s="76">
        <f t="shared" ref="C78:L78" si="30">C76+C77</f>
        <v>22</v>
      </c>
      <c r="D78" s="76">
        <f t="shared" si="30"/>
        <v>22</v>
      </c>
      <c r="E78" s="76">
        <f t="shared" si="30"/>
        <v>21</v>
      </c>
      <c r="F78" s="76">
        <f t="shared" si="30"/>
        <v>21</v>
      </c>
      <c r="G78" s="96">
        <f t="shared" si="30"/>
        <v>20</v>
      </c>
      <c r="H78" s="76">
        <f t="shared" si="30"/>
        <v>37</v>
      </c>
      <c r="I78" s="76">
        <f t="shared" si="30"/>
        <v>43.34</v>
      </c>
      <c r="J78" s="76">
        <f t="shared" si="30"/>
        <v>39.186</v>
      </c>
      <c r="K78" s="76">
        <f t="shared" si="30"/>
        <v>40.341000000000001</v>
      </c>
      <c r="L78" s="96">
        <f t="shared" si="30"/>
        <v>41.48</v>
      </c>
      <c r="M78" s="99">
        <f t="shared" si="17"/>
        <v>1681.818181818182</v>
      </c>
      <c r="N78" s="99">
        <f t="shared" si="18"/>
        <v>1970.0000000000002</v>
      </c>
      <c r="O78" s="99">
        <f t="shared" si="19"/>
        <v>1866</v>
      </c>
      <c r="P78" s="99">
        <f t="shared" si="20"/>
        <v>1921</v>
      </c>
      <c r="Q78" s="99">
        <f t="shared" si="21"/>
        <v>2074</v>
      </c>
    </row>
    <row r="79" spans="1:18" ht="20.100000000000001" customHeight="1" x14ac:dyDescent="0.2">
      <c r="A79" s="345" t="s">
        <v>13</v>
      </c>
      <c r="B79" s="187" t="s">
        <v>8</v>
      </c>
      <c r="C79" s="97">
        <v>46.430999999999997</v>
      </c>
      <c r="D79" s="76">
        <v>56.19</v>
      </c>
      <c r="E79" s="76">
        <v>53.66</v>
      </c>
      <c r="F79" s="76">
        <v>50.026000000000003</v>
      </c>
      <c r="G79" s="302">
        <v>52.058</v>
      </c>
      <c r="H79" s="97">
        <v>124.996</v>
      </c>
      <c r="I79" s="76">
        <v>151.54</v>
      </c>
      <c r="J79" s="76">
        <v>182.22935999999999</v>
      </c>
      <c r="K79" s="76">
        <v>170.28850400000002</v>
      </c>
      <c r="L79" s="96">
        <v>163.04565599999998</v>
      </c>
      <c r="M79" s="99">
        <f t="shared" si="17"/>
        <v>2692.0807219314684</v>
      </c>
      <c r="N79" s="99">
        <f t="shared" si="18"/>
        <v>2696.9211603488166</v>
      </c>
      <c r="O79" s="99">
        <f t="shared" si="19"/>
        <v>3396</v>
      </c>
      <c r="P79" s="99">
        <f t="shared" si="20"/>
        <v>3404</v>
      </c>
      <c r="Q79" s="99">
        <f t="shared" si="21"/>
        <v>3131.9999999999995</v>
      </c>
    </row>
    <row r="80" spans="1:18" ht="20.100000000000001" customHeight="1" x14ac:dyDescent="0.2">
      <c r="A80" s="345"/>
      <c r="B80" s="187" t="s">
        <v>9</v>
      </c>
      <c r="C80" s="100">
        <v>115</v>
      </c>
      <c r="D80" s="76">
        <v>180</v>
      </c>
      <c r="E80" s="76">
        <v>210.642</v>
      </c>
      <c r="F80" s="76">
        <v>252</v>
      </c>
      <c r="G80" s="302">
        <v>308.75200000000001</v>
      </c>
      <c r="H80" s="100">
        <v>580</v>
      </c>
      <c r="I80" s="76">
        <v>983.34</v>
      </c>
      <c r="J80" s="76">
        <v>1550.6419999999998</v>
      </c>
      <c r="K80" s="76">
        <v>1837.3320000000001</v>
      </c>
      <c r="L80" s="96">
        <v>2273.032224</v>
      </c>
      <c r="M80" s="99">
        <f t="shared" si="17"/>
        <v>5043.478260869565</v>
      </c>
      <c r="N80" s="99">
        <f t="shared" si="18"/>
        <v>5463</v>
      </c>
      <c r="O80" s="99">
        <f t="shared" si="19"/>
        <v>7361.5043533578291</v>
      </c>
      <c r="P80" s="99">
        <f t="shared" si="20"/>
        <v>7291</v>
      </c>
      <c r="Q80" s="99">
        <f t="shared" si="21"/>
        <v>7362</v>
      </c>
    </row>
    <row r="81" spans="1:17" s="8" customFormat="1" ht="20.100000000000001" customHeight="1" x14ac:dyDescent="0.2">
      <c r="A81" s="345"/>
      <c r="B81" s="186" t="s">
        <v>10</v>
      </c>
      <c r="C81" s="93">
        <f t="shared" ref="C81:L81" si="31">C80+C79</f>
        <v>161.43099999999998</v>
      </c>
      <c r="D81" s="93">
        <f t="shared" si="31"/>
        <v>236.19</v>
      </c>
      <c r="E81" s="93">
        <f t="shared" si="31"/>
        <v>264.30200000000002</v>
      </c>
      <c r="F81" s="93">
        <f t="shared" si="31"/>
        <v>302.02600000000001</v>
      </c>
      <c r="G81" s="103">
        <f t="shared" si="31"/>
        <v>360.81</v>
      </c>
      <c r="H81" s="93">
        <f t="shared" si="31"/>
        <v>704.99599999999998</v>
      </c>
      <c r="I81" s="93">
        <f t="shared" si="31"/>
        <v>1134.8800000000001</v>
      </c>
      <c r="J81" s="93">
        <f t="shared" si="31"/>
        <v>1732.8713599999999</v>
      </c>
      <c r="K81" s="93">
        <f t="shared" si="31"/>
        <v>2007.6205040000002</v>
      </c>
      <c r="L81" s="103">
        <f t="shared" si="31"/>
        <v>2436.0778799999998</v>
      </c>
      <c r="M81" s="285">
        <f t="shared" si="17"/>
        <v>4367.166157677274</v>
      </c>
      <c r="N81" s="285">
        <f t="shared" si="18"/>
        <v>4804.9451712604259</v>
      </c>
      <c r="O81" s="285">
        <f t="shared" si="19"/>
        <v>6556.4065349486564</v>
      </c>
      <c r="P81" s="285">
        <f t="shared" si="20"/>
        <v>6647.1777396647976</v>
      </c>
      <c r="Q81" s="285">
        <f t="shared" si="21"/>
        <v>6751.6916936891985</v>
      </c>
    </row>
    <row r="82" spans="1:17" ht="20.100000000000001" customHeight="1" x14ac:dyDescent="0.2">
      <c r="A82" s="263" t="s">
        <v>32</v>
      </c>
      <c r="B82" s="187" t="s">
        <v>8</v>
      </c>
      <c r="C82" s="100">
        <v>0.10349999999999999</v>
      </c>
      <c r="D82" s="76">
        <v>4.36E-2</v>
      </c>
      <c r="E82" s="76">
        <v>3.243E-2</v>
      </c>
      <c r="F82" s="76">
        <v>0</v>
      </c>
      <c r="G82" s="96">
        <v>4.1000000000000002E-2</v>
      </c>
      <c r="H82" s="100">
        <v>0.216</v>
      </c>
      <c r="I82" s="76">
        <v>3.7583199999999997E-2</v>
      </c>
      <c r="J82" s="76">
        <v>4.8969300000000007E-2</v>
      </c>
      <c r="K82" s="76">
        <v>0</v>
      </c>
      <c r="L82" s="96">
        <v>0.10988000000000001</v>
      </c>
      <c r="M82" s="99">
        <f t="shared" si="17"/>
        <v>2086.9565217391305</v>
      </c>
      <c r="N82" s="99">
        <f>I82/D82*1000</f>
        <v>862</v>
      </c>
      <c r="O82" s="99">
        <f t="shared" si="19"/>
        <v>1510.0000000000002</v>
      </c>
      <c r="P82" s="99" t="e">
        <f t="shared" si="20"/>
        <v>#DIV/0!</v>
      </c>
      <c r="Q82" s="99">
        <f t="shared" si="21"/>
        <v>2680</v>
      </c>
    </row>
    <row r="83" spans="1:17" ht="15.75" customHeight="1" x14ac:dyDescent="0.2">
      <c r="A83" s="345" t="s">
        <v>42</v>
      </c>
      <c r="B83" s="187" t="s">
        <v>8</v>
      </c>
      <c r="C83" s="98">
        <v>4.0000000000000001E-3</v>
      </c>
      <c r="D83" s="76">
        <v>4.0000000000000001E-3</v>
      </c>
      <c r="E83" s="76">
        <v>0.04</v>
      </c>
      <c r="F83" s="76">
        <v>4.0000000000000001E-3</v>
      </c>
      <c r="G83" s="96"/>
      <c r="H83" s="98">
        <v>4.0000000000000001E-3</v>
      </c>
      <c r="I83" s="76">
        <v>4.0000000000000001E-3</v>
      </c>
      <c r="J83" s="76">
        <v>4.2119999999999998E-2</v>
      </c>
      <c r="K83" s="76">
        <v>4.0000000000000001E-3</v>
      </c>
      <c r="L83" s="96"/>
      <c r="M83" s="99">
        <f t="shared" si="17"/>
        <v>1000</v>
      </c>
      <c r="N83" s="99">
        <f t="shared" si="18"/>
        <v>1000</v>
      </c>
      <c r="O83" s="99">
        <f t="shared" si="19"/>
        <v>1053</v>
      </c>
      <c r="P83" s="99">
        <f t="shared" si="20"/>
        <v>1000</v>
      </c>
      <c r="Q83" s="99" t="e">
        <f t="shared" si="21"/>
        <v>#DIV/0!</v>
      </c>
    </row>
    <row r="84" spans="1:17" ht="15.75" customHeight="1" x14ac:dyDescent="0.2">
      <c r="A84" s="345"/>
      <c r="B84" s="187" t="s">
        <v>9</v>
      </c>
      <c r="C84" s="98">
        <v>0</v>
      </c>
      <c r="D84" s="76">
        <v>0</v>
      </c>
      <c r="E84" s="76">
        <v>0.1</v>
      </c>
      <c r="F84" s="76">
        <v>0</v>
      </c>
      <c r="G84" s="96"/>
      <c r="H84" s="98">
        <v>0</v>
      </c>
      <c r="I84" s="76">
        <v>0</v>
      </c>
      <c r="J84" s="76">
        <v>0.08</v>
      </c>
      <c r="K84" s="76">
        <v>0</v>
      </c>
      <c r="L84" s="96"/>
      <c r="M84" s="99" t="e">
        <f t="shared" si="17"/>
        <v>#DIV/0!</v>
      </c>
      <c r="N84" s="99" t="e">
        <f t="shared" si="18"/>
        <v>#DIV/0!</v>
      </c>
      <c r="O84" s="99">
        <f t="shared" si="19"/>
        <v>799.99999999999989</v>
      </c>
      <c r="P84" s="99" t="e">
        <f t="shared" si="20"/>
        <v>#DIV/0!</v>
      </c>
      <c r="Q84" s="99" t="e">
        <f t="shared" si="21"/>
        <v>#DIV/0!</v>
      </c>
    </row>
    <row r="85" spans="1:17" ht="15.75" customHeight="1" x14ac:dyDescent="0.2">
      <c r="A85" s="345"/>
      <c r="B85" s="187" t="s">
        <v>10</v>
      </c>
      <c r="C85" s="96">
        <f t="shared" ref="C85:L85" si="32">C84+C83</f>
        <v>4.0000000000000001E-3</v>
      </c>
      <c r="D85" s="96">
        <f t="shared" si="32"/>
        <v>4.0000000000000001E-3</v>
      </c>
      <c r="E85" s="96">
        <f t="shared" si="32"/>
        <v>0.14000000000000001</v>
      </c>
      <c r="F85" s="96">
        <f t="shared" si="32"/>
        <v>4.0000000000000001E-3</v>
      </c>
      <c r="G85" s="96">
        <f t="shared" si="32"/>
        <v>0</v>
      </c>
      <c r="H85" s="96">
        <f t="shared" si="32"/>
        <v>4.0000000000000001E-3</v>
      </c>
      <c r="I85" s="96">
        <f t="shared" si="32"/>
        <v>4.0000000000000001E-3</v>
      </c>
      <c r="J85" s="96">
        <f t="shared" si="32"/>
        <v>0.12212000000000001</v>
      </c>
      <c r="K85" s="96">
        <f t="shared" si="32"/>
        <v>4.0000000000000001E-3</v>
      </c>
      <c r="L85" s="96">
        <f t="shared" si="32"/>
        <v>0</v>
      </c>
      <c r="M85" s="99">
        <f t="shared" si="17"/>
        <v>1000</v>
      </c>
      <c r="N85" s="99">
        <f t="shared" si="18"/>
        <v>1000</v>
      </c>
      <c r="O85" s="99">
        <f t="shared" si="19"/>
        <v>872.28571428571422</v>
      </c>
      <c r="P85" s="99">
        <f t="shared" si="20"/>
        <v>1000</v>
      </c>
      <c r="Q85" s="99" t="e">
        <f t="shared" si="21"/>
        <v>#DIV/0!</v>
      </c>
    </row>
    <row r="86" spans="1:17" ht="20.100000000000001" customHeight="1" x14ac:dyDescent="0.2">
      <c r="A86" s="197" t="s">
        <v>23</v>
      </c>
      <c r="B86" s="187" t="s">
        <v>8</v>
      </c>
      <c r="C86" s="97">
        <v>0.03</v>
      </c>
      <c r="D86" s="76">
        <v>3.4000000000000002E-2</v>
      </c>
      <c r="E86" s="76">
        <v>0.02</v>
      </c>
      <c r="F86" s="76">
        <v>0.02</v>
      </c>
      <c r="G86" s="180">
        <v>2.1999999999999999E-2</v>
      </c>
      <c r="H86" s="97">
        <v>0.17399999999999999</v>
      </c>
      <c r="I86" s="76">
        <v>0.174012</v>
      </c>
      <c r="J86" s="76">
        <v>0.1022</v>
      </c>
      <c r="K86" s="76">
        <v>0.10199999999999999</v>
      </c>
      <c r="L86" s="96">
        <v>0.11200199999999999</v>
      </c>
      <c r="M86" s="99">
        <f t="shared" si="17"/>
        <v>5800</v>
      </c>
      <c r="N86" s="99">
        <f t="shared" si="18"/>
        <v>5117.9999999999991</v>
      </c>
      <c r="O86" s="99">
        <f t="shared" si="19"/>
        <v>5109.9999999999991</v>
      </c>
      <c r="P86" s="99">
        <f t="shared" si="20"/>
        <v>5100</v>
      </c>
      <c r="Q86" s="99">
        <f t="shared" si="21"/>
        <v>5091</v>
      </c>
    </row>
    <row r="87" spans="1:17" ht="20.100000000000001" customHeight="1" x14ac:dyDescent="0.2">
      <c r="A87" s="370" t="s">
        <v>111</v>
      </c>
      <c r="B87" s="187" t="s">
        <v>8</v>
      </c>
      <c r="C87" s="97">
        <v>0</v>
      </c>
      <c r="D87" s="97">
        <v>0</v>
      </c>
      <c r="E87" s="97">
        <v>0</v>
      </c>
      <c r="F87" s="76">
        <v>0.08</v>
      </c>
      <c r="G87" s="96">
        <v>8.0000000000000002E-3</v>
      </c>
      <c r="H87" s="97">
        <v>0</v>
      </c>
      <c r="I87" s="97">
        <v>0</v>
      </c>
      <c r="J87" s="97">
        <v>0</v>
      </c>
      <c r="K87" s="76">
        <v>0.24</v>
      </c>
      <c r="L87" s="96">
        <v>2.4E-2</v>
      </c>
      <c r="M87" s="99" t="e">
        <f t="shared" si="17"/>
        <v>#DIV/0!</v>
      </c>
      <c r="N87" s="99" t="e">
        <f t="shared" si="18"/>
        <v>#DIV/0!</v>
      </c>
      <c r="O87" s="99" t="e">
        <f t="shared" si="19"/>
        <v>#DIV/0!</v>
      </c>
      <c r="P87" s="99">
        <f t="shared" si="20"/>
        <v>3000</v>
      </c>
      <c r="Q87" s="99">
        <f t="shared" si="21"/>
        <v>3000</v>
      </c>
    </row>
    <row r="88" spans="1:17" ht="20.100000000000001" hidden="1" customHeight="1" x14ac:dyDescent="0.2">
      <c r="A88" s="371"/>
      <c r="B88" s="187" t="s">
        <v>9</v>
      </c>
      <c r="C88" s="97">
        <v>0</v>
      </c>
      <c r="D88" s="97">
        <v>0</v>
      </c>
      <c r="E88" s="97">
        <v>0</v>
      </c>
      <c r="F88" s="76">
        <v>0</v>
      </c>
      <c r="G88" s="96"/>
      <c r="H88" s="97">
        <v>0</v>
      </c>
      <c r="I88" s="76">
        <v>0</v>
      </c>
      <c r="J88" s="76">
        <v>0</v>
      </c>
      <c r="K88" s="76">
        <v>0</v>
      </c>
      <c r="L88" s="96"/>
      <c r="M88" s="99" t="e">
        <f t="shared" si="17"/>
        <v>#DIV/0!</v>
      </c>
      <c r="N88" s="99" t="e">
        <f t="shared" si="18"/>
        <v>#DIV/0!</v>
      </c>
      <c r="O88" s="99" t="e">
        <f t="shared" si="19"/>
        <v>#DIV/0!</v>
      </c>
      <c r="P88" s="99" t="e">
        <f t="shared" si="20"/>
        <v>#DIV/0!</v>
      </c>
      <c r="Q88" s="99" t="e">
        <f t="shared" si="21"/>
        <v>#DIV/0!</v>
      </c>
    </row>
    <row r="89" spans="1:17" ht="20.100000000000001" hidden="1" customHeight="1" x14ac:dyDescent="0.2">
      <c r="A89" s="372"/>
      <c r="B89" s="187" t="s">
        <v>10</v>
      </c>
      <c r="C89" s="97">
        <f t="shared" ref="C89:E89" si="33">C88+C87</f>
        <v>0</v>
      </c>
      <c r="D89" s="97">
        <f t="shared" si="33"/>
        <v>0</v>
      </c>
      <c r="E89" s="97">
        <f t="shared" si="33"/>
        <v>0</v>
      </c>
      <c r="F89" s="97">
        <f t="shared" ref="F89" si="34">F88+F87</f>
        <v>0.08</v>
      </c>
      <c r="G89" s="96"/>
      <c r="H89" s="97">
        <f t="shared" ref="H89" si="35">H88+H87</f>
        <v>0</v>
      </c>
      <c r="I89" s="97">
        <f t="shared" ref="I89" si="36">I88+I87</f>
        <v>0</v>
      </c>
      <c r="J89" s="97">
        <f t="shared" ref="J89" si="37">J88+J87</f>
        <v>0</v>
      </c>
      <c r="K89" s="97">
        <f t="shared" ref="K89" si="38">K88+K87</f>
        <v>0.24</v>
      </c>
      <c r="L89" s="96"/>
      <c r="M89" s="99" t="e">
        <f t="shared" si="17"/>
        <v>#DIV/0!</v>
      </c>
      <c r="N89" s="99" t="e">
        <f t="shared" si="18"/>
        <v>#DIV/0!</v>
      </c>
      <c r="O89" s="99" t="e">
        <f t="shared" si="19"/>
        <v>#DIV/0!</v>
      </c>
      <c r="P89" s="99">
        <f t="shared" si="20"/>
        <v>3000</v>
      </c>
      <c r="Q89" s="99" t="e">
        <f t="shared" si="21"/>
        <v>#DIV/0!</v>
      </c>
    </row>
    <row r="90" spans="1:17" ht="20.100000000000001" customHeight="1" x14ac:dyDescent="0.2">
      <c r="A90" s="345" t="s">
        <v>14</v>
      </c>
      <c r="B90" s="187" t="s">
        <v>8</v>
      </c>
      <c r="C90" s="103">
        <f t="shared" ref="C90:L90" si="39">C7+C10+C13+C14+C17+C18+C19+C22+C23+C24+C25+C28+C34+C37+C40+C43+C50+C53+C56+C59+C60+C63+C64+C70+C73+C76+C79+C82+C86+C67+C31+C83+C87</f>
        <v>7841.6924999999992</v>
      </c>
      <c r="D90" s="103">
        <f t="shared" si="39"/>
        <v>7433.6882999999989</v>
      </c>
      <c r="E90" s="103">
        <f t="shared" si="39"/>
        <v>7330.5684300000003</v>
      </c>
      <c r="F90" s="103">
        <f t="shared" si="39"/>
        <v>7552.9167999999991</v>
      </c>
      <c r="G90" s="103">
        <f t="shared" si="39"/>
        <v>7755.4360000000015</v>
      </c>
      <c r="H90" s="103">
        <f t="shared" si="39"/>
        <v>18919.204399999995</v>
      </c>
      <c r="I90" s="103">
        <f t="shared" si="39"/>
        <v>20118.423173500003</v>
      </c>
      <c r="J90" s="103">
        <f t="shared" si="39"/>
        <v>19413.598606300002</v>
      </c>
      <c r="K90" s="103">
        <f t="shared" si="39"/>
        <v>19429.326590400004</v>
      </c>
      <c r="L90" s="103">
        <f t="shared" si="39"/>
        <v>21555.084993999997</v>
      </c>
      <c r="M90" s="285">
        <f t="shared" si="17"/>
        <v>2412.6429849168399</v>
      </c>
      <c r="N90" s="285">
        <f t="shared" si="18"/>
        <v>2706.3850892833379</v>
      </c>
      <c r="O90" s="285">
        <f t="shared" si="19"/>
        <v>2648.3073982163214</v>
      </c>
      <c r="P90" s="285">
        <f t="shared" si="20"/>
        <v>2572.4269318576376</v>
      </c>
      <c r="Q90" s="285">
        <f t="shared" si="21"/>
        <v>2779.3517984030805</v>
      </c>
    </row>
    <row r="91" spans="1:17" ht="20.100000000000001" customHeight="1" x14ac:dyDescent="0.2">
      <c r="A91" s="345"/>
      <c r="B91" s="187" t="s">
        <v>9</v>
      </c>
      <c r="C91" s="103">
        <f t="shared" ref="C91:L91" si="40">C8+C11+C15+C20+C26+C29+C38+C51+C57+C61+C65+C74+C77+C80+C68+C32+C41+C54+C71+C84+C35</f>
        <v>1791.5079999999998</v>
      </c>
      <c r="D91" s="103">
        <f t="shared" si="40"/>
        <v>1946.3822000000002</v>
      </c>
      <c r="E91" s="103">
        <f t="shared" si="40"/>
        <v>1696.5613000000001</v>
      </c>
      <c r="F91" s="103">
        <f t="shared" si="40"/>
        <v>2016.1620000000003</v>
      </c>
      <c r="G91" s="103">
        <f t="shared" si="40"/>
        <v>2136.5250000000001</v>
      </c>
      <c r="H91" s="103">
        <f t="shared" si="40"/>
        <v>6980.66194</v>
      </c>
      <c r="I91" s="103">
        <f t="shared" si="40"/>
        <v>8634.4990849999995</v>
      </c>
      <c r="J91" s="103">
        <f t="shared" si="40"/>
        <v>8301.5041904500013</v>
      </c>
      <c r="K91" s="103">
        <f t="shared" si="40"/>
        <v>9336.6402859999962</v>
      </c>
      <c r="L91" s="103">
        <f t="shared" si="40"/>
        <v>10091.828193999998</v>
      </c>
      <c r="M91" s="285">
        <f t="shared" si="17"/>
        <v>3896.528477684722</v>
      </c>
      <c r="N91" s="285">
        <f t="shared" si="18"/>
        <v>4436.1786112717218</v>
      </c>
      <c r="O91" s="285">
        <f t="shared" si="19"/>
        <v>4893.1354207183676</v>
      </c>
      <c r="P91" s="285">
        <f t="shared" si="20"/>
        <v>4630.8978574142329</v>
      </c>
      <c r="Q91" s="285">
        <f t="shared" si="21"/>
        <v>4723.4777004715588</v>
      </c>
    </row>
    <row r="92" spans="1:17" s="8" customFormat="1" ht="20.100000000000001" customHeight="1" x14ac:dyDescent="0.2">
      <c r="A92" s="345"/>
      <c r="B92" s="186" t="s">
        <v>10</v>
      </c>
      <c r="C92" s="103">
        <f>C90+C91</f>
        <v>9633.200499999999</v>
      </c>
      <c r="D92" s="103">
        <f t="shared" ref="D92:L92" si="41">D90+D91</f>
        <v>9380.0704999999998</v>
      </c>
      <c r="E92" s="103">
        <f t="shared" si="41"/>
        <v>9027.1297300000006</v>
      </c>
      <c r="F92" s="103">
        <f t="shared" si="41"/>
        <v>9569.0787999999993</v>
      </c>
      <c r="G92" s="103">
        <f t="shared" si="41"/>
        <v>9891.9610000000011</v>
      </c>
      <c r="H92" s="103">
        <f t="shared" si="41"/>
        <v>25899.866339999993</v>
      </c>
      <c r="I92" s="103">
        <f>I90+I91</f>
        <v>28752.922258500002</v>
      </c>
      <c r="J92" s="103">
        <f t="shared" si="41"/>
        <v>27715.102796750005</v>
      </c>
      <c r="K92" s="103">
        <f t="shared" si="41"/>
        <v>28765.966876400002</v>
      </c>
      <c r="L92" s="103">
        <f t="shared" si="41"/>
        <v>31646.913187999995</v>
      </c>
      <c r="M92" s="285">
        <f t="shared" si="17"/>
        <v>2688.6045131106735</v>
      </c>
      <c r="N92" s="285">
        <f t="shared" si="18"/>
        <v>3065.3204854377163</v>
      </c>
      <c r="O92" s="285">
        <f t="shared" si="19"/>
        <v>3070.2010080395735</v>
      </c>
      <c r="P92" s="285">
        <f t="shared" si="20"/>
        <v>3006.1375266760269</v>
      </c>
      <c r="Q92" s="285">
        <f t="shared" si="21"/>
        <v>3199.2557580847715</v>
      </c>
    </row>
    <row r="93" spans="1:17" x14ac:dyDescent="0.2">
      <c r="M93" s="13"/>
      <c r="N93" s="13" t="s">
        <v>33</v>
      </c>
      <c r="P93" s="13"/>
    </row>
  </sheetData>
  <mergeCells count="34">
    <mergeCell ref="A2:Q2"/>
    <mergeCell ref="C4:G4"/>
    <mergeCell ref="H4:L4"/>
    <mergeCell ref="M4:Q4"/>
    <mergeCell ref="A4:A5"/>
    <mergeCell ref="B4:B5"/>
    <mergeCell ref="A47:A48"/>
    <mergeCell ref="B47:B48"/>
    <mergeCell ref="A7:A9"/>
    <mergeCell ref="A10:A12"/>
    <mergeCell ref="A14:A16"/>
    <mergeCell ref="A19:A21"/>
    <mergeCell ref="A25:A27"/>
    <mergeCell ref="A31:A33"/>
    <mergeCell ref="A34:A36"/>
    <mergeCell ref="A37:A39"/>
    <mergeCell ref="A40:A42"/>
    <mergeCell ref="C47:G47"/>
    <mergeCell ref="H47:L47"/>
    <mergeCell ref="M47:Q47"/>
    <mergeCell ref="A50:A52"/>
    <mergeCell ref="A28:A30"/>
    <mergeCell ref="A53:A55"/>
    <mergeCell ref="A56:A58"/>
    <mergeCell ref="A60:A62"/>
    <mergeCell ref="A64:A66"/>
    <mergeCell ref="A67:A69"/>
    <mergeCell ref="A90:A92"/>
    <mergeCell ref="A70:A72"/>
    <mergeCell ref="A73:A75"/>
    <mergeCell ref="A76:A78"/>
    <mergeCell ref="A79:A81"/>
    <mergeCell ref="A83:A85"/>
    <mergeCell ref="A87:A89"/>
  </mergeCells>
  <phoneticPr fontId="0" type="noConversion"/>
  <printOptions horizontalCentered="1" verticalCentered="1"/>
  <pageMargins left="0.511811023622047" right="0.511811023622047" top="0" bottom="0" header="0.511811023622047" footer="0.511811023622047"/>
  <pageSetup paperSize="9" scale="59" orientation="landscape" r:id="rId1"/>
  <headerFooter alignWithMargins="0"/>
  <rowBreaks count="1" manualBreakCount="1">
    <brk id="4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8"/>
  <sheetViews>
    <sheetView tabSelected="1" view="pageBreakPreview" zoomScale="70" zoomScaleSheetLayoutView="70" workbookViewId="0">
      <pane xSplit="1" ySplit="6" topLeftCell="D22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25" style="4" customWidth="1"/>
    <col min="2" max="3" width="11.42578125" style="4" bestFit="1" customWidth="1"/>
    <col min="4" max="4" width="12.85546875" style="4" bestFit="1" customWidth="1"/>
    <col min="5" max="6" width="12.85546875" style="4" customWidth="1"/>
    <col min="7" max="9" width="11.42578125" style="4" bestFit="1" customWidth="1"/>
    <col min="10" max="11" width="11.42578125" style="4" customWidth="1"/>
    <col min="12" max="14" width="10.7109375" style="4" bestFit="1" customWidth="1"/>
    <col min="15" max="17" width="10.7109375" style="4" customWidth="1"/>
    <col min="18" max="16384" width="9.140625" style="4"/>
  </cols>
  <sheetData>
    <row r="2" spans="1:17" ht="22.5" customHeight="1" x14ac:dyDescent="0.2">
      <c r="A2" s="351" t="s">
        <v>180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7" ht="18" x14ac:dyDescent="0.2">
      <c r="A4" s="356" t="s">
        <v>1</v>
      </c>
      <c r="B4" s="342" t="s">
        <v>174</v>
      </c>
      <c r="C4" s="342"/>
      <c r="D4" s="342"/>
      <c r="E4" s="342"/>
      <c r="F4" s="342"/>
      <c r="G4" s="377" t="s">
        <v>68</v>
      </c>
      <c r="H4" s="377"/>
      <c r="I4" s="377"/>
      <c r="J4" s="377"/>
      <c r="K4" s="377"/>
      <c r="L4" s="377" t="s">
        <v>89</v>
      </c>
      <c r="M4" s="377"/>
      <c r="N4" s="377"/>
      <c r="O4" s="377"/>
      <c r="P4" s="377"/>
      <c r="Q4" s="202"/>
    </row>
    <row r="5" spans="1:17" ht="24.75" customHeight="1" x14ac:dyDescent="0.2">
      <c r="A5" s="356"/>
      <c r="B5" s="272" t="s">
        <v>112</v>
      </c>
      <c r="C5" s="272" t="s">
        <v>164</v>
      </c>
      <c r="D5" s="272" t="s">
        <v>199</v>
      </c>
      <c r="E5" s="272" t="s">
        <v>200</v>
      </c>
      <c r="F5" s="276" t="s">
        <v>202</v>
      </c>
      <c r="G5" s="272" t="s">
        <v>112</v>
      </c>
      <c r="H5" s="272" t="s">
        <v>164</v>
      </c>
      <c r="I5" s="272" t="s">
        <v>199</v>
      </c>
      <c r="J5" s="272" t="s">
        <v>200</v>
      </c>
      <c r="K5" s="276" t="s">
        <v>202</v>
      </c>
      <c r="L5" s="272" t="s">
        <v>112</v>
      </c>
      <c r="M5" s="272" t="s">
        <v>164</v>
      </c>
      <c r="N5" s="272" t="s">
        <v>199</v>
      </c>
      <c r="O5" s="272" t="s">
        <v>200</v>
      </c>
      <c r="P5" s="272" t="s">
        <v>202</v>
      </c>
      <c r="Q5" s="210"/>
    </row>
    <row r="6" spans="1:17" s="14" customFormat="1" x14ac:dyDescent="0.2">
      <c r="A6" s="267">
        <v>1</v>
      </c>
      <c r="B6" s="230">
        <v>2</v>
      </c>
      <c r="C6" s="230">
        <v>3</v>
      </c>
      <c r="D6" s="230">
        <v>4</v>
      </c>
      <c r="E6" s="230">
        <v>5</v>
      </c>
      <c r="F6" s="230">
        <v>6</v>
      </c>
      <c r="G6" s="230">
        <v>7</v>
      </c>
      <c r="H6" s="230">
        <v>8</v>
      </c>
      <c r="I6" s="230">
        <v>9</v>
      </c>
      <c r="J6" s="230">
        <v>10</v>
      </c>
      <c r="K6" s="230">
        <v>11</v>
      </c>
      <c r="L6" s="325">
        <v>12</v>
      </c>
      <c r="M6" s="325">
        <v>13</v>
      </c>
      <c r="N6" s="325">
        <v>14</v>
      </c>
      <c r="O6" s="325">
        <v>15</v>
      </c>
      <c r="P6" s="325">
        <v>16</v>
      </c>
      <c r="Q6" s="24"/>
    </row>
    <row r="7" spans="1:17" ht="24.95" customHeight="1" x14ac:dyDescent="0.2">
      <c r="A7" s="28" t="s">
        <v>2</v>
      </c>
      <c r="B7" s="100">
        <v>32</v>
      </c>
      <c r="C7" s="76">
        <v>35</v>
      </c>
      <c r="D7" s="96">
        <v>32</v>
      </c>
      <c r="E7" s="96">
        <v>34</v>
      </c>
      <c r="F7" s="96">
        <v>33</v>
      </c>
      <c r="G7" s="100">
        <v>35</v>
      </c>
      <c r="H7" s="76">
        <v>44.695</v>
      </c>
      <c r="I7" s="76">
        <v>43.136000000000003</v>
      </c>
      <c r="J7" s="76">
        <v>44.88</v>
      </c>
      <c r="K7" s="96">
        <v>39.500999999999998</v>
      </c>
      <c r="L7" s="99">
        <f>G7/B7*1000</f>
        <v>1093.75</v>
      </c>
      <c r="M7" s="99">
        <f t="shared" ref="M7:P22" si="0">H7/C7*1000</f>
        <v>1277</v>
      </c>
      <c r="N7" s="99">
        <f t="shared" si="0"/>
        <v>1348</v>
      </c>
      <c r="O7" s="99">
        <f t="shared" si="0"/>
        <v>1320</v>
      </c>
      <c r="P7" s="99">
        <f t="shared" si="0"/>
        <v>1196.9999999999998</v>
      </c>
    </row>
    <row r="8" spans="1:17" ht="24.95" customHeight="1" x14ac:dyDescent="0.2">
      <c r="A8" s="28" t="s">
        <v>3</v>
      </c>
      <c r="B8" s="76">
        <v>4.7770000000000001</v>
      </c>
      <c r="C8" s="76">
        <v>4.2110000000000003</v>
      </c>
      <c r="D8" s="96">
        <v>2.883</v>
      </c>
      <c r="E8" s="96">
        <v>2.7549999999999999</v>
      </c>
      <c r="F8" s="96">
        <v>2.7650000000000001</v>
      </c>
      <c r="G8" s="76">
        <v>3.456</v>
      </c>
      <c r="H8" s="76">
        <v>4.1857340000000001</v>
      </c>
      <c r="I8" s="76">
        <v>3.0876930000000002</v>
      </c>
      <c r="J8" s="76">
        <v>2.1929799999999999</v>
      </c>
      <c r="K8" s="96">
        <v>2.5825100000000001</v>
      </c>
      <c r="L8" s="99">
        <f t="shared" ref="L8:L28" si="1">G8/B8*1000</f>
        <v>723.46661084362563</v>
      </c>
      <c r="M8" s="99">
        <f t="shared" ref="M8:M28" si="2">H8/C8*1000</f>
        <v>994</v>
      </c>
      <c r="N8" s="99">
        <f t="shared" ref="N8:N28" si="3">I8/D8*1000</f>
        <v>1071.0000000000002</v>
      </c>
      <c r="O8" s="99">
        <f t="shared" ref="O8:P28" si="4">J8/E8*1000</f>
        <v>796</v>
      </c>
      <c r="P8" s="99">
        <f t="shared" si="0"/>
        <v>933.99999999999989</v>
      </c>
    </row>
    <row r="9" spans="1:17" ht="24.95" customHeight="1" x14ac:dyDescent="0.2">
      <c r="A9" s="28" t="s">
        <v>47</v>
      </c>
      <c r="B9" s="76">
        <v>6.3</v>
      </c>
      <c r="C9" s="76">
        <v>4.83</v>
      </c>
      <c r="D9" s="96">
        <v>7.7</v>
      </c>
      <c r="E9" s="96">
        <v>5.73</v>
      </c>
      <c r="F9" s="96">
        <v>5.48</v>
      </c>
      <c r="G9" s="76">
        <v>1.5</v>
      </c>
      <c r="H9" s="76">
        <v>1.2075</v>
      </c>
      <c r="I9" s="76">
        <v>1.6477999999999999</v>
      </c>
      <c r="J9" s="76">
        <v>1.4496900000000001</v>
      </c>
      <c r="K9" s="96">
        <v>1.65496</v>
      </c>
      <c r="L9" s="99">
        <f t="shared" si="1"/>
        <v>238.0952380952381</v>
      </c>
      <c r="M9" s="99">
        <f t="shared" si="2"/>
        <v>250</v>
      </c>
      <c r="N9" s="99">
        <f t="shared" si="3"/>
        <v>214</v>
      </c>
      <c r="O9" s="99">
        <f t="shared" si="4"/>
        <v>253</v>
      </c>
      <c r="P9" s="99">
        <f t="shared" si="0"/>
        <v>302</v>
      </c>
    </row>
    <row r="10" spans="1:17" ht="24.95" customHeight="1" x14ac:dyDescent="0.2">
      <c r="A10" s="28" t="s">
        <v>15</v>
      </c>
      <c r="B10" s="96">
        <v>0</v>
      </c>
      <c r="C10" s="76">
        <v>0</v>
      </c>
      <c r="D10" s="96">
        <v>0</v>
      </c>
      <c r="E10" s="96">
        <v>0</v>
      </c>
      <c r="F10" s="76"/>
      <c r="G10" s="96">
        <v>0</v>
      </c>
      <c r="H10" s="76">
        <v>0</v>
      </c>
      <c r="I10" s="76">
        <v>0</v>
      </c>
      <c r="J10" s="76">
        <v>0</v>
      </c>
      <c r="K10" s="96">
        <v>0</v>
      </c>
      <c r="L10" s="99" t="e">
        <f t="shared" si="1"/>
        <v>#DIV/0!</v>
      </c>
      <c r="M10" s="99" t="e">
        <f t="shared" si="2"/>
        <v>#DIV/0!</v>
      </c>
      <c r="N10" s="99" t="e">
        <f t="shared" si="3"/>
        <v>#DIV/0!</v>
      </c>
      <c r="O10" s="99" t="e">
        <f t="shared" si="4"/>
        <v>#DIV/0!</v>
      </c>
      <c r="P10" s="99" t="e">
        <f t="shared" si="0"/>
        <v>#DIV/0!</v>
      </c>
    </row>
    <row r="11" spans="1:17" ht="24.95" customHeight="1" x14ac:dyDescent="0.2">
      <c r="A11" s="28" t="s">
        <v>4</v>
      </c>
      <c r="B11" s="100">
        <v>19</v>
      </c>
      <c r="C11" s="76">
        <v>12</v>
      </c>
      <c r="D11" s="96">
        <v>11.99</v>
      </c>
      <c r="E11" s="96">
        <v>11.61</v>
      </c>
      <c r="F11" s="96">
        <v>10.47</v>
      </c>
      <c r="G11" s="100">
        <v>27</v>
      </c>
      <c r="H11" s="76">
        <v>10.752000000000001</v>
      </c>
      <c r="I11" s="76">
        <v>9.6399600000000003</v>
      </c>
      <c r="J11" s="76">
        <v>10.007819999999999</v>
      </c>
      <c r="K11" s="96">
        <v>12.616350000000001</v>
      </c>
      <c r="L11" s="99">
        <f t="shared" si="1"/>
        <v>1421.0526315789473</v>
      </c>
      <c r="M11" s="99">
        <f t="shared" si="2"/>
        <v>896</v>
      </c>
      <c r="N11" s="99">
        <f t="shared" si="3"/>
        <v>804</v>
      </c>
      <c r="O11" s="99">
        <f t="shared" si="4"/>
        <v>862</v>
      </c>
      <c r="P11" s="99">
        <f t="shared" si="0"/>
        <v>1205</v>
      </c>
    </row>
    <row r="12" spans="1:17" ht="24.95" customHeight="1" x14ac:dyDescent="0.2">
      <c r="A12" s="28" t="s">
        <v>44</v>
      </c>
      <c r="B12" s="96">
        <v>2.2290000000000001</v>
      </c>
      <c r="C12" s="76">
        <v>1.8169999999999999</v>
      </c>
      <c r="D12" s="96">
        <v>1.72</v>
      </c>
      <c r="E12" s="96">
        <v>1.7569999999999999</v>
      </c>
      <c r="F12" s="96">
        <v>0.58299999999999996</v>
      </c>
      <c r="G12" s="96">
        <v>2.1219999999999999</v>
      </c>
      <c r="H12" s="76">
        <v>1.9180000000000001</v>
      </c>
      <c r="I12" s="76">
        <v>1.8232000000000002</v>
      </c>
      <c r="J12" s="76">
        <v>2.0556900000000002</v>
      </c>
      <c r="K12" s="96">
        <v>0.49088599999999999</v>
      </c>
      <c r="L12" s="99">
        <f t="shared" si="1"/>
        <v>951.99641094661274</v>
      </c>
      <c r="M12" s="99">
        <f t="shared" si="2"/>
        <v>1055.5861309851405</v>
      </c>
      <c r="N12" s="99">
        <f t="shared" si="3"/>
        <v>1060</v>
      </c>
      <c r="O12" s="99">
        <f t="shared" si="4"/>
        <v>1170.0000000000002</v>
      </c>
      <c r="P12" s="99">
        <f t="shared" si="0"/>
        <v>842.00000000000011</v>
      </c>
    </row>
    <row r="13" spans="1:17" ht="24.95" customHeight="1" x14ac:dyDescent="0.2">
      <c r="A13" s="28" t="s">
        <v>19</v>
      </c>
      <c r="B13" s="96">
        <v>8.3000000000000007</v>
      </c>
      <c r="C13" s="76">
        <v>0</v>
      </c>
      <c r="D13" s="96">
        <v>0</v>
      </c>
      <c r="E13" s="96">
        <v>0</v>
      </c>
      <c r="F13" s="76"/>
      <c r="G13" s="105">
        <v>3.6</v>
      </c>
      <c r="H13" s="76">
        <v>0</v>
      </c>
      <c r="I13" s="76">
        <v>0</v>
      </c>
      <c r="J13" s="76">
        <v>0</v>
      </c>
      <c r="K13" s="96">
        <v>0</v>
      </c>
      <c r="L13" s="99">
        <f t="shared" si="1"/>
        <v>433.73493975903608</v>
      </c>
      <c r="M13" s="99" t="e">
        <f t="shared" si="2"/>
        <v>#DIV/0!</v>
      </c>
      <c r="N13" s="99" t="e">
        <f t="shared" si="3"/>
        <v>#DIV/0!</v>
      </c>
      <c r="O13" s="99" t="e">
        <f t="shared" si="4"/>
        <v>#DIV/0!</v>
      </c>
      <c r="P13" s="99" t="e">
        <f t="shared" si="0"/>
        <v>#DIV/0!</v>
      </c>
    </row>
    <row r="14" spans="1:17" ht="24.95" customHeight="1" x14ac:dyDescent="0.2">
      <c r="A14" s="28" t="s">
        <v>57</v>
      </c>
      <c r="B14" s="100">
        <v>22.692</v>
      </c>
      <c r="C14" s="76">
        <v>19.013000000000002</v>
      </c>
      <c r="D14" s="96">
        <v>14.026999999999999</v>
      </c>
      <c r="E14" s="96">
        <v>14.581</v>
      </c>
      <c r="F14" s="96">
        <v>18.768000000000001</v>
      </c>
      <c r="G14" s="100">
        <v>20.024999999999999</v>
      </c>
      <c r="H14" s="76">
        <v>18.480636000000001</v>
      </c>
      <c r="I14" s="76">
        <v>11.291734999999999</v>
      </c>
      <c r="J14" s="76">
        <v>12.758374999999999</v>
      </c>
      <c r="K14" s="96">
        <v>16.403231999999999</v>
      </c>
      <c r="L14" s="99">
        <f t="shared" si="1"/>
        <v>882.4695928080381</v>
      </c>
      <c r="M14" s="99">
        <f t="shared" si="2"/>
        <v>972</v>
      </c>
      <c r="N14" s="99">
        <f t="shared" si="3"/>
        <v>804.99999999999989</v>
      </c>
      <c r="O14" s="99">
        <f t="shared" si="4"/>
        <v>875</v>
      </c>
      <c r="P14" s="99">
        <f t="shared" si="0"/>
        <v>873.99999999999989</v>
      </c>
    </row>
    <row r="15" spans="1:17" ht="24.95" customHeight="1" x14ac:dyDescent="0.2">
      <c r="A15" s="28" t="s">
        <v>5</v>
      </c>
      <c r="B15" s="100">
        <v>598</v>
      </c>
      <c r="C15" s="76">
        <v>778</v>
      </c>
      <c r="D15" s="96">
        <v>527.25</v>
      </c>
      <c r="E15" s="96">
        <v>641</v>
      </c>
      <c r="F15" s="96">
        <v>785</v>
      </c>
      <c r="G15" s="100">
        <v>858.96719999999993</v>
      </c>
      <c r="H15" s="76">
        <v>1286.0340000000001</v>
      </c>
      <c r="I15" s="76">
        <v>677.51625000000001</v>
      </c>
      <c r="J15" s="76">
        <v>1164.056</v>
      </c>
      <c r="K15" s="96">
        <v>1369.825</v>
      </c>
      <c r="L15" s="99">
        <f t="shared" si="1"/>
        <v>1436.3999999999999</v>
      </c>
      <c r="M15" s="99">
        <f t="shared" si="2"/>
        <v>1653</v>
      </c>
      <c r="N15" s="99">
        <f t="shared" si="3"/>
        <v>1285</v>
      </c>
      <c r="O15" s="99">
        <f t="shared" si="4"/>
        <v>1816</v>
      </c>
      <c r="P15" s="99">
        <f t="shared" si="0"/>
        <v>1745</v>
      </c>
    </row>
    <row r="16" spans="1:17" ht="24.95" customHeight="1" x14ac:dyDescent="0.2">
      <c r="A16" s="28" t="s">
        <v>17</v>
      </c>
      <c r="B16" s="100">
        <v>3.3000000000000002E-2</v>
      </c>
      <c r="C16" s="76">
        <v>8.6499999999999994E-2</v>
      </c>
      <c r="D16" s="96">
        <v>0.22470000000000001</v>
      </c>
      <c r="E16" s="96">
        <v>0.21299999999999999</v>
      </c>
      <c r="F16" s="96">
        <v>0.23</v>
      </c>
      <c r="G16" s="100">
        <v>4.2000000000000003E-2</v>
      </c>
      <c r="H16" s="76">
        <v>0.11002799999999999</v>
      </c>
      <c r="I16" s="76">
        <v>0.27143760000000006</v>
      </c>
      <c r="J16" s="76">
        <v>0.26092500000000002</v>
      </c>
      <c r="K16" s="96">
        <v>0.33005000000000001</v>
      </c>
      <c r="L16" s="99">
        <f t="shared" si="1"/>
        <v>1272.7272727272727</v>
      </c>
      <c r="M16" s="99">
        <f t="shared" si="2"/>
        <v>1272</v>
      </c>
      <c r="N16" s="99">
        <f t="shared" si="3"/>
        <v>1208.0000000000002</v>
      </c>
      <c r="O16" s="99">
        <f t="shared" si="4"/>
        <v>1225</v>
      </c>
      <c r="P16" s="99">
        <f t="shared" si="0"/>
        <v>1435</v>
      </c>
    </row>
    <row r="17" spans="1:16" ht="24.95" customHeight="1" x14ac:dyDescent="0.2">
      <c r="A17" s="28" t="s">
        <v>6</v>
      </c>
      <c r="B17" s="100">
        <v>2.6</v>
      </c>
      <c r="C17" s="76">
        <v>0</v>
      </c>
      <c r="D17" s="96">
        <v>0</v>
      </c>
      <c r="E17" s="96">
        <v>0</v>
      </c>
      <c r="F17" s="76"/>
      <c r="G17" s="100">
        <v>0.9</v>
      </c>
      <c r="H17" s="76">
        <v>0</v>
      </c>
      <c r="I17" s="76">
        <v>0</v>
      </c>
      <c r="J17" s="76">
        <v>0</v>
      </c>
      <c r="K17" s="180">
        <v>0</v>
      </c>
      <c r="L17" s="99">
        <f t="shared" si="1"/>
        <v>346.15384615384613</v>
      </c>
      <c r="M17" s="99" t="e">
        <f t="shared" si="2"/>
        <v>#DIV/0!</v>
      </c>
      <c r="N17" s="99" t="e">
        <f t="shared" si="3"/>
        <v>#DIV/0!</v>
      </c>
      <c r="O17" s="99" t="e">
        <f t="shared" si="4"/>
        <v>#DIV/0!</v>
      </c>
      <c r="P17" s="99" t="e">
        <f t="shared" si="0"/>
        <v>#DIV/0!</v>
      </c>
    </row>
    <row r="18" spans="1:16" ht="24.95" customHeight="1" x14ac:dyDescent="0.2">
      <c r="A18" s="211" t="s">
        <v>7</v>
      </c>
      <c r="B18" s="100">
        <v>92.7</v>
      </c>
      <c r="C18" s="76">
        <v>93</v>
      </c>
      <c r="D18" s="96">
        <v>80.3</v>
      </c>
      <c r="E18" s="96">
        <v>82.22</v>
      </c>
      <c r="F18" s="96">
        <v>81.599999999999994</v>
      </c>
      <c r="G18" s="100">
        <v>111.1</v>
      </c>
      <c r="H18" s="76">
        <v>106.485</v>
      </c>
      <c r="I18" s="76">
        <v>93.477229999999992</v>
      </c>
      <c r="J18" s="76">
        <v>87.235420000000005</v>
      </c>
      <c r="K18" s="96">
        <v>93.921599999999998</v>
      </c>
      <c r="L18" s="99">
        <f t="shared" si="1"/>
        <v>1198.4897518878101</v>
      </c>
      <c r="M18" s="99">
        <f t="shared" si="2"/>
        <v>1145</v>
      </c>
      <c r="N18" s="99">
        <f t="shared" si="3"/>
        <v>1164.0999999999999</v>
      </c>
      <c r="O18" s="99">
        <f t="shared" si="4"/>
        <v>1061.0000000000002</v>
      </c>
      <c r="P18" s="99">
        <f t="shared" si="0"/>
        <v>1151</v>
      </c>
    </row>
    <row r="19" spans="1:16" ht="24.95" customHeight="1" x14ac:dyDescent="0.2">
      <c r="A19" s="211" t="s">
        <v>20</v>
      </c>
      <c r="B19" s="100">
        <v>0.33</v>
      </c>
      <c r="C19" s="76">
        <v>0.34</v>
      </c>
      <c r="D19" s="96">
        <v>0.35</v>
      </c>
      <c r="E19" s="96">
        <v>0.35</v>
      </c>
      <c r="F19" s="96">
        <v>0.35</v>
      </c>
      <c r="G19" s="100">
        <v>0.32</v>
      </c>
      <c r="H19" s="76">
        <v>0.33014000000000004</v>
      </c>
      <c r="I19" s="76">
        <v>0.33984999999999999</v>
      </c>
      <c r="J19" s="76">
        <v>0.33984999999999999</v>
      </c>
      <c r="K19" s="96">
        <v>0.33984999999999999</v>
      </c>
      <c r="L19" s="99">
        <f t="shared" si="1"/>
        <v>969.69696969696975</v>
      </c>
      <c r="M19" s="99">
        <f t="shared" si="2"/>
        <v>971.00000000000011</v>
      </c>
      <c r="N19" s="99">
        <f t="shared" si="3"/>
        <v>971</v>
      </c>
      <c r="O19" s="99">
        <f t="shared" si="4"/>
        <v>971</v>
      </c>
      <c r="P19" s="99">
        <f t="shared" si="0"/>
        <v>971</v>
      </c>
    </row>
    <row r="20" spans="1:16" ht="24.95" customHeight="1" x14ac:dyDescent="0.2">
      <c r="A20" s="28" t="s">
        <v>107</v>
      </c>
      <c r="B20" s="96">
        <v>46.97</v>
      </c>
      <c r="C20" s="76">
        <v>42.59</v>
      </c>
      <c r="D20" s="96">
        <v>36.659999999999997</v>
      </c>
      <c r="E20" s="96">
        <v>35.89</v>
      </c>
      <c r="F20" s="96">
        <v>41.31</v>
      </c>
      <c r="G20" s="76">
        <v>33.130000000000003</v>
      </c>
      <c r="H20" s="76">
        <v>32.666530000000002</v>
      </c>
      <c r="I20" s="76">
        <v>25.295399999999997</v>
      </c>
      <c r="J20" s="76">
        <v>26.235589999999998</v>
      </c>
      <c r="K20" s="96">
        <v>32.882760000000005</v>
      </c>
      <c r="L20" s="99">
        <f t="shared" si="1"/>
        <v>705.3438364913776</v>
      </c>
      <c r="M20" s="99">
        <f t="shared" si="2"/>
        <v>767</v>
      </c>
      <c r="N20" s="99">
        <f t="shared" si="3"/>
        <v>690</v>
      </c>
      <c r="O20" s="99">
        <f t="shared" si="4"/>
        <v>731</v>
      </c>
      <c r="P20" s="99">
        <f t="shared" si="0"/>
        <v>796</v>
      </c>
    </row>
    <row r="21" spans="1:16" ht="24.95" customHeight="1" x14ac:dyDescent="0.2">
      <c r="A21" s="28" t="s">
        <v>43</v>
      </c>
      <c r="B21" s="96">
        <v>0</v>
      </c>
      <c r="C21" s="76">
        <v>0</v>
      </c>
      <c r="D21" s="96">
        <v>0</v>
      </c>
      <c r="E21" s="96">
        <v>0</v>
      </c>
      <c r="F21" s="76"/>
      <c r="G21" s="96">
        <v>0</v>
      </c>
      <c r="H21" s="76">
        <v>0</v>
      </c>
      <c r="I21" s="76">
        <v>0</v>
      </c>
      <c r="J21" s="76">
        <v>0</v>
      </c>
      <c r="K21" s="96">
        <v>0</v>
      </c>
      <c r="L21" s="99" t="e">
        <f t="shared" si="1"/>
        <v>#DIV/0!</v>
      </c>
      <c r="M21" s="99" t="e">
        <f t="shared" si="2"/>
        <v>#DIV/0!</v>
      </c>
      <c r="N21" s="99" t="e">
        <f t="shared" si="3"/>
        <v>#DIV/0!</v>
      </c>
      <c r="O21" s="99" t="e">
        <f t="shared" si="4"/>
        <v>#DIV/0!</v>
      </c>
      <c r="P21" s="99" t="e">
        <f t="shared" si="0"/>
        <v>#DIV/0!</v>
      </c>
    </row>
    <row r="22" spans="1:16" ht="24.95" customHeight="1" x14ac:dyDescent="0.2">
      <c r="A22" s="28" t="s">
        <v>11</v>
      </c>
      <c r="B22" s="76">
        <v>61.36</v>
      </c>
      <c r="C22" s="76">
        <v>86.51</v>
      </c>
      <c r="D22" s="76">
        <v>78.599999999999994</v>
      </c>
      <c r="E22" s="76">
        <v>84.54</v>
      </c>
      <c r="F22" s="96">
        <v>82.92</v>
      </c>
      <c r="G22" s="76">
        <v>114.43</v>
      </c>
      <c r="H22" s="76">
        <v>321.29813999999999</v>
      </c>
      <c r="I22" s="76">
        <v>256.00020000000001</v>
      </c>
      <c r="J22" s="76">
        <v>274.50137999999998</v>
      </c>
      <c r="K22" s="96">
        <v>288.64452</v>
      </c>
      <c r="L22" s="99">
        <f t="shared" si="1"/>
        <v>1864.8956975228164</v>
      </c>
      <c r="M22" s="99">
        <f t="shared" si="2"/>
        <v>3713.9999999999995</v>
      </c>
      <c r="N22" s="99">
        <f t="shared" si="3"/>
        <v>3257</v>
      </c>
      <c r="O22" s="99">
        <f t="shared" si="4"/>
        <v>3246.9999999999995</v>
      </c>
      <c r="P22" s="99">
        <f t="shared" si="0"/>
        <v>3481</v>
      </c>
    </row>
    <row r="23" spans="1:16" ht="24.95" customHeight="1" x14ac:dyDescent="0.2">
      <c r="A23" s="28" t="s">
        <v>109</v>
      </c>
      <c r="B23" s="76">
        <v>1</v>
      </c>
      <c r="C23" s="76">
        <v>1</v>
      </c>
      <c r="D23" s="76">
        <v>1</v>
      </c>
      <c r="E23" s="76">
        <v>2</v>
      </c>
      <c r="F23" s="96">
        <v>1</v>
      </c>
      <c r="G23" s="76">
        <v>1</v>
      </c>
      <c r="H23" s="76">
        <v>1.137</v>
      </c>
      <c r="I23" s="76">
        <v>0.97699999999999998</v>
      </c>
      <c r="J23" s="76">
        <v>3.1619999999999999</v>
      </c>
      <c r="K23" s="96">
        <v>1.343</v>
      </c>
      <c r="L23" s="99">
        <f t="shared" si="1"/>
        <v>1000</v>
      </c>
      <c r="M23" s="99">
        <f t="shared" si="2"/>
        <v>1137</v>
      </c>
      <c r="N23" s="99">
        <f t="shared" si="3"/>
        <v>977</v>
      </c>
      <c r="O23" s="99">
        <f t="shared" si="4"/>
        <v>1581</v>
      </c>
      <c r="P23" s="99">
        <f t="shared" si="4"/>
        <v>1343</v>
      </c>
    </row>
    <row r="24" spans="1:16" ht="24.95" customHeight="1" x14ac:dyDescent="0.2">
      <c r="A24" s="28" t="s">
        <v>90</v>
      </c>
      <c r="B24" s="100">
        <v>107</v>
      </c>
      <c r="C24" s="76">
        <v>103</v>
      </c>
      <c r="D24" s="76">
        <v>92</v>
      </c>
      <c r="E24" s="76">
        <v>84</v>
      </c>
      <c r="F24" s="96">
        <v>89</v>
      </c>
      <c r="G24" s="100">
        <v>160</v>
      </c>
      <c r="H24" s="76">
        <v>140.80099999999999</v>
      </c>
      <c r="I24" s="76">
        <v>109.848</v>
      </c>
      <c r="J24" s="76">
        <v>120.12</v>
      </c>
      <c r="K24" s="96">
        <v>129.851</v>
      </c>
      <c r="L24" s="99">
        <f t="shared" si="1"/>
        <v>1495.3271028037382</v>
      </c>
      <c r="M24" s="99">
        <f t="shared" si="2"/>
        <v>1366.9999999999998</v>
      </c>
      <c r="N24" s="99">
        <f t="shared" si="3"/>
        <v>1194</v>
      </c>
      <c r="O24" s="99">
        <f t="shared" si="4"/>
        <v>1430.0000000000002</v>
      </c>
      <c r="P24" s="99">
        <f t="shared" si="4"/>
        <v>1459</v>
      </c>
    </row>
    <row r="25" spans="1:16" ht="24.95" customHeight="1" x14ac:dyDescent="0.2">
      <c r="A25" s="28" t="s">
        <v>13</v>
      </c>
      <c r="B25" s="100">
        <v>9.9149999999999991</v>
      </c>
      <c r="C25" s="76">
        <v>12</v>
      </c>
      <c r="D25" s="76">
        <v>3.274</v>
      </c>
      <c r="E25" s="76">
        <v>2.851</v>
      </c>
      <c r="F25" s="96">
        <v>6.0289999999999999</v>
      </c>
      <c r="G25" s="100">
        <v>10.989000000000001</v>
      </c>
      <c r="H25" s="76">
        <v>13.560000000000004</v>
      </c>
      <c r="I25" s="76">
        <v>2.9302299999999999</v>
      </c>
      <c r="J25" s="76">
        <v>4.173864</v>
      </c>
      <c r="K25" s="96">
        <v>6.4691169999999998</v>
      </c>
      <c r="L25" s="99">
        <f t="shared" si="1"/>
        <v>1108.320726172466</v>
      </c>
      <c r="M25" s="99">
        <f t="shared" si="2"/>
        <v>1130.0000000000002</v>
      </c>
      <c r="N25" s="99">
        <f t="shared" si="3"/>
        <v>894.99999999999989</v>
      </c>
      <c r="O25" s="99">
        <f t="shared" si="4"/>
        <v>1464</v>
      </c>
      <c r="P25" s="99">
        <f t="shared" si="4"/>
        <v>1073</v>
      </c>
    </row>
    <row r="26" spans="1:16" ht="24.95" customHeight="1" x14ac:dyDescent="0.2">
      <c r="A26" s="28" t="s">
        <v>54</v>
      </c>
      <c r="B26" s="100">
        <v>0.86</v>
      </c>
      <c r="C26" s="96">
        <v>0.85</v>
      </c>
      <c r="D26" s="76">
        <v>0.92</v>
      </c>
      <c r="E26" s="76">
        <v>0.9</v>
      </c>
      <c r="F26" s="96">
        <v>0.84499999999999997</v>
      </c>
      <c r="G26" s="100">
        <v>1.462</v>
      </c>
      <c r="H26" s="76">
        <v>1.4450000000000001</v>
      </c>
      <c r="I26" s="76">
        <v>1.3248</v>
      </c>
      <c r="J26" s="76">
        <v>1.4850000000000001</v>
      </c>
      <c r="K26" s="96">
        <v>1.39594</v>
      </c>
      <c r="L26" s="99">
        <f t="shared" si="1"/>
        <v>1700</v>
      </c>
      <c r="M26" s="99">
        <f t="shared" si="2"/>
        <v>1700.0000000000002</v>
      </c>
      <c r="N26" s="99">
        <f t="shared" si="3"/>
        <v>1440</v>
      </c>
      <c r="O26" s="99">
        <f t="shared" si="4"/>
        <v>1650.0000000000002</v>
      </c>
      <c r="P26" s="99">
        <f t="shared" si="4"/>
        <v>1652</v>
      </c>
    </row>
    <row r="27" spans="1:16" ht="24.95" customHeight="1" x14ac:dyDescent="0.2">
      <c r="A27" s="28" t="s">
        <v>113</v>
      </c>
      <c r="B27" s="96">
        <v>4.7E-2</v>
      </c>
      <c r="C27" s="96">
        <v>4.4999999999999998E-2</v>
      </c>
      <c r="D27" s="76">
        <v>4.1000000000000002E-2</v>
      </c>
      <c r="E27" s="76">
        <v>5.8999999999999997E-2</v>
      </c>
      <c r="F27" s="96">
        <v>4.4999999999999998E-2</v>
      </c>
      <c r="G27" s="105">
        <v>6.7000000000000004E-2</v>
      </c>
      <c r="H27" s="76">
        <v>0.13000499999999998</v>
      </c>
      <c r="I27" s="76">
        <v>9.7990000000000008E-2</v>
      </c>
      <c r="J27" s="76">
        <v>0.142013</v>
      </c>
      <c r="K27" s="96">
        <v>0.10898999999999999</v>
      </c>
      <c r="L27" s="99">
        <f t="shared" si="1"/>
        <v>1425.5319148936171</v>
      </c>
      <c r="M27" s="99">
        <f t="shared" si="2"/>
        <v>2889</v>
      </c>
      <c r="N27" s="99">
        <f t="shared" si="3"/>
        <v>2390</v>
      </c>
      <c r="O27" s="99">
        <f t="shared" si="4"/>
        <v>2407</v>
      </c>
      <c r="P27" s="99">
        <f t="shared" si="4"/>
        <v>2421.9999999999995</v>
      </c>
    </row>
    <row r="28" spans="1:16" ht="24.95" customHeight="1" x14ac:dyDescent="0.2">
      <c r="A28" s="29" t="s">
        <v>14</v>
      </c>
      <c r="B28" s="103">
        <f>SUM(B7:B27)</f>
        <v>1016.1130000000002</v>
      </c>
      <c r="C28" s="103">
        <f t="shared" ref="C28:K28" si="5">SUM(C7:C27)</f>
        <v>1194.2925</v>
      </c>
      <c r="D28" s="103">
        <f t="shared" si="5"/>
        <v>890.93970000000002</v>
      </c>
      <c r="E28" s="103">
        <f t="shared" si="5"/>
        <v>1004.4559999999999</v>
      </c>
      <c r="F28" s="103">
        <f t="shared" si="5"/>
        <v>1159.3950000000002</v>
      </c>
      <c r="G28" s="103">
        <f t="shared" si="5"/>
        <v>1385.1102000000001</v>
      </c>
      <c r="H28" s="103">
        <f t="shared" si="5"/>
        <v>1985.2357129999996</v>
      </c>
      <c r="I28" s="103">
        <f t="shared" si="5"/>
        <v>1238.7047755999999</v>
      </c>
      <c r="J28" s="103">
        <f t="shared" si="5"/>
        <v>1755.056597</v>
      </c>
      <c r="K28" s="103">
        <f t="shared" si="5"/>
        <v>1998.3607650000004</v>
      </c>
      <c r="L28" s="285">
        <f t="shared" si="1"/>
        <v>1363.1458312215275</v>
      </c>
      <c r="M28" s="285">
        <f t="shared" si="2"/>
        <v>1662.2692623456981</v>
      </c>
      <c r="N28" s="285">
        <f t="shared" si="3"/>
        <v>1390.3351434446122</v>
      </c>
      <c r="O28" s="285">
        <f t="shared" si="4"/>
        <v>1747.2707585001237</v>
      </c>
      <c r="P28" s="285">
        <f t="shared" si="4"/>
        <v>1723.6237563556856</v>
      </c>
    </row>
  </sheetData>
  <mergeCells count="5">
    <mergeCell ref="A4:A5"/>
    <mergeCell ref="B4:F4"/>
    <mergeCell ref="G4:K4"/>
    <mergeCell ref="A2:P2"/>
    <mergeCell ref="L4:P4"/>
  </mergeCells>
  <phoneticPr fontId="0" type="noConversion"/>
  <printOptions horizontalCentered="1" verticalCentered="1"/>
  <pageMargins left="0.511811023622047" right="0.511811023622047" top="0.23622047244094499" bottom="0.23622047244094499" header="0.511811023622047" footer="0.511811023622047"/>
  <pageSetup paperSize="9" scale="70" orientation="landscape" r:id="rId1"/>
  <headerFooter alignWithMargins="0"/>
  <rowBreaks count="1" manualBreakCount="1">
    <brk id="4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P37"/>
  <sheetViews>
    <sheetView tabSelected="1" view="pageBreakPreview" zoomScale="60" workbookViewId="0">
      <pane xSplit="1" ySplit="6" topLeftCell="E31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RowHeight="15" x14ac:dyDescent="0.2"/>
  <cols>
    <col min="1" max="1" width="37.140625" style="4" customWidth="1"/>
    <col min="2" max="3" width="13.140625" style="4" customWidth="1"/>
    <col min="4" max="6" width="11.7109375" style="4" bestFit="1" customWidth="1"/>
    <col min="7" max="11" width="13.140625" style="4" customWidth="1"/>
    <col min="12" max="12" width="11.7109375" style="4" customWidth="1"/>
    <col min="13" max="16" width="11.7109375" style="4" bestFit="1" customWidth="1"/>
    <col min="17" max="16384" width="9.140625" style="4"/>
  </cols>
  <sheetData>
    <row r="2" spans="1:16" ht="20.25" customHeight="1" x14ac:dyDescent="0.2">
      <c r="A2" s="378" t="s">
        <v>181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</row>
    <row r="3" spans="1:16" ht="19.5" customHeight="1" x14ac:dyDescent="0.2">
      <c r="N3" s="8"/>
      <c r="O3" s="8"/>
      <c r="P3" s="8"/>
    </row>
    <row r="4" spans="1:16" ht="24" customHeight="1" x14ac:dyDescent="0.2">
      <c r="A4" s="340" t="s">
        <v>1</v>
      </c>
      <c r="B4" s="365" t="s">
        <v>174</v>
      </c>
      <c r="C4" s="366"/>
      <c r="D4" s="366"/>
      <c r="E4" s="366"/>
      <c r="F4" s="367"/>
      <c r="G4" s="365" t="s">
        <v>68</v>
      </c>
      <c r="H4" s="366"/>
      <c r="I4" s="366"/>
      <c r="J4" s="366"/>
      <c r="K4" s="367"/>
      <c r="L4" s="342" t="s">
        <v>89</v>
      </c>
      <c r="M4" s="342"/>
      <c r="N4" s="342"/>
      <c r="O4" s="342"/>
      <c r="P4" s="342"/>
    </row>
    <row r="5" spans="1:16" ht="33.75" customHeight="1" x14ac:dyDescent="0.2">
      <c r="A5" s="340"/>
      <c r="B5" s="271" t="s">
        <v>112</v>
      </c>
      <c r="C5" s="271" t="s">
        <v>164</v>
      </c>
      <c r="D5" s="271" t="s">
        <v>199</v>
      </c>
      <c r="E5" s="271" t="s">
        <v>200</v>
      </c>
      <c r="F5" s="273" t="s">
        <v>202</v>
      </c>
      <c r="G5" s="271" t="s">
        <v>112</v>
      </c>
      <c r="H5" s="271" t="s">
        <v>164</v>
      </c>
      <c r="I5" s="271" t="s">
        <v>199</v>
      </c>
      <c r="J5" s="271" t="s">
        <v>200</v>
      </c>
      <c r="K5" s="273" t="s">
        <v>202</v>
      </c>
      <c r="L5" s="339" t="s">
        <v>112</v>
      </c>
      <c r="M5" s="339" t="s">
        <v>164</v>
      </c>
      <c r="N5" s="339" t="s">
        <v>199</v>
      </c>
      <c r="O5" s="339" t="s">
        <v>200</v>
      </c>
      <c r="P5" s="339" t="s">
        <v>202</v>
      </c>
    </row>
    <row r="6" spans="1:16" s="14" customFormat="1" ht="15.75" customHeight="1" x14ac:dyDescent="0.2">
      <c r="A6" s="200">
        <v>1</v>
      </c>
      <c r="B6" s="230">
        <v>2</v>
      </c>
      <c r="C6" s="230">
        <v>3</v>
      </c>
      <c r="D6" s="230">
        <v>4</v>
      </c>
      <c r="E6" s="230">
        <v>5</v>
      </c>
      <c r="F6" s="230">
        <v>6</v>
      </c>
      <c r="G6" s="230">
        <v>7</v>
      </c>
      <c r="H6" s="230">
        <v>8</v>
      </c>
      <c r="I6" s="230">
        <v>9</v>
      </c>
      <c r="J6" s="230">
        <v>10</v>
      </c>
      <c r="K6" s="230">
        <v>11</v>
      </c>
      <c r="L6" s="230">
        <v>12</v>
      </c>
      <c r="M6" s="230">
        <v>13</v>
      </c>
      <c r="N6" s="230">
        <v>14</v>
      </c>
      <c r="O6" s="230">
        <v>15</v>
      </c>
      <c r="P6" s="230">
        <v>16</v>
      </c>
    </row>
    <row r="7" spans="1:16" ht="30.75" customHeight="1" x14ac:dyDescent="0.2">
      <c r="A7" s="201" t="s">
        <v>2</v>
      </c>
      <c r="B7" s="100">
        <v>31</v>
      </c>
      <c r="C7" s="76">
        <v>21</v>
      </c>
      <c r="D7" s="76">
        <v>13</v>
      </c>
      <c r="E7" s="76">
        <v>22</v>
      </c>
      <c r="F7" s="96">
        <v>22</v>
      </c>
      <c r="G7" s="100">
        <v>24</v>
      </c>
      <c r="H7" s="76">
        <v>15.999999999999998</v>
      </c>
      <c r="I7" s="76">
        <v>6</v>
      </c>
      <c r="J7" s="76">
        <v>22</v>
      </c>
      <c r="K7" s="75">
        <v>19.007999999999999</v>
      </c>
      <c r="L7" s="106">
        <f>G7/B7*1000</f>
        <v>774.19354838709671</v>
      </c>
      <c r="M7" s="106">
        <f t="shared" ref="M7:P22" si="0">H7/C7*1000</f>
        <v>761.90476190476181</v>
      </c>
      <c r="N7" s="106">
        <f t="shared" si="0"/>
        <v>461.53846153846155</v>
      </c>
      <c r="O7" s="106">
        <f t="shared" si="0"/>
        <v>1000</v>
      </c>
      <c r="P7" s="106">
        <f t="shared" si="0"/>
        <v>864</v>
      </c>
    </row>
    <row r="8" spans="1:16" ht="30.75" customHeight="1" x14ac:dyDescent="0.2">
      <c r="A8" s="201" t="s">
        <v>24</v>
      </c>
      <c r="B8" s="100">
        <v>5.2809999999999997</v>
      </c>
      <c r="C8" s="76">
        <v>26.765000000000001</v>
      </c>
      <c r="D8" s="76">
        <v>26.774999999999999</v>
      </c>
      <c r="E8" s="76">
        <v>26.76</v>
      </c>
      <c r="F8" s="96">
        <v>26.817</v>
      </c>
      <c r="G8" s="100">
        <v>27.03</v>
      </c>
      <c r="H8" s="76">
        <v>27.3003</v>
      </c>
      <c r="I8" s="76">
        <v>27.390824999999996</v>
      </c>
      <c r="J8" s="76">
        <v>27.428999999999998</v>
      </c>
      <c r="K8" s="75">
        <v>27.621509999999997</v>
      </c>
      <c r="L8" s="106">
        <f t="shared" ref="L8:L35" si="1">G8/B8*1000</f>
        <v>5118.3487975762164</v>
      </c>
      <c r="M8" s="106">
        <f t="shared" ref="M8:M35" si="2">H8/C8*1000</f>
        <v>1020</v>
      </c>
      <c r="N8" s="106">
        <f t="shared" ref="N8:N35" si="3">I8/D8*1000</f>
        <v>1022.9999999999999</v>
      </c>
      <c r="O8" s="106">
        <f t="shared" ref="O8:P35" si="4">J8/E8*1000</f>
        <v>1025</v>
      </c>
      <c r="P8" s="106">
        <f t="shared" si="0"/>
        <v>1029.9999999999998</v>
      </c>
    </row>
    <row r="9" spans="1:16" ht="30.75" customHeight="1" x14ac:dyDescent="0.2">
      <c r="A9" s="201" t="s">
        <v>25</v>
      </c>
      <c r="B9" s="76">
        <v>4.7489999999999997</v>
      </c>
      <c r="C9" s="76">
        <v>5.2329999999999997</v>
      </c>
      <c r="D9" s="76">
        <v>5.21</v>
      </c>
      <c r="E9" s="76">
        <v>5.2119999999999997</v>
      </c>
      <c r="F9" s="180">
        <v>4.9729999999999999</v>
      </c>
      <c r="G9" s="76">
        <v>2.927</v>
      </c>
      <c r="H9" s="76">
        <v>3.0560719999999995</v>
      </c>
      <c r="I9" s="76">
        <v>3.0582699999999998</v>
      </c>
      <c r="J9" s="76">
        <v>3.2262279999999999</v>
      </c>
      <c r="K9" s="75">
        <v>3.2622879999999999</v>
      </c>
      <c r="L9" s="106">
        <f t="shared" si="1"/>
        <v>616.34028216466629</v>
      </c>
      <c r="M9" s="106">
        <f t="shared" si="2"/>
        <v>584</v>
      </c>
      <c r="N9" s="106">
        <f t="shared" si="3"/>
        <v>587</v>
      </c>
      <c r="O9" s="106">
        <f t="shared" si="4"/>
        <v>619</v>
      </c>
      <c r="P9" s="106">
        <f t="shared" si="0"/>
        <v>656</v>
      </c>
    </row>
    <row r="10" spans="1:16" ht="30.75" customHeight="1" x14ac:dyDescent="0.2">
      <c r="A10" s="201" t="s">
        <v>40</v>
      </c>
      <c r="B10" s="100">
        <v>3.2010000000000001</v>
      </c>
      <c r="C10" s="76">
        <v>4.4020000000000001</v>
      </c>
      <c r="D10" s="76">
        <v>9.3170000000000002</v>
      </c>
      <c r="E10" s="76">
        <v>2.0489999999999999</v>
      </c>
      <c r="F10" s="96">
        <v>2.1739999999999999</v>
      </c>
      <c r="G10" s="100">
        <v>3.0949999999999998</v>
      </c>
      <c r="H10" s="76">
        <v>3.3103039999999999</v>
      </c>
      <c r="I10" s="76">
        <v>6.9970670000000004</v>
      </c>
      <c r="J10" s="76">
        <v>1.5469949999999999</v>
      </c>
      <c r="K10" s="75">
        <v>1.637022</v>
      </c>
      <c r="L10" s="106">
        <f t="shared" si="1"/>
        <v>966.8853483286473</v>
      </c>
      <c r="M10" s="106">
        <f t="shared" si="2"/>
        <v>752</v>
      </c>
      <c r="N10" s="106">
        <f t="shared" si="3"/>
        <v>751</v>
      </c>
      <c r="O10" s="106">
        <f t="shared" si="4"/>
        <v>755</v>
      </c>
      <c r="P10" s="106">
        <f t="shared" si="0"/>
        <v>753</v>
      </c>
    </row>
    <row r="11" spans="1:16" ht="30.75" customHeight="1" x14ac:dyDescent="0.2">
      <c r="A11" s="201" t="s">
        <v>47</v>
      </c>
      <c r="B11" s="100">
        <v>89.2</v>
      </c>
      <c r="C11" s="76">
        <v>89.47</v>
      </c>
      <c r="D11" s="76">
        <v>86.25</v>
      </c>
      <c r="E11" s="76">
        <v>63.37</v>
      </c>
      <c r="F11" s="96">
        <v>84.62</v>
      </c>
      <c r="G11" s="100">
        <v>25.4</v>
      </c>
      <c r="H11" s="76">
        <v>21.129999999999995</v>
      </c>
      <c r="I11" s="76">
        <v>28.609999999999996</v>
      </c>
      <c r="J11" s="76">
        <v>19.039999999999996</v>
      </c>
      <c r="K11" s="75">
        <v>21.831960000000002</v>
      </c>
      <c r="L11" s="106">
        <f t="shared" si="1"/>
        <v>284.75336322869953</v>
      </c>
      <c r="M11" s="106">
        <f t="shared" si="2"/>
        <v>236.16854811668711</v>
      </c>
      <c r="N11" s="106">
        <f t="shared" si="3"/>
        <v>331.71014492753619</v>
      </c>
      <c r="O11" s="106">
        <f t="shared" si="4"/>
        <v>300.45762979327748</v>
      </c>
      <c r="P11" s="106">
        <f t="shared" si="0"/>
        <v>258</v>
      </c>
    </row>
    <row r="12" spans="1:16" ht="30.75" hidden="1" customHeight="1" x14ac:dyDescent="0.2">
      <c r="A12" s="201" t="s">
        <v>15</v>
      </c>
      <c r="B12" s="76"/>
      <c r="C12" s="76"/>
      <c r="D12" s="76"/>
      <c r="E12" s="76"/>
      <c r="F12" s="96"/>
      <c r="G12" s="76"/>
      <c r="H12" s="76"/>
      <c r="I12" s="76">
        <v>0</v>
      </c>
      <c r="J12" s="76"/>
      <c r="K12" s="75">
        <v>0</v>
      </c>
      <c r="L12" s="106" t="e">
        <f t="shared" si="1"/>
        <v>#DIV/0!</v>
      </c>
      <c r="M12" s="106" t="e">
        <f t="shared" si="2"/>
        <v>#DIV/0!</v>
      </c>
      <c r="N12" s="106" t="e">
        <f t="shared" si="3"/>
        <v>#DIV/0!</v>
      </c>
      <c r="O12" s="106" t="e">
        <f t="shared" si="4"/>
        <v>#DIV/0!</v>
      </c>
      <c r="P12" s="106" t="e">
        <f t="shared" si="0"/>
        <v>#DIV/0!</v>
      </c>
    </row>
    <row r="13" spans="1:16" ht="30.75" customHeight="1" x14ac:dyDescent="0.2">
      <c r="A13" s="201" t="s">
        <v>4</v>
      </c>
      <c r="B13" s="76">
        <v>22</v>
      </c>
      <c r="C13" s="76">
        <v>13</v>
      </c>
      <c r="D13" s="76">
        <v>1.3</v>
      </c>
      <c r="E13" s="76">
        <v>0.28999999999999998</v>
      </c>
      <c r="F13" s="96">
        <v>8.4600000000000009</v>
      </c>
      <c r="G13" s="76">
        <v>28</v>
      </c>
      <c r="H13" s="76">
        <v>15.73</v>
      </c>
      <c r="I13" s="76">
        <v>1.2415</v>
      </c>
      <c r="J13" s="76">
        <v>0.16239999999999999</v>
      </c>
      <c r="K13" s="75">
        <v>13.036860000000001</v>
      </c>
      <c r="L13" s="106">
        <f t="shared" si="1"/>
        <v>1272.7272727272727</v>
      </c>
      <c r="M13" s="106">
        <f t="shared" si="2"/>
        <v>1210</v>
      </c>
      <c r="N13" s="106">
        <f t="shared" si="3"/>
        <v>955</v>
      </c>
      <c r="O13" s="106">
        <f t="shared" si="4"/>
        <v>560</v>
      </c>
      <c r="P13" s="106">
        <f t="shared" si="0"/>
        <v>1541</v>
      </c>
    </row>
    <row r="14" spans="1:16" ht="30.75" customHeight="1" x14ac:dyDescent="0.2">
      <c r="A14" s="201" t="s">
        <v>44</v>
      </c>
      <c r="B14" s="96">
        <v>4.9130000000000003</v>
      </c>
      <c r="C14" s="76">
        <v>4.0979999999999999</v>
      </c>
      <c r="D14" s="76">
        <v>5.0119999999999996</v>
      </c>
      <c r="E14" s="76">
        <v>5.2140000000000004</v>
      </c>
      <c r="F14" s="96">
        <v>2.4049999999999998</v>
      </c>
      <c r="G14" s="96">
        <v>3.8319999999999999</v>
      </c>
      <c r="H14" s="76">
        <v>3.3059999999999996</v>
      </c>
      <c r="I14" s="76">
        <v>4.0597199999999996</v>
      </c>
      <c r="J14" s="76">
        <v>4.64046</v>
      </c>
      <c r="K14" s="75">
        <v>2.3376600000000001</v>
      </c>
      <c r="L14" s="106">
        <f t="shared" si="1"/>
        <v>779.9715041726032</v>
      </c>
      <c r="M14" s="106">
        <f t="shared" si="2"/>
        <v>806.73499267935563</v>
      </c>
      <c r="N14" s="106">
        <f t="shared" si="3"/>
        <v>809.99999999999989</v>
      </c>
      <c r="O14" s="106">
        <f t="shared" si="4"/>
        <v>889.99999999999989</v>
      </c>
      <c r="P14" s="106">
        <f t="shared" si="0"/>
        <v>972.00000000000011</v>
      </c>
    </row>
    <row r="15" spans="1:16" ht="30.75" customHeight="1" x14ac:dyDescent="0.2">
      <c r="A15" s="201" t="s">
        <v>45</v>
      </c>
      <c r="B15" s="76">
        <v>9.1029999999999998</v>
      </c>
      <c r="C15" s="76">
        <v>6.19</v>
      </c>
      <c r="D15" s="76">
        <v>4.9859999999999998</v>
      </c>
      <c r="E15" s="76">
        <v>7.923</v>
      </c>
      <c r="F15" s="96">
        <v>8.11</v>
      </c>
      <c r="G15" s="76">
        <v>3.7639999999999998</v>
      </c>
      <c r="H15" s="76">
        <v>3.0764300000000002</v>
      </c>
      <c r="I15" s="76">
        <v>1.7002259999999998</v>
      </c>
      <c r="J15" s="76">
        <v>0</v>
      </c>
      <c r="K15" s="75">
        <v>2.1410399999999998</v>
      </c>
      <c r="L15" s="106">
        <f t="shared" si="1"/>
        <v>413.49005822256396</v>
      </c>
      <c r="M15" s="106">
        <f t="shared" si="2"/>
        <v>497</v>
      </c>
      <c r="N15" s="106">
        <f t="shared" si="3"/>
        <v>340.99999999999994</v>
      </c>
      <c r="O15" s="106">
        <f t="shared" si="4"/>
        <v>0</v>
      </c>
      <c r="P15" s="106">
        <f t="shared" si="0"/>
        <v>264</v>
      </c>
    </row>
    <row r="16" spans="1:16" ht="30.75" hidden="1" customHeight="1" x14ac:dyDescent="0.2">
      <c r="A16" s="201" t="s">
        <v>41</v>
      </c>
      <c r="B16" s="76"/>
      <c r="C16" s="76"/>
      <c r="D16" s="76"/>
      <c r="E16" s="76"/>
      <c r="F16" s="96"/>
      <c r="G16" s="76"/>
      <c r="H16" s="76">
        <v>0</v>
      </c>
      <c r="I16" s="76">
        <v>0</v>
      </c>
      <c r="J16" s="76"/>
      <c r="K16" s="5"/>
      <c r="L16" s="106" t="e">
        <f t="shared" si="1"/>
        <v>#DIV/0!</v>
      </c>
      <c r="M16" s="106" t="e">
        <f t="shared" si="2"/>
        <v>#DIV/0!</v>
      </c>
      <c r="N16" s="106" t="e">
        <f t="shared" si="3"/>
        <v>#DIV/0!</v>
      </c>
      <c r="O16" s="106" t="e">
        <f t="shared" si="4"/>
        <v>#DIV/0!</v>
      </c>
      <c r="P16" s="106" t="e">
        <f t="shared" si="0"/>
        <v>#DIV/0!</v>
      </c>
    </row>
    <row r="17" spans="1:16" ht="30.75" customHeight="1" x14ac:dyDescent="0.2">
      <c r="A17" s="201" t="s">
        <v>5</v>
      </c>
      <c r="B17" s="76">
        <v>21</v>
      </c>
      <c r="C17" s="76">
        <v>34</v>
      </c>
      <c r="D17" s="76">
        <v>18.809999999999999</v>
      </c>
      <c r="E17" s="76">
        <v>49</v>
      </c>
      <c r="F17" s="96">
        <v>26</v>
      </c>
      <c r="G17" s="76">
        <v>7</v>
      </c>
      <c r="H17" s="76">
        <v>26.01</v>
      </c>
      <c r="I17" s="76">
        <v>16.590419999999998</v>
      </c>
      <c r="J17" s="76">
        <v>37.484999999999999</v>
      </c>
      <c r="K17" s="75">
        <v>20.228000000000002</v>
      </c>
      <c r="L17" s="106">
        <f t="shared" si="1"/>
        <v>333.33333333333331</v>
      </c>
      <c r="M17" s="106">
        <f t="shared" si="2"/>
        <v>765</v>
      </c>
      <c r="N17" s="106">
        <f t="shared" si="3"/>
        <v>882</v>
      </c>
      <c r="O17" s="106">
        <f t="shared" si="4"/>
        <v>765</v>
      </c>
      <c r="P17" s="106">
        <f t="shared" si="0"/>
        <v>778</v>
      </c>
    </row>
    <row r="18" spans="1:16" ht="30.75" customHeight="1" x14ac:dyDescent="0.2">
      <c r="A18" s="201" t="s">
        <v>17</v>
      </c>
      <c r="B18" s="100">
        <v>8.9999999999999993E-3</v>
      </c>
      <c r="C18" s="76">
        <v>2.35E-2</v>
      </c>
      <c r="D18" s="76">
        <v>4.7500000000000001E-2</v>
      </c>
      <c r="E18" s="76">
        <v>5.7000000000000002E-2</v>
      </c>
      <c r="F18" s="96">
        <v>0.05</v>
      </c>
      <c r="G18" s="100">
        <v>6.0000000000000001E-3</v>
      </c>
      <c r="H18" s="76">
        <v>1.6896499999999998E-2</v>
      </c>
      <c r="I18" s="76">
        <v>3.4485000000000002E-2</v>
      </c>
      <c r="J18" s="76">
        <v>4.2978000000000002E-2</v>
      </c>
      <c r="K18" s="75">
        <v>3.7249999999999998E-2</v>
      </c>
      <c r="L18" s="106">
        <f t="shared" si="1"/>
        <v>666.66666666666674</v>
      </c>
      <c r="M18" s="106">
        <f t="shared" si="2"/>
        <v>719</v>
      </c>
      <c r="N18" s="106">
        <f t="shared" si="3"/>
        <v>726</v>
      </c>
      <c r="O18" s="106">
        <f t="shared" si="4"/>
        <v>754</v>
      </c>
      <c r="P18" s="106">
        <f t="shared" si="0"/>
        <v>744.99999999999989</v>
      </c>
    </row>
    <row r="19" spans="1:16" ht="30.75" customHeight="1" x14ac:dyDescent="0.2">
      <c r="A19" s="201" t="s">
        <v>6</v>
      </c>
      <c r="B19" s="76">
        <v>184</v>
      </c>
      <c r="C19" s="76">
        <v>148</v>
      </c>
      <c r="D19" s="76">
        <v>89</v>
      </c>
      <c r="E19" s="76">
        <v>84</v>
      </c>
      <c r="F19" s="180">
        <v>78</v>
      </c>
      <c r="G19" s="76">
        <v>113.02200000000001</v>
      </c>
      <c r="H19" s="76">
        <v>144</v>
      </c>
      <c r="I19" s="76">
        <v>58.999999999999993</v>
      </c>
      <c r="J19" s="76">
        <v>74</v>
      </c>
      <c r="K19" s="265">
        <v>69.42</v>
      </c>
      <c r="L19" s="106">
        <f t="shared" si="1"/>
        <v>614.25000000000011</v>
      </c>
      <c r="M19" s="106">
        <f t="shared" si="2"/>
        <v>972.97297297297303</v>
      </c>
      <c r="N19" s="106">
        <f t="shared" si="3"/>
        <v>662.92134831460669</v>
      </c>
      <c r="O19" s="106">
        <f t="shared" si="4"/>
        <v>880.95238095238096</v>
      </c>
      <c r="P19" s="106">
        <f t="shared" si="0"/>
        <v>890</v>
      </c>
    </row>
    <row r="20" spans="1:16" ht="30.75" customHeight="1" x14ac:dyDescent="0.2">
      <c r="A20" s="198" t="s">
        <v>7</v>
      </c>
      <c r="B20" s="100">
        <v>83.7</v>
      </c>
      <c r="C20" s="76">
        <v>42</v>
      </c>
      <c r="D20" s="76">
        <v>46.6</v>
      </c>
      <c r="E20" s="76">
        <v>40.98</v>
      </c>
      <c r="F20" s="180">
        <v>37</v>
      </c>
      <c r="G20" s="100">
        <v>44.733465000000002</v>
      </c>
      <c r="H20" s="76">
        <v>20.832000000000001</v>
      </c>
      <c r="I20" s="76">
        <v>21.123780000000004</v>
      </c>
      <c r="J20" s="76">
        <v>21.96528</v>
      </c>
      <c r="K20" s="75">
        <v>16.724</v>
      </c>
      <c r="L20" s="106">
        <f t="shared" si="1"/>
        <v>534.44999999999993</v>
      </c>
      <c r="M20" s="106">
        <f t="shared" si="2"/>
        <v>496</v>
      </c>
      <c r="N20" s="106">
        <f t="shared" si="3"/>
        <v>453.3</v>
      </c>
      <c r="O20" s="106">
        <f t="shared" si="4"/>
        <v>536</v>
      </c>
      <c r="P20" s="106">
        <f t="shared" si="0"/>
        <v>452</v>
      </c>
    </row>
    <row r="21" spans="1:16" ht="30.75" customHeight="1" x14ac:dyDescent="0.2">
      <c r="A21" s="198" t="s">
        <v>26</v>
      </c>
      <c r="B21" s="100">
        <v>2.94</v>
      </c>
      <c r="C21" s="76">
        <v>2.9239999999999999</v>
      </c>
      <c r="D21" s="76">
        <v>2.9020000000000001</v>
      </c>
      <c r="E21" s="76">
        <v>2.89</v>
      </c>
      <c r="F21" s="96">
        <v>2.8929999999999998</v>
      </c>
      <c r="G21" s="100">
        <v>2.81</v>
      </c>
      <c r="H21" s="76">
        <v>2.7807240000000002</v>
      </c>
      <c r="I21" s="76">
        <v>2.7423900000000003</v>
      </c>
      <c r="J21" s="76">
        <v>2.7194900000000004</v>
      </c>
      <c r="K21" s="75">
        <v>2.7223129999999998</v>
      </c>
      <c r="L21" s="106">
        <f t="shared" si="1"/>
        <v>955.78231292517012</v>
      </c>
      <c r="M21" s="106">
        <f t="shared" si="2"/>
        <v>951.00000000000011</v>
      </c>
      <c r="N21" s="106">
        <f t="shared" si="3"/>
        <v>945.00000000000011</v>
      </c>
      <c r="O21" s="106">
        <f t="shared" si="4"/>
        <v>941.00000000000011</v>
      </c>
      <c r="P21" s="106">
        <f t="shared" si="0"/>
        <v>941</v>
      </c>
    </row>
    <row r="22" spans="1:16" ht="30.75" customHeight="1" x14ac:dyDescent="0.2">
      <c r="A22" s="198" t="s">
        <v>20</v>
      </c>
      <c r="B22" s="100">
        <v>10.030000000000001</v>
      </c>
      <c r="C22" s="76">
        <v>10.52</v>
      </c>
      <c r="D22" s="76">
        <v>8.82</v>
      </c>
      <c r="E22" s="76">
        <v>8.83</v>
      </c>
      <c r="F22" s="180">
        <v>8.83</v>
      </c>
      <c r="G22" s="100">
        <v>11.13</v>
      </c>
      <c r="H22" s="76">
        <v>11.7</v>
      </c>
      <c r="I22" s="76">
        <v>9.9665999999999997</v>
      </c>
      <c r="J22" s="76">
        <v>9.9779</v>
      </c>
      <c r="K22" s="75">
        <v>9.9779</v>
      </c>
      <c r="L22" s="106">
        <f t="shared" si="1"/>
        <v>1109.6709870388831</v>
      </c>
      <c r="M22" s="106">
        <f t="shared" si="2"/>
        <v>1112.1673003802282</v>
      </c>
      <c r="N22" s="106">
        <f t="shared" si="3"/>
        <v>1130</v>
      </c>
      <c r="O22" s="106">
        <f t="shared" si="4"/>
        <v>1130</v>
      </c>
      <c r="P22" s="106">
        <f t="shared" si="0"/>
        <v>1130</v>
      </c>
    </row>
    <row r="23" spans="1:16" ht="30.75" customHeight="1" x14ac:dyDescent="0.2">
      <c r="A23" s="198" t="s">
        <v>107</v>
      </c>
      <c r="B23" s="76">
        <v>27.41</v>
      </c>
      <c r="C23" s="76">
        <v>29.18</v>
      </c>
      <c r="D23" s="76">
        <v>32.78</v>
      </c>
      <c r="E23" s="76">
        <v>32.869999999999997</v>
      </c>
      <c r="F23" s="96">
        <v>35.25</v>
      </c>
      <c r="G23" s="76">
        <v>13.84</v>
      </c>
      <c r="H23" s="76">
        <v>14.940160000000001</v>
      </c>
      <c r="I23" s="76">
        <v>16.980040000000002</v>
      </c>
      <c r="J23" s="76">
        <v>16.993789999999997</v>
      </c>
      <c r="K23" s="75">
        <v>18.01275</v>
      </c>
      <c r="L23" s="106">
        <f t="shared" si="1"/>
        <v>504.92520977745346</v>
      </c>
      <c r="M23" s="106">
        <f t="shared" si="2"/>
        <v>512</v>
      </c>
      <c r="N23" s="106">
        <f t="shared" si="3"/>
        <v>518</v>
      </c>
      <c r="O23" s="106">
        <f t="shared" si="4"/>
        <v>516.99999999999989</v>
      </c>
      <c r="P23" s="106">
        <f t="shared" si="4"/>
        <v>511</v>
      </c>
    </row>
    <row r="24" spans="1:16" ht="30.75" hidden="1" customHeight="1" x14ac:dyDescent="0.2">
      <c r="A24" s="198" t="s">
        <v>21</v>
      </c>
      <c r="B24" s="76"/>
      <c r="C24" s="76"/>
      <c r="D24" s="76"/>
      <c r="E24" s="76"/>
      <c r="F24" s="16"/>
      <c r="G24" s="76"/>
      <c r="H24" s="76">
        <v>0</v>
      </c>
      <c r="I24" s="76">
        <v>0</v>
      </c>
      <c r="J24" s="76">
        <v>0</v>
      </c>
      <c r="K24" s="75">
        <v>0</v>
      </c>
      <c r="L24" s="106" t="e">
        <f t="shared" si="1"/>
        <v>#DIV/0!</v>
      </c>
      <c r="M24" s="106" t="e">
        <f t="shared" si="2"/>
        <v>#DIV/0!</v>
      </c>
      <c r="N24" s="106" t="e">
        <f t="shared" si="3"/>
        <v>#DIV/0!</v>
      </c>
      <c r="O24" s="106" t="e">
        <f t="shared" si="4"/>
        <v>#DIV/0!</v>
      </c>
      <c r="P24" s="106" t="e">
        <f t="shared" si="4"/>
        <v>#DIV/0!</v>
      </c>
    </row>
    <row r="25" spans="1:16" ht="30.75" customHeight="1" x14ac:dyDescent="0.2">
      <c r="A25" s="198" t="s">
        <v>36</v>
      </c>
      <c r="B25" s="76">
        <v>14.670999999999999</v>
      </c>
      <c r="C25" s="76">
        <v>10.476000000000001</v>
      </c>
      <c r="D25" s="76">
        <v>10.417</v>
      </c>
      <c r="E25" s="76">
        <v>10.119999999999999</v>
      </c>
      <c r="F25" s="96">
        <v>6.5010000000000003</v>
      </c>
      <c r="G25" s="76">
        <v>10.194000000000001</v>
      </c>
      <c r="H25" s="76">
        <v>7.3436760000000003</v>
      </c>
      <c r="I25" s="76">
        <v>10.604505999999999</v>
      </c>
      <c r="J25" s="76">
        <v>5.2421600000000002</v>
      </c>
      <c r="K25" s="75">
        <v>4.2906599999999999</v>
      </c>
      <c r="L25" s="106">
        <f t="shared" si="1"/>
        <v>694.84016086156373</v>
      </c>
      <c r="M25" s="106">
        <f t="shared" si="2"/>
        <v>701</v>
      </c>
      <c r="N25" s="106">
        <f t="shared" si="3"/>
        <v>1018</v>
      </c>
      <c r="O25" s="106">
        <f t="shared" si="4"/>
        <v>518</v>
      </c>
      <c r="P25" s="106">
        <f t="shared" si="4"/>
        <v>659.99999999999989</v>
      </c>
    </row>
    <row r="26" spans="1:16" ht="30.75" customHeight="1" x14ac:dyDescent="0.2">
      <c r="A26" s="198" t="s">
        <v>43</v>
      </c>
      <c r="B26" s="76">
        <v>6.65</v>
      </c>
      <c r="C26" s="76">
        <v>2.4689999999999999</v>
      </c>
      <c r="D26" s="76">
        <v>2.1139999999999999</v>
      </c>
      <c r="E26" s="76">
        <v>2.282</v>
      </c>
      <c r="F26" s="96">
        <v>2.0539999999999998</v>
      </c>
      <c r="G26" s="76">
        <v>6.71</v>
      </c>
      <c r="H26" s="76">
        <v>2.5455389999999998</v>
      </c>
      <c r="I26" s="76">
        <v>2.1816479999999996</v>
      </c>
      <c r="J26" s="76">
        <v>2.3664340000000004</v>
      </c>
      <c r="K26" s="75">
        <v>2.1320519999999998</v>
      </c>
      <c r="L26" s="106">
        <f t="shared" si="1"/>
        <v>1009.0225563909773</v>
      </c>
      <c r="M26" s="106">
        <f t="shared" si="2"/>
        <v>1031</v>
      </c>
      <c r="N26" s="106">
        <f t="shared" si="3"/>
        <v>1031.9999999999998</v>
      </c>
      <c r="O26" s="106">
        <f t="shared" si="4"/>
        <v>1037.0000000000002</v>
      </c>
      <c r="P26" s="106">
        <f t="shared" si="4"/>
        <v>1038</v>
      </c>
    </row>
    <row r="27" spans="1:16" ht="30.75" customHeight="1" x14ac:dyDescent="0.2">
      <c r="A27" s="198" t="s">
        <v>11</v>
      </c>
      <c r="B27" s="76">
        <v>23.55</v>
      </c>
      <c r="C27" s="76">
        <v>25.26</v>
      </c>
      <c r="D27" s="76">
        <v>22.25</v>
      </c>
      <c r="E27" s="76">
        <v>25.85</v>
      </c>
      <c r="F27" s="96">
        <v>24.47</v>
      </c>
      <c r="G27" s="76">
        <v>21.22</v>
      </c>
      <c r="H27" s="76">
        <v>31.280000000000005</v>
      </c>
      <c r="I27" s="76">
        <v>34.990000000000009</v>
      </c>
      <c r="J27" s="76">
        <v>37.340000000000011</v>
      </c>
      <c r="K27" s="75">
        <v>30.514089999999999</v>
      </c>
      <c r="L27" s="106">
        <f t="shared" si="1"/>
        <v>901.06157112526535</v>
      </c>
      <c r="M27" s="106">
        <f t="shared" si="2"/>
        <v>1238.3214568487729</v>
      </c>
      <c r="N27" s="106">
        <f t="shared" si="3"/>
        <v>1572.5842696629218</v>
      </c>
      <c r="O27" s="106">
        <f t="shared" si="4"/>
        <v>1444.4874274661513</v>
      </c>
      <c r="P27" s="106">
        <f t="shared" si="4"/>
        <v>1247</v>
      </c>
    </row>
    <row r="28" spans="1:16" ht="30.75" customHeight="1" x14ac:dyDescent="0.2">
      <c r="A28" s="198" t="s">
        <v>109</v>
      </c>
      <c r="B28" s="76">
        <v>1</v>
      </c>
      <c r="C28" s="76">
        <v>0</v>
      </c>
      <c r="D28" s="76">
        <v>0</v>
      </c>
      <c r="E28" s="76">
        <v>1</v>
      </c>
      <c r="F28" s="96"/>
      <c r="G28" s="76">
        <v>1</v>
      </c>
      <c r="H28" s="76">
        <v>0</v>
      </c>
      <c r="I28" s="76">
        <v>0</v>
      </c>
      <c r="J28" s="76">
        <v>1.7110000000000001</v>
      </c>
      <c r="K28" s="75">
        <v>0</v>
      </c>
      <c r="L28" s="106">
        <f t="shared" si="1"/>
        <v>1000</v>
      </c>
      <c r="M28" s="106" t="e">
        <f t="shared" si="2"/>
        <v>#DIV/0!</v>
      </c>
      <c r="N28" s="106" t="e">
        <f t="shared" si="3"/>
        <v>#DIV/0!</v>
      </c>
      <c r="O28" s="106">
        <f t="shared" si="4"/>
        <v>1711</v>
      </c>
      <c r="P28" s="106" t="e">
        <f t="shared" si="4"/>
        <v>#DIV/0!</v>
      </c>
    </row>
    <row r="29" spans="1:16" ht="30.75" customHeight="1" x14ac:dyDescent="0.2">
      <c r="A29" s="198" t="s">
        <v>85</v>
      </c>
      <c r="B29" s="76">
        <v>0.35199999999999998</v>
      </c>
      <c r="C29" s="76">
        <v>0.49299999999999999</v>
      </c>
      <c r="D29" s="76">
        <v>0.58299999999999996</v>
      </c>
      <c r="E29" s="76">
        <v>0.45800000000000002</v>
      </c>
      <c r="F29" s="96">
        <v>1.617</v>
      </c>
      <c r="G29" s="76">
        <v>0.28199999999999997</v>
      </c>
      <c r="H29" s="76">
        <v>0.386019</v>
      </c>
      <c r="I29" s="76">
        <v>0.46581699999999993</v>
      </c>
      <c r="J29" s="76">
        <v>0.38014000000000003</v>
      </c>
      <c r="K29" s="75">
        <v>1.2952170000000001</v>
      </c>
      <c r="L29" s="106">
        <f t="shared" si="1"/>
        <v>801.13636363636363</v>
      </c>
      <c r="M29" s="106">
        <f t="shared" si="2"/>
        <v>783</v>
      </c>
      <c r="N29" s="106">
        <f t="shared" si="3"/>
        <v>798.99999999999989</v>
      </c>
      <c r="O29" s="106">
        <f t="shared" si="4"/>
        <v>830.00000000000011</v>
      </c>
      <c r="P29" s="106">
        <f t="shared" si="4"/>
        <v>801</v>
      </c>
    </row>
    <row r="30" spans="1:16" ht="30.75" customHeight="1" x14ac:dyDescent="0.2">
      <c r="A30" s="198" t="s">
        <v>12</v>
      </c>
      <c r="B30" s="76">
        <v>9</v>
      </c>
      <c r="C30" s="76">
        <v>9</v>
      </c>
      <c r="D30" s="76">
        <v>6</v>
      </c>
      <c r="E30" s="76">
        <v>8</v>
      </c>
      <c r="F30" s="96">
        <v>12</v>
      </c>
      <c r="G30" s="76">
        <v>5</v>
      </c>
      <c r="H30" s="76">
        <v>5.85</v>
      </c>
      <c r="I30" s="76">
        <v>4.53</v>
      </c>
      <c r="J30" s="76">
        <v>5.8239999999999998</v>
      </c>
      <c r="K30" s="75">
        <v>9.18</v>
      </c>
      <c r="L30" s="106">
        <f t="shared" si="1"/>
        <v>555.55555555555554</v>
      </c>
      <c r="M30" s="106">
        <f t="shared" si="2"/>
        <v>649.99999999999989</v>
      </c>
      <c r="N30" s="106">
        <f t="shared" si="3"/>
        <v>755</v>
      </c>
      <c r="O30" s="106">
        <f t="shared" si="4"/>
        <v>728</v>
      </c>
      <c r="P30" s="106">
        <f t="shared" si="4"/>
        <v>765</v>
      </c>
    </row>
    <row r="31" spans="1:16" ht="30.75" customHeight="1" x14ac:dyDescent="0.2">
      <c r="A31" s="198" t="s">
        <v>90</v>
      </c>
      <c r="B31" s="76">
        <v>63</v>
      </c>
      <c r="C31" s="76">
        <v>59</v>
      </c>
      <c r="D31" s="76">
        <v>56</v>
      </c>
      <c r="E31" s="76">
        <v>53</v>
      </c>
      <c r="F31" s="96">
        <v>49</v>
      </c>
      <c r="G31" s="76">
        <v>85</v>
      </c>
      <c r="H31" s="76">
        <v>76</v>
      </c>
      <c r="I31" s="76">
        <v>69.888000000000005</v>
      </c>
      <c r="J31" s="76">
        <v>70.966999999999999</v>
      </c>
      <c r="K31" s="75">
        <v>71.001000000000005</v>
      </c>
      <c r="L31" s="106">
        <f t="shared" si="1"/>
        <v>1349.2063492063494</v>
      </c>
      <c r="M31" s="106">
        <f t="shared" si="2"/>
        <v>1288.1355932203389</v>
      </c>
      <c r="N31" s="106">
        <f t="shared" si="3"/>
        <v>1248</v>
      </c>
      <c r="O31" s="106">
        <f t="shared" si="4"/>
        <v>1339</v>
      </c>
      <c r="P31" s="106">
        <f t="shared" si="4"/>
        <v>1449</v>
      </c>
    </row>
    <row r="32" spans="1:16" ht="30.75" customHeight="1" x14ac:dyDescent="0.2">
      <c r="A32" s="198" t="s">
        <v>13</v>
      </c>
      <c r="B32" s="76">
        <v>2.347</v>
      </c>
      <c r="C32" s="76">
        <v>2.7</v>
      </c>
      <c r="D32" s="76">
        <v>5.4210000000000003</v>
      </c>
      <c r="E32" s="76">
        <v>6.1040000000000001</v>
      </c>
      <c r="F32" s="96">
        <v>0.76100000000000001</v>
      </c>
      <c r="G32" s="76">
        <v>1.9419999999999999</v>
      </c>
      <c r="H32" s="76">
        <v>2.2000000000000006</v>
      </c>
      <c r="I32" s="76">
        <v>4.60785</v>
      </c>
      <c r="J32" s="76">
        <v>5.5363280000000001</v>
      </c>
      <c r="K32" s="75">
        <v>0.38202199999999997</v>
      </c>
      <c r="L32" s="106">
        <f t="shared" si="1"/>
        <v>827.43928419258623</v>
      </c>
      <c r="M32" s="106">
        <f t="shared" si="2"/>
        <v>814.81481481481501</v>
      </c>
      <c r="N32" s="106">
        <f t="shared" si="3"/>
        <v>850</v>
      </c>
      <c r="O32" s="106">
        <f t="shared" si="4"/>
        <v>907</v>
      </c>
      <c r="P32" s="106">
        <f t="shared" si="4"/>
        <v>502</v>
      </c>
    </row>
    <row r="33" spans="1:16" ht="30.75" customHeight="1" x14ac:dyDescent="0.2">
      <c r="A33" s="198" t="s">
        <v>42</v>
      </c>
      <c r="B33" s="96">
        <v>0</v>
      </c>
      <c r="C33" s="76">
        <v>0</v>
      </c>
      <c r="D33" s="76">
        <v>0.09</v>
      </c>
      <c r="E33" s="76">
        <v>0</v>
      </c>
      <c r="F33" s="16"/>
      <c r="G33" s="96">
        <v>0</v>
      </c>
      <c r="H33" s="76">
        <v>0</v>
      </c>
      <c r="I33" s="76">
        <v>8.3970000000000003E-2</v>
      </c>
      <c r="J33" s="76">
        <v>0</v>
      </c>
      <c r="L33" s="106" t="e">
        <f t="shared" si="1"/>
        <v>#DIV/0!</v>
      </c>
      <c r="M33" s="106" t="e">
        <f t="shared" si="2"/>
        <v>#DIV/0!</v>
      </c>
      <c r="N33" s="106">
        <f t="shared" si="3"/>
        <v>933</v>
      </c>
      <c r="O33" s="106" t="e">
        <f t="shared" si="4"/>
        <v>#DIV/0!</v>
      </c>
      <c r="P33" s="106" t="e">
        <f t="shared" si="4"/>
        <v>#DIV/0!</v>
      </c>
    </row>
    <row r="34" spans="1:16" ht="30.75" customHeight="1" x14ac:dyDescent="0.2">
      <c r="A34" s="198" t="s">
        <v>113</v>
      </c>
      <c r="B34" s="76">
        <v>4.0000000000000001E-3</v>
      </c>
      <c r="C34" s="96">
        <v>6.9000000000000006E-2</v>
      </c>
      <c r="D34" s="76">
        <v>6.6000000000000003E-2</v>
      </c>
      <c r="E34" s="76">
        <v>9.5000000000000001E-2</v>
      </c>
      <c r="F34" s="96">
        <v>6.4000000000000001E-2</v>
      </c>
      <c r="G34" s="76">
        <v>5.0000000000000001E-3</v>
      </c>
      <c r="H34" s="76">
        <v>0.19200000000000003</v>
      </c>
      <c r="I34" s="76">
        <v>0.15</v>
      </c>
      <c r="J34" s="76">
        <v>0.216</v>
      </c>
      <c r="K34" s="75">
        <v>0.152</v>
      </c>
      <c r="L34" s="106">
        <f t="shared" si="1"/>
        <v>1250</v>
      </c>
      <c r="M34" s="106">
        <f t="shared" si="2"/>
        <v>2782.6086956521744</v>
      </c>
      <c r="N34" s="106">
        <f t="shared" si="3"/>
        <v>2272.7272727272725</v>
      </c>
      <c r="O34" s="106">
        <f t="shared" si="4"/>
        <v>2273.6842105263158</v>
      </c>
      <c r="P34" s="106">
        <f t="shared" si="4"/>
        <v>2375</v>
      </c>
    </row>
    <row r="35" spans="1:16" s="8" customFormat="1" ht="30.75" customHeight="1" x14ac:dyDescent="0.2">
      <c r="A35" s="27" t="s">
        <v>14</v>
      </c>
      <c r="B35" s="93">
        <f>SUM(B7:B34)</f>
        <v>619.1099999999999</v>
      </c>
      <c r="C35" s="93">
        <f>SUM(C7:C34)</f>
        <v>546.27250000000004</v>
      </c>
      <c r="D35" s="93">
        <f t="shared" ref="D35:K35" si="5">SUM(D7:D34)</f>
        <v>453.75049999999987</v>
      </c>
      <c r="E35" s="93">
        <f t="shared" si="5"/>
        <v>458.35400000000004</v>
      </c>
      <c r="F35" s="93">
        <f t="shared" si="5"/>
        <v>444.04900000000004</v>
      </c>
      <c r="G35" s="93">
        <f t="shared" si="5"/>
        <v>441.94246499999991</v>
      </c>
      <c r="H35" s="93">
        <f t="shared" si="5"/>
        <v>438.98612050000003</v>
      </c>
      <c r="I35" s="93">
        <f t="shared" si="5"/>
        <v>332.9971139999999</v>
      </c>
      <c r="J35" s="93">
        <f t="shared" si="5"/>
        <v>370.81258300000007</v>
      </c>
      <c r="K35" s="93">
        <f t="shared" si="5"/>
        <v>346.94559399999997</v>
      </c>
      <c r="L35" s="107">
        <f t="shared" si="1"/>
        <v>713.83512622958756</v>
      </c>
      <c r="M35" s="107">
        <f t="shared" si="2"/>
        <v>803.60281819055513</v>
      </c>
      <c r="N35" s="107">
        <f t="shared" si="3"/>
        <v>733.87712851005119</v>
      </c>
      <c r="O35" s="107">
        <f t="shared" si="4"/>
        <v>809.00915667802622</v>
      </c>
      <c r="P35" s="107">
        <f t="shared" si="4"/>
        <v>781.32276843321335</v>
      </c>
    </row>
    <row r="36" spans="1:16" x14ac:dyDescent="0.2">
      <c r="F36" s="323"/>
    </row>
    <row r="37" spans="1:16" x14ac:dyDescent="0.2">
      <c r="F37" s="322"/>
    </row>
  </sheetData>
  <mergeCells count="5">
    <mergeCell ref="A4:A5"/>
    <mergeCell ref="B4:F4"/>
    <mergeCell ref="G4:K4"/>
    <mergeCell ref="L4:P4"/>
    <mergeCell ref="A2:P2"/>
  </mergeCells>
  <phoneticPr fontId="0" type="noConversion"/>
  <printOptions horizontalCentered="1" verticalCentered="1"/>
  <pageMargins left="0.511811023622047" right="0.511811023622047" top="0" bottom="0" header="0.511811023622047" footer="0.511811023622047"/>
  <pageSetup paperSize="9" scale="58" orientation="landscape" r:id="rId1"/>
  <headerFooter alignWithMargins="0"/>
  <rowBreaks count="1" manualBreakCount="1">
    <brk id="5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P29"/>
  <sheetViews>
    <sheetView tabSelected="1" view="pageBreakPreview" zoomScale="60" zoomScaleNormal="80" workbookViewId="0">
      <pane xSplit="1" ySplit="6" topLeftCell="B22" activePane="bottomRight" state="frozen"/>
      <selection activeCell="L4" sqref="L4:P6"/>
      <selection pane="topRight" activeCell="L4" sqref="L4:P6"/>
      <selection pane="bottomLeft" activeCell="L4" sqref="L4:P6"/>
      <selection pane="bottomRight" activeCell="L4" sqref="L4:P6"/>
    </sheetView>
  </sheetViews>
  <sheetFormatPr defaultColWidth="9.140625" defaultRowHeight="18" x14ac:dyDescent="0.2"/>
  <cols>
    <col min="1" max="1" width="25.85546875" style="16" customWidth="1"/>
    <col min="2" max="11" width="11.5703125" style="16" customWidth="1"/>
    <col min="12" max="16" width="11.7109375" style="16"/>
    <col min="17" max="16384" width="9.140625" style="16"/>
  </cols>
  <sheetData>
    <row r="2" spans="1:16" ht="32.25" customHeight="1" x14ac:dyDescent="0.2">
      <c r="A2" s="379" t="s">
        <v>182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</row>
    <row r="3" spans="1:16" ht="12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6" ht="20.25" customHeight="1" x14ac:dyDescent="0.2">
      <c r="A4" s="357" t="s">
        <v>1</v>
      </c>
      <c r="B4" s="342" t="s">
        <v>174</v>
      </c>
      <c r="C4" s="342"/>
      <c r="D4" s="342"/>
      <c r="E4" s="342"/>
      <c r="F4" s="342"/>
      <c r="G4" s="342" t="s">
        <v>68</v>
      </c>
      <c r="H4" s="342"/>
      <c r="I4" s="342"/>
      <c r="J4" s="342"/>
      <c r="K4" s="342"/>
      <c r="L4" s="342" t="s">
        <v>89</v>
      </c>
      <c r="M4" s="342"/>
      <c r="N4" s="342"/>
      <c r="O4" s="342"/>
      <c r="P4" s="342"/>
    </row>
    <row r="5" spans="1:16" ht="38.25" customHeight="1" x14ac:dyDescent="0.2">
      <c r="A5" s="359"/>
      <c r="B5" s="271" t="s">
        <v>112</v>
      </c>
      <c r="C5" s="271" t="s">
        <v>164</v>
      </c>
      <c r="D5" s="271" t="s">
        <v>199</v>
      </c>
      <c r="E5" s="271" t="s">
        <v>200</v>
      </c>
      <c r="F5" s="273" t="s">
        <v>202</v>
      </c>
      <c r="G5" s="271" t="s">
        <v>112</v>
      </c>
      <c r="H5" s="271" t="s">
        <v>164</v>
      </c>
      <c r="I5" s="271" t="s">
        <v>199</v>
      </c>
      <c r="J5" s="271" t="s">
        <v>200</v>
      </c>
      <c r="K5" s="273" t="s">
        <v>202</v>
      </c>
      <c r="L5" s="339" t="s">
        <v>112</v>
      </c>
      <c r="M5" s="339" t="s">
        <v>164</v>
      </c>
      <c r="N5" s="339" t="s">
        <v>199</v>
      </c>
      <c r="O5" s="339" t="s">
        <v>200</v>
      </c>
      <c r="P5" s="339" t="s">
        <v>202</v>
      </c>
    </row>
    <row r="6" spans="1:16" s="14" customFormat="1" ht="15.75" customHeight="1" x14ac:dyDescent="0.2">
      <c r="A6" s="108">
        <v>1</v>
      </c>
      <c r="B6" s="233">
        <v>2</v>
      </c>
      <c r="C6" s="233">
        <v>3</v>
      </c>
      <c r="D6" s="233">
        <v>4</v>
      </c>
      <c r="E6" s="233">
        <v>5</v>
      </c>
      <c r="F6" s="233">
        <v>6</v>
      </c>
      <c r="G6" s="233">
        <v>7</v>
      </c>
      <c r="H6" s="233">
        <v>8</v>
      </c>
      <c r="I6" s="233">
        <v>9</v>
      </c>
      <c r="J6" s="233">
        <v>10</v>
      </c>
      <c r="K6" s="233">
        <v>11</v>
      </c>
      <c r="L6" s="233">
        <v>12</v>
      </c>
      <c r="M6" s="233">
        <v>13</v>
      </c>
      <c r="N6" s="233">
        <v>14</v>
      </c>
      <c r="O6" s="233">
        <v>15</v>
      </c>
      <c r="P6" s="230">
        <v>16</v>
      </c>
    </row>
    <row r="7" spans="1:16" s="294" customFormat="1" ht="30.75" customHeight="1" x14ac:dyDescent="0.2">
      <c r="A7" s="295" t="s">
        <v>24</v>
      </c>
      <c r="B7" s="296"/>
      <c r="C7" s="296"/>
      <c r="D7" s="296"/>
      <c r="E7" s="296"/>
      <c r="F7" s="96">
        <v>1.4999999999999999E-2</v>
      </c>
      <c r="G7" s="296"/>
      <c r="H7" s="296"/>
      <c r="I7" s="296"/>
      <c r="J7" s="296"/>
      <c r="K7" s="96">
        <v>1.4999999999999999E-2</v>
      </c>
      <c r="L7" s="296"/>
      <c r="M7" s="296"/>
      <c r="N7" s="296"/>
      <c r="O7" s="99"/>
      <c r="P7" s="99">
        <f t="shared" ref="P7" si="0">K7/F7*1000</f>
        <v>1000</v>
      </c>
    </row>
    <row r="8" spans="1:16" ht="30.75" customHeight="1" x14ac:dyDescent="0.2">
      <c r="A8" s="201" t="s">
        <v>50</v>
      </c>
      <c r="B8" s="97">
        <v>10.823</v>
      </c>
      <c r="C8" s="76">
        <v>10.378</v>
      </c>
      <c r="D8" s="96">
        <v>14.265000000000001</v>
      </c>
      <c r="E8" s="96">
        <v>7.4489999999999998</v>
      </c>
      <c r="F8" s="96">
        <v>7.5590000000000002</v>
      </c>
      <c r="G8" s="96">
        <v>16.29</v>
      </c>
      <c r="H8" s="76">
        <v>16.469885999999999</v>
      </c>
      <c r="I8" s="76">
        <v>28.387350000000001</v>
      </c>
      <c r="J8" s="76">
        <v>10.197681000000001</v>
      </c>
      <c r="K8" s="96">
        <v>14.384777</v>
      </c>
      <c r="L8" s="99">
        <f>G8/B8*1000</f>
        <v>1505.1279682158365</v>
      </c>
      <c r="M8" s="99">
        <f t="shared" ref="M8:P9" si="1">H8/C8*1000</f>
        <v>1587</v>
      </c>
      <c r="N8" s="99">
        <f t="shared" si="1"/>
        <v>1990</v>
      </c>
      <c r="O8" s="99">
        <f t="shared" si="1"/>
        <v>1369.0000000000002</v>
      </c>
      <c r="P8" s="99">
        <f t="shared" si="1"/>
        <v>1903</v>
      </c>
    </row>
    <row r="9" spans="1:16" ht="30.75" customHeight="1" x14ac:dyDescent="0.2">
      <c r="A9" s="201" t="s">
        <v>47</v>
      </c>
      <c r="B9" s="76">
        <v>2.4</v>
      </c>
      <c r="C9" s="76">
        <v>1.97</v>
      </c>
      <c r="D9" s="96">
        <v>1.88</v>
      </c>
      <c r="E9" s="96">
        <v>1.67</v>
      </c>
      <c r="F9" s="96">
        <v>1.43</v>
      </c>
      <c r="G9" s="96">
        <v>2.2999999999999998</v>
      </c>
      <c r="H9" s="76">
        <v>2.0724399999999998</v>
      </c>
      <c r="I9" s="76">
        <v>1.4889599999999998</v>
      </c>
      <c r="J9" s="76">
        <v>1.0170299999999999</v>
      </c>
      <c r="K9" s="96">
        <v>0.99241999999999997</v>
      </c>
      <c r="L9" s="99">
        <f t="shared" ref="L9:L26" si="2">G9/B9*1000</f>
        <v>958.33333333333326</v>
      </c>
      <c r="M9" s="99">
        <f t="shared" ref="M9:M26" si="3">H9/C9*1000</f>
        <v>1051.9999999999998</v>
      </c>
      <c r="N9" s="99">
        <f t="shared" ref="N9:N26" si="4">I9/D9*1000</f>
        <v>791.99999999999989</v>
      </c>
      <c r="O9" s="99">
        <f t="shared" si="1"/>
        <v>609</v>
      </c>
      <c r="P9" s="99">
        <f t="shared" si="1"/>
        <v>694.00000000000011</v>
      </c>
    </row>
    <row r="10" spans="1:16" ht="30.75" hidden="1" customHeight="1" x14ac:dyDescent="0.2">
      <c r="A10" s="201" t="s">
        <v>4</v>
      </c>
      <c r="B10" s="96">
        <v>0</v>
      </c>
      <c r="C10" s="76">
        <v>0</v>
      </c>
      <c r="D10" s="96">
        <v>0</v>
      </c>
      <c r="E10" s="96">
        <v>0</v>
      </c>
      <c r="F10" s="96">
        <v>0</v>
      </c>
      <c r="G10" s="96">
        <v>0</v>
      </c>
      <c r="H10" s="76">
        <v>0</v>
      </c>
      <c r="I10" s="76">
        <v>0</v>
      </c>
      <c r="J10" s="76">
        <v>0</v>
      </c>
      <c r="K10" s="96">
        <v>0</v>
      </c>
      <c r="L10" s="99" t="e">
        <f t="shared" si="2"/>
        <v>#DIV/0!</v>
      </c>
      <c r="M10" s="99" t="e">
        <f t="shared" si="3"/>
        <v>#DIV/0!</v>
      </c>
      <c r="N10" s="99" t="e">
        <f t="shared" si="4"/>
        <v>#DIV/0!</v>
      </c>
      <c r="O10" s="99" t="e">
        <f t="shared" ref="O10:O26" si="5">J10/E10*1000</f>
        <v>#DIV/0!</v>
      </c>
      <c r="P10" s="99" t="e">
        <f t="shared" ref="P10:P26" si="6">K10/F10*1000</f>
        <v>#DIV/0!</v>
      </c>
    </row>
    <row r="11" spans="1:16" ht="30.75" customHeight="1" x14ac:dyDescent="0.2">
      <c r="A11" s="201" t="s">
        <v>18</v>
      </c>
      <c r="B11" s="97">
        <v>20</v>
      </c>
      <c r="C11" s="76">
        <v>20</v>
      </c>
      <c r="D11" s="96">
        <v>14.9</v>
      </c>
      <c r="E11" s="96">
        <v>12.12</v>
      </c>
      <c r="F11" s="96">
        <v>9.26</v>
      </c>
      <c r="G11" s="96">
        <v>73</v>
      </c>
      <c r="H11" s="76">
        <v>69</v>
      </c>
      <c r="I11" s="76">
        <v>57.603400000000001</v>
      </c>
      <c r="J11" s="76">
        <v>46.504439999999995</v>
      </c>
      <c r="K11" s="96">
        <v>30.95618</v>
      </c>
      <c r="L11" s="99">
        <f t="shared" si="2"/>
        <v>3650</v>
      </c>
      <c r="M11" s="99">
        <f t="shared" si="3"/>
        <v>3450</v>
      </c>
      <c r="N11" s="99">
        <f t="shared" si="4"/>
        <v>3866</v>
      </c>
      <c r="O11" s="99">
        <f t="shared" si="5"/>
        <v>3836.9999999999995</v>
      </c>
      <c r="P11" s="99">
        <f t="shared" si="6"/>
        <v>3343</v>
      </c>
    </row>
    <row r="12" spans="1:16" ht="30.75" customHeight="1" x14ac:dyDescent="0.2">
      <c r="A12" s="201" t="s">
        <v>44</v>
      </c>
      <c r="B12" s="96">
        <v>20.431999999999999</v>
      </c>
      <c r="C12" s="76">
        <v>19.16</v>
      </c>
      <c r="D12" s="96">
        <v>20.356000000000002</v>
      </c>
      <c r="E12" s="96">
        <v>20.404</v>
      </c>
      <c r="F12" s="96">
        <v>20.43</v>
      </c>
      <c r="G12" s="96">
        <v>35.820999999999998</v>
      </c>
      <c r="H12" s="76">
        <v>33.878</v>
      </c>
      <c r="I12" s="76">
        <v>36.030120000000004</v>
      </c>
      <c r="J12" s="76">
        <v>30.810040000000001</v>
      </c>
      <c r="K12" s="96">
        <v>32.136389999999999</v>
      </c>
      <c r="L12" s="99">
        <f t="shared" si="2"/>
        <v>1753.1812842599843</v>
      </c>
      <c r="M12" s="99">
        <f t="shared" si="3"/>
        <v>1768.1628392484342</v>
      </c>
      <c r="N12" s="99">
        <f t="shared" si="4"/>
        <v>1770</v>
      </c>
      <c r="O12" s="99">
        <f t="shared" si="5"/>
        <v>1510</v>
      </c>
      <c r="P12" s="99">
        <f t="shared" si="6"/>
        <v>1573</v>
      </c>
    </row>
    <row r="13" spans="1:16" ht="30.75" customHeight="1" x14ac:dyDescent="0.2">
      <c r="A13" s="201" t="s">
        <v>45</v>
      </c>
      <c r="B13" s="76">
        <v>6.76</v>
      </c>
      <c r="C13" s="76">
        <v>5.7569999999999997</v>
      </c>
      <c r="D13" s="96">
        <v>7.0389999999999997</v>
      </c>
      <c r="E13" s="96">
        <v>7.4880000000000004</v>
      </c>
      <c r="F13" s="96">
        <v>3.9880000000000004</v>
      </c>
      <c r="G13" s="96">
        <v>4.2690000000000001</v>
      </c>
      <c r="H13" s="76">
        <v>3.3275459999999999</v>
      </c>
      <c r="I13" s="76">
        <v>4.5683109999999996</v>
      </c>
      <c r="J13" s="76">
        <v>4.4853119999999995</v>
      </c>
      <c r="K13" s="96">
        <v>2.297088</v>
      </c>
      <c r="L13" s="99">
        <f t="shared" si="2"/>
        <v>631.50887573964496</v>
      </c>
      <c r="M13" s="99">
        <f t="shared" si="3"/>
        <v>578.00000000000011</v>
      </c>
      <c r="N13" s="99">
        <f t="shared" si="4"/>
        <v>649</v>
      </c>
      <c r="O13" s="99">
        <f t="shared" si="5"/>
        <v>598.99999999999989</v>
      </c>
      <c r="P13" s="99">
        <f t="shared" si="6"/>
        <v>576</v>
      </c>
    </row>
    <row r="14" spans="1:16" ht="30.75" hidden="1" customHeight="1" x14ac:dyDescent="0.2">
      <c r="A14" s="201" t="s">
        <v>41</v>
      </c>
      <c r="B14" s="96"/>
      <c r="C14" s="76"/>
      <c r="D14" s="96"/>
      <c r="E14" s="96"/>
      <c r="F14" s="96"/>
      <c r="G14" s="76"/>
      <c r="H14" s="76">
        <v>0</v>
      </c>
      <c r="I14" s="76">
        <v>0</v>
      </c>
      <c r="J14" s="76"/>
      <c r="K14" s="96">
        <v>0</v>
      </c>
      <c r="L14" s="99" t="e">
        <f t="shared" si="2"/>
        <v>#DIV/0!</v>
      </c>
      <c r="M14" s="99" t="e">
        <f t="shared" si="3"/>
        <v>#DIV/0!</v>
      </c>
      <c r="N14" s="99" t="e">
        <f t="shared" si="4"/>
        <v>#DIV/0!</v>
      </c>
      <c r="O14" s="99" t="e">
        <f t="shared" si="5"/>
        <v>#DIV/0!</v>
      </c>
      <c r="P14" s="99" t="e">
        <f t="shared" si="6"/>
        <v>#DIV/0!</v>
      </c>
    </row>
    <row r="15" spans="1:16" ht="30.75" customHeight="1" x14ac:dyDescent="0.2">
      <c r="A15" s="201" t="s">
        <v>6</v>
      </c>
      <c r="B15" s="76">
        <v>116</v>
      </c>
      <c r="C15" s="76">
        <v>130</v>
      </c>
      <c r="D15" s="96">
        <v>83</v>
      </c>
      <c r="E15" s="96">
        <v>30</v>
      </c>
      <c r="F15" s="96">
        <v>25</v>
      </c>
      <c r="G15" s="76">
        <v>252.92640000000003</v>
      </c>
      <c r="H15" s="76">
        <v>297.57</v>
      </c>
      <c r="I15" s="76">
        <v>164.423</v>
      </c>
      <c r="J15" s="76">
        <v>63.93</v>
      </c>
      <c r="K15" s="180">
        <v>47.975000000000001</v>
      </c>
      <c r="L15" s="99">
        <f t="shared" si="2"/>
        <v>2180.4</v>
      </c>
      <c r="M15" s="99">
        <f t="shared" si="3"/>
        <v>2289</v>
      </c>
      <c r="N15" s="99">
        <f t="shared" si="4"/>
        <v>1981</v>
      </c>
      <c r="O15" s="99">
        <f t="shared" si="5"/>
        <v>2131</v>
      </c>
      <c r="P15" s="99">
        <f t="shared" si="6"/>
        <v>1919</v>
      </c>
    </row>
    <row r="16" spans="1:16" ht="30.75" customHeight="1" x14ac:dyDescent="0.2">
      <c r="A16" s="198" t="s">
        <v>7</v>
      </c>
      <c r="B16" s="109">
        <v>0</v>
      </c>
      <c r="C16" s="76">
        <v>24</v>
      </c>
      <c r="D16" s="96">
        <v>25.4</v>
      </c>
      <c r="E16" s="96">
        <v>10.7</v>
      </c>
      <c r="F16" s="96">
        <v>62.949999999999996</v>
      </c>
      <c r="G16" s="105">
        <v>0</v>
      </c>
      <c r="H16" s="76">
        <v>17</v>
      </c>
      <c r="I16" s="76">
        <v>11.8</v>
      </c>
      <c r="J16" s="76">
        <v>3.7557</v>
      </c>
      <c r="K16" s="96">
        <v>48.093799999999995</v>
      </c>
      <c r="L16" s="99" t="e">
        <f t="shared" si="2"/>
        <v>#DIV/0!</v>
      </c>
      <c r="M16" s="99">
        <f t="shared" si="3"/>
        <v>708.33333333333337</v>
      </c>
      <c r="N16" s="99">
        <f t="shared" si="4"/>
        <v>464.56692913385831</v>
      </c>
      <c r="O16" s="99">
        <f t="shared" si="5"/>
        <v>351.00000000000006</v>
      </c>
      <c r="P16" s="99">
        <f t="shared" si="6"/>
        <v>764</v>
      </c>
    </row>
    <row r="17" spans="1:16" ht="30.75" customHeight="1" x14ac:dyDescent="0.2">
      <c r="A17" s="198" t="s">
        <v>20</v>
      </c>
      <c r="B17" s="76">
        <v>0.54</v>
      </c>
      <c r="C17" s="76">
        <v>0.55000000000000004</v>
      </c>
      <c r="D17" s="76">
        <v>0.56000000000000005</v>
      </c>
      <c r="E17" s="76">
        <v>0.56000000000000005</v>
      </c>
      <c r="F17" s="96">
        <v>0.56000000000000005</v>
      </c>
      <c r="G17" s="76">
        <v>0.56000000000000005</v>
      </c>
      <c r="H17" s="76">
        <v>0.56980000000000008</v>
      </c>
      <c r="I17" s="76">
        <v>0.58016000000000012</v>
      </c>
      <c r="J17" s="76">
        <v>0.58016000000000012</v>
      </c>
      <c r="K17" s="96">
        <v>0.58016000000000012</v>
      </c>
      <c r="L17" s="99">
        <f t="shared" si="2"/>
        <v>1037.037037037037</v>
      </c>
      <c r="M17" s="99">
        <f t="shared" si="3"/>
        <v>1036</v>
      </c>
      <c r="N17" s="99">
        <f t="shared" si="4"/>
        <v>1036</v>
      </c>
      <c r="O17" s="99">
        <f t="shared" si="5"/>
        <v>1036</v>
      </c>
      <c r="P17" s="99">
        <f t="shared" si="6"/>
        <v>1036</v>
      </c>
    </row>
    <row r="18" spans="1:16" ht="30.75" customHeight="1" x14ac:dyDescent="0.2">
      <c r="A18" s="198" t="s">
        <v>21</v>
      </c>
      <c r="B18" s="100">
        <v>8.3000000000000007</v>
      </c>
      <c r="C18" s="76">
        <v>7.7</v>
      </c>
      <c r="D18" s="76">
        <v>6.8</v>
      </c>
      <c r="E18" s="76">
        <v>6.2</v>
      </c>
      <c r="F18" s="96">
        <v>5.9</v>
      </c>
      <c r="G18" s="100">
        <v>31.5</v>
      </c>
      <c r="H18" s="76">
        <v>29.876000000000001</v>
      </c>
      <c r="I18" s="76">
        <v>25.479599999999998</v>
      </c>
      <c r="J18" s="76">
        <v>22.5928</v>
      </c>
      <c r="K18" s="96">
        <v>22.284300000000002</v>
      </c>
      <c r="L18" s="99">
        <f t="shared" si="2"/>
        <v>3795.1807228915659</v>
      </c>
      <c r="M18" s="99">
        <f t="shared" si="3"/>
        <v>3880</v>
      </c>
      <c r="N18" s="99">
        <f t="shared" si="4"/>
        <v>3747</v>
      </c>
      <c r="O18" s="99">
        <f t="shared" si="5"/>
        <v>3644</v>
      </c>
      <c r="P18" s="99">
        <f t="shared" si="6"/>
        <v>3777</v>
      </c>
    </row>
    <row r="19" spans="1:16" ht="30.75" customHeight="1" x14ac:dyDescent="0.2">
      <c r="A19" s="198" t="s">
        <v>36</v>
      </c>
      <c r="B19" s="100">
        <v>275.94200000000001</v>
      </c>
      <c r="C19" s="76">
        <v>274</v>
      </c>
      <c r="D19" s="76">
        <v>225.886</v>
      </c>
      <c r="E19" s="76">
        <v>301.24</v>
      </c>
      <c r="F19" s="96">
        <v>269.74700000000001</v>
      </c>
      <c r="G19" s="100">
        <v>840.51933200000008</v>
      </c>
      <c r="H19" s="76">
        <v>876.33420000000012</v>
      </c>
      <c r="I19" s="76">
        <v>812.51194200000009</v>
      </c>
      <c r="J19" s="76">
        <v>979.33123999999998</v>
      </c>
      <c r="K19" s="96">
        <v>935.74505983100005</v>
      </c>
      <c r="L19" s="99">
        <f t="shared" si="2"/>
        <v>3046.0000000000005</v>
      </c>
      <c r="M19" s="99">
        <f t="shared" si="3"/>
        <v>3198.3000000000006</v>
      </c>
      <c r="N19" s="99">
        <f t="shared" si="4"/>
        <v>3597.0000000000005</v>
      </c>
      <c r="O19" s="99">
        <f t="shared" si="5"/>
        <v>3251</v>
      </c>
      <c r="P19" s="99">
        <f t="shared" si="6"/>
        <v>3468.973</v>
      </c>
    </row>
    <row r="20" spans="1:16" ht="30.75" customHeight="1" x14ac:dyDescent="0.2">
      <c r="A20" s="198" t="s">
        <v>43</v>
      </c>
      <c r="B20" s="100">
        <v>0.44</v>
      </c>
      <c r="C20" s="76">
        <v>0.42</v>
      </c>
      <c r="D20" s="76">
        <v>0.78600000000000003</v>
      </c>
      <c r="E20" s="76">
        <v>0.40100000000000002</v>
      </c>
      <c r="F20" s="96">
        <v>0.34599999999999997</v>
      </c>
      <c r="G20" s="100">
        <v>0.47</v>
      </c>
      <c r="H20" s="76">
        <v>0.45024000000000003</v>
      </c>
      <c r="I20" s="76">
        <v>0.84337800000000007</v>
      </c>
      <c r="J20" s="76">
        <v>0.46155100000000004</v>
      </c>
      <c r="K20" s="96">
        <v>0.40412799999999999</v>
      </c>
      <c r="L20" s="99">
        <f t="shared" si="2"/>
        <v>1068.181818181818</v>
      </c>
      <c r="M20" s="99">
        <f t="shared" si="3"/>
        <v>1072</v>
      </c>
      <c r="N20" s="99">
        <f t="shared" si="4"/>
        <v>1073</v>
      </c>
      <c r="O20" s="99">
        <f t="shared" si="5"/>
        <v>1151</v>
      </c>
      <c r="P20" s="99">
        <f t="shared" si="6"/>
        <v>1168.0000000000002</v>
      </c>
    </row>
    <row r="21" spans="1:16" ht="30.75" customHeight="1" x14ac:dyDescent="0.2">
      <c r="A21" s="198" t="s">
        <v>12</v>
      </c>
      <c r="B21" s="76">
        <v>170</v>
      </c>
      <c r="C21" s="76">
        <v>144</v>
      </c>
      <c r="D21" s="76">
        <v>151</v>
      </c>
      <c r="E21" s="76">
        <v>167</v>
      </c>
      <c r="F21" s="96">
        <v>157</v>
      </c>
      <c r="G21" s="76">
        <v>460</v>
      </c>
      <c r="H21" s="76">
        <v>403.34399999999999</v>
      </c>
      <c r="I21" s="76">
        <v>455.416</v>
      </c>
      <c r="J21" s="76">
        <v>523.04399999999998</v>
      </c>
      <c r="K21" s="96">
        <v>488.113</v>
      </c>
      <c r="L21" s="99">
        <f t="shared" si="2"/>
        <v>2705.8823529411766</v>
      </c>
      <c r="M21" s="99">
        <f t="shared" si="3"/>
        <v>2801</v>
      </c>
      <c r="N21" s="99">
        <f t="shared" si="4"/>
        <v>3016</v>
      </c>
      <c r="O21" s="99">
        <f t="shared" si="5"/>
        <v>3132</v>
      </c>
      <c r="P21" s="99">
        <f t="shared" si="6"/>
        <v>3109</v>
      </c>
    </row>
    <row r="22" spans="1:16" ht="30.75" customHeight="1" x14ac:dyDescent="0.2">
      <c r="A22" s="201" t="s">
        <v>90</v>
      </c>
      <c r="B22" s="76">
        <v>22</v>
      </c>
      <c r="C22" s="76">
        <v>20</v>
      </c>
      <c r="D22" s="76">
        <v>23</v>
      </c>
      <c r="E22" s="76">
        <v>24</v>
      </c>
      <c r="F22" s="96">
        <v>22</v>
      </c>
      <c r="G22" s="76">
        <v>26</v>
      </c>
      <c r="H22" s="76">
        <v>26.74</v>
      </c>
      <c r="I22" s="76">
        <v>32.752000000000002</v>
      </c>
      <c r="J22" s="76">
        <v>34.344000000000001</v>
      </c>
      <c r="K22" s="96">
        <v>27.984000000000002</v>
      </c>
      <c r="L22" s="99">
        <f t="shared" si="2"/>
        <v>1181.818181818182</v>
      </c>
      <c r="M22" s="99">
        <f t="shared" si="3"/>
        <v>1337</v>
      </c>
      <c r="N22" s="99">
        <f t="shared" si="4"/>
        <v>1424.0000000000002</v>
      </c>
      <c r="O22" s="99">
        <f t="shared" si="5"/>
        <v>1431</v>
      </c>
      <c r="P22" s="99">
        <f t="shared" si="6"/>
        <v>1272</v>
      </c>
    </row>
    <row r="23" spans="1:16" ht="30.75" customHeight="1" x14ac:dyDescent="0.2">
      <c r="A23" s="198" t="s">
        <v>13</v>
      </c>
      <c r="B23" s="100">
        <v>2.5459999999999998</v>
      </c>
      <c r="C23" s="76">
        <v>2.8</v>
      </c>
      <c r="D23" s="76">
        <v>0.66500000000000004</v>
      </c>
      <c r="E23" s="76">
        <v>0.27800000000000002</v>
      </c>
      <c r="F23" s="96">
        <v>0.251</v>
      </c>
      <c r="G23" s="100">
        <v>3.6150000000000002</v>
      </c>
      <c r="H23" s="76">
        <v>4</v>
      </c>
      <c r="I23" s="76">
        <v>1.0088050000000002</v>
      </c>
      <c r="J23" s="76">
        <v>0.59909000000000001</v>
      </c>
      <c r="K23" s="96">
        <v>0.53688900000000006</v>
      </c>
      <c r="L23" s="99">
        <f t="shared" si="2"/>
        <v>1419.87431264729</v>
      </c>
      <c r="M23" s="99">
        <f t="shared" si="3"/>
        <v>1428.5714285714287</v>
      </c>
      <c r="N23" s="99">
        <f t="shared" si="4"/>
        <v>1517.0000000000002</v>
      </c>
      <c r="O23" s="99">
        <f t="shared" si="5"/>
        <v>2155</v>
      </c>
      <c r="P23" s="99">
        <f t="shared" si="6"/>
        <v>2139.0000000000005</v>
      </c>
    </row>
    <row r="24" spans="1:16" ht="30.75" customHeight="1" x14ac:dyDescent="0.2">
      <c r="A24" s="198" t="s">
        <v>203</v>
      </c>
      <c r="B24" s="100">
        <v>0</v>
      </c>
      <c r="C24" s="100">
        <v>0</v>
      </c>
      <c r="D24" s="100">
        <v>0</v>
      </c>
      <c r="E24" s="100">
        <v>0</v>
      </c>
      <c r="F24" s="96">
        <v>5.9820000000000002</v>
      </c>
      <c r="G24" s="100">
        <v>0</v>
      </c>
      <c r="H24" s="100">
        <v>0</v>
      </c>
      <c r="I24" s="100">
        <v>0</v>
      </c>
      <c r="J24" s="100">
        <v>0</v>
      </c>
      <c r="K24" s="96">
        <v>3.6908940000000001</v>
      </c>
      <c r="L24" s="99" t="e">
        <f t="shared" si="2"/>
        <v>#DIV/0!</v>
      </c>
      <c r="M24" s="99" t="e">
        <f t="shared" ref="M24" si="7">H24/C24*1000</f>
        <v>#DIV/0!</v>
      </c>
      <c r="N24" s="99" t="e">
        <f t="shared" ref="N24" si="8">I24/D24*1000</f>
        <v>#DIV/0!</v>
      </c>
      <c r="O24" s="99" t="e">
        <f t="shared" si="5"/>
        <v>#DIV/0!</v>
      </c>
      <c r="P24" s="99">
        <f t="shared" si="6"/>
        <v>617</v>
      </c>
    </row>
    <row r="25" spans="1:16" ht="30.75" customHeight="1" x14ac:dyDescent="0.2">
      <c r="A25" s="198" t="s">
        <v>55</v>
      </c>
      <c r="B25" s="100">
        <v>6.8000000000000005E-2</v>
      </c>
      <c r="C25" s="76">
        <v>6.2E-2</v>
      </c>
      <c r="D25" s="76">
        <v>5.8999999999999997E-2</v>
      </c>
      <c r="E25" s="76">
        <v>0.06</v>
      </c>
      <c r="F25" s="96">
        <v>0.05</v>
      </c>
      <c r="G25" s="100">
        <v>0.184</v>
      </c>
      <c r="H25" s="76">
        <v>0.180978</v>
      </c>
      <c r="I25" s="76">
        <v>0.171985</v>
      </c>
      <c r="J25" s="76">
        <v>0.18</v>
      </c>
      <c r="K25" s="96">
        <v>0.15</v>
      </c>
      <c r="L25" s="99">
        <f t="shared" si="2"/>
        <v>2705.8823529411761</v>
      </c>
      <c r="M25" s="99">
        <f t="shared" si="3"/>
        <v>2919</v>
      </c>
      <c r="N25" s="99">
        <f t="shared" si="4"/>
        <v>2915</v>
      </c>
      <c r="O25" s="99">
        <f t="shared" si="5"/>
        <v>3000</v>
      </c>
      <c r="P25" s="99">
        <f t="shared" si="6"/>
        <v>2999.9999999999995</v>
      </c>
    </row>
    <row r="26" spans="1:16" s="25" customFormat="1" ht="30.75" customHeight="1" x14ac:dyDescent="0.2">
      <c r="A26" s="27" t="s">
        <v>14</v>
      </c>
      <c r="B26" s="93">
        <f t="shared" ref="B26:J26" si="9">SUM(B7:B25)</f>
        <v>656.25099999999998</v>
      </c>
      <c r="C26" s="93">
        <f t="shared" si="9"/>
        <v>660.79699999999991</v>
      </c>
      <c r="D26" s="93">
        <f t="shared" si="9"/>
        <v>575.596</v>
      </c>
      <c r="E26" s="93">
        <f t="shared" si="9"/>
        <v>589.56999999999994</v>
      </c>
      <c r="F26" s="93">
        <f t="shared" ref="F26" si="10">SUM(F7:F25)</f>
        <v>592.46799999999996</v>
      </c>
      <c r="G26" s="93">
        <f t="shared" ref="G26" si="11">SUM(G7:G25)</f>
        <v>1747.4547320000001</v>
      </c>
      <c r="H26" s="93">
        <f t="shared" si="9"/>
        <v>1780.8130900000001</v>
      </c>
      <c r="I26" s="93">
        <f t="shared" si="9"/>
        <v>1633.0650109999999</v>
      </c>
      <c r="J26" s="93">
        <f t="shared" si="9"/>
        <v>1721.833044</v>
      </c>
      <c r="K26" s="93">
        <f>SUM(K7:K25)</f>
        <v>1656.3390858310001</v>
      </c>
      <c r="L26" s="285">
        <f t="shared" si="2"/>
        <v>2662.7841054718397</v>
      </c>
      <c r="M26" s="285">
        <f t="shared" si="3"/>
        <v>2694.9472984895519</v>
      </c>
      <c r="N26" s="285">
        <f t="shared" si="4"/>
        <v>2837.1722718712426</v>
      </c>
      <c r="O26" s="285">
        <f t="shared" si="5"/>
        <v>2920.4895839340538</v>
      </c>
      <c r="P26" s="285">
        <f t="shared" si="6"/>
        <v>2795.659994853731</v>
      </c>
    </row>
    <row r="27" spans="1:16" x14ac:dyDescent="0.2">
      <c r="F27" s="322"/>
    </row>
    <row r="28" spans="1:16" x14ac:dyDescent="0.2">
      <c r="F28" s="17"/>
    </row>
    <row r="29" spans="1:16" x14ac:dyDescent="0.2">
      <c r="F29" s="322"/>
    </row>
  </sheetData>
  <mergeCells count="5">
    <mergeCell ref="A4:A5"/>
    <mergeCell ref="B4:F4"/>
    <mergeCell ref="G4:K4"/>
    <mergeCell ref="L4:P4"/>
    <mergeCell ref="A2:P2"/>
  </mergeCells>
  <phoneticPr fontId="0" type="noConversion"/>
  <printOptions horizontalCentered="1" verticalCentered="1"/>
  <pageMargins left="0.23622047244094499" right="0.23622047244094499" top="0.511811023622047" bottom="0.511811023622047" header="0.511811023622047" footer="0.511811023622047"/>
  <pageSetup paperSize="9" scale="71" orientation="landscape" r:id="rId1"/>
  <headerFooter alignWithMargins="0"/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30</vt:i4>
      </vt:variant>
    </vt:vector>
  </HeadingPairs>
  <TitlesOfParts>
    <vt:vector size="58" baseType="lpstr">
      <vt:lpstr>Summary</vt:lpstr>
      <vt:lpstr>rice U</vt:lpstr>
      <vt:lpstr>Wheat U</vt:lpstr>
      <vt:lpstr>Jowar U</vt:lpstr>
      <vt:lpstr>Bajra U</vt:lpstr>
      <vt:lpstr>Maize  U</vt:lpstr>
      <vt:lpstr>Ragi U</vt:lpstr>
      <vt:lpstr>Small millets U</vt:lpstr>
      <vt:lpstr>Barley U</vt:lpstr>
      <vt:lpstr>Kharif CC U</vt:lpstr>
      <vt:lpstr>Rabi CC U</vt:lpstr>
      <vt:lpstr>Total CC U</vt:lpstr>
      <vt:lpstr>Kharif-Cereals U</vt:lpstr>
      <vt:lpstr>Rabi Cereals U</vt:lpstr>
      <vt:lpstr>Total Cereals</vt:lpstr>
      <vt:lpstr>Tur U</vt:lpstr>
      <vt:lpstr>Gram U</vt:lpstr>
      <vt:lpstr>Urad</vt:lpstr>
      <vt:lpstr>Moong</vt:lpstr>
      <vt:lpstr>Lentil</vt:lpstr>
      <vt:lpstr>OKP U</vt:lpstr>
      <vt:lpstr>ORP U</vt:lpstr>
      <vt:lpstr>Kharif-pulses U</vt:lpstr>
      <vt:lpstr>Rabi pulses U</vt:lpstr>
      <vt:lpstr>Total-pulses U</vt:lpstr>
      <vt:lpstr>Kharif-foodgrains U</vt:lpstr>
      <vt:lpstr>Rabi-foodgrains U</vt:lpstr>
      <vt:lpstr>Total-foodgrains U</vt:lpstr>
      <vt:lpstr>'Bajra U'!Print_Area</vt:lpstr>
      <vt:lpstr>'Barley U'!Print_Area</vt:lpstr>
      <vt:lpstr>'Gram U'!Print_Area</vt:lpstr>
      <vt:lpstr>'Jowar U'!Print_Area</vt:lpstr>
      <vt:lpstr>'Kharif CC U'!Print_Area</vt:lpstr>
      <vt:lpstr>'Kharif-Cereals U'!Print_Area</vt:lpstr>
      <vt:lpstr>'Kharif-foodgrains U'!Print_Area</vt:lpstr>
      <vt:lpstr>'Kharif-pulses U'!Print_Area</vt:lpstr>
      <vt:lpstr>Lentil!Print_Area</vt:lpstr>
      <vt:lpstr>'Maize  U'!Print_Area</vt:lpstr>
      <vt:lpstr>Moong!Print_Area</vt:lpstr>
      <vt:lpstr>'OKP U'!Print_Area</vt:lpstr>
      <vt:lpstr>'ORP U'!Print_Area</vt:lpstr>
      <vt:lpstr>'Rabi CC U'!Print_Area</vt:lpstr>
      <vt:lpstr>'Rabi Cereals U'!Print_Area</vt:lpstr>
      <vt:lpstr>'Rabi pulses U'!Print_Area</vt:lpstr>
      <vt:lpstr>'Rabi-foodgrains U'!Print_Area</vt:lpstr>
      <vt:lpstr>'Ragi U'!Print_Area</vt:lpstr>
      <vt:lpstr>'rice U'!Print_Area</vt:lpstr>
      <vt:lpstr>'Small millets U'!Print_Area</vt:lpstr>
      <vt:lpstr>Summary!Print_Area</vt:lpstr>
      <vt:lpstr>'Total CC U'!Print_Area</vt:lpstr>
      <vt:lpstr>'Total Cereals'!Print_Area</vt:lpstr>
      <vt:lpstr>'Total-foodgrains U'!Print_Area</vt:lpstr>
      <vt:lpstr>'Total-pulses U'!Print_Area</vt:lpstr>
      <vt:lpstr>'Tur U'!Print_Area</vt:lpstr>
      <vt:lpstr>Urad!Print_Area</vt:lpstr>
      <vt:lpstr>'Wheat U'!Print_Area</vt:lpstr>
      <vt:lpstr>'Kharif-Cereals U'!Print_Titles</vt:lpstr>
      <vt:lpstr>'Rabi CC U'!Print_Titles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nsbabu</dc:creator>
  <cp:lastModifiedBy>AS Division</cp:lastModifiedBy>
  <cp:lastPrinted>2022-04-28T09:48:36Z</cp:lastPrinted>
  <dcterms:created xsi:type="dcterms:W3CDTF">2002-12-31T04:59:47Z</dcterms:created>
  <dcterms:modified xsi:type="dcterms:W3CDTF">2022-04-28T09:48:37Z</dcterms:modified>
</cp:coreProperties>
</file>