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/>
  <mc:AlternateContent xmlns:mc="http://schemas.openxmlformats.org/markup-compatibility/2006">
    <mc:Choice Requires="x15">
      <x15ac:absPath xmlns:x15ac="http://schemas.microsoft.com/office/spreadsheetml/2010/11/ac" url="C:\Users\surface pro\Desktop\国君\"/>
    </mc:Choice>
  </mc:AlternateContent>
  <xr:revisionPtr revIDLastSave="0" documentId="13_ncr:1_{F9B3BDB2-66F0-447A-8B2F-7E4387EB7384}" xr6:coauthVersionLast="47" xr6:coauthVersionMax="47" xr10:uidLastSave="{00000000-0000-0000-0000-000000000000}"/>
  <bookViews>
    <workbookView xWindow="-98" yWindow="-98" windowWidth="20715" windowHeight="13155" tabRatio="727" activeTab="2" xr2:uid="{00000000-000D-0000-FFFF-FFFF00000000}"/>
  </bookViews>
  <sheets>
    <sheet name="首页" sheetId="42" r:id="rId1"/>
    <sheet name="合并-bs" sheetId="2" r:id="rId2"/>
    <sheet name="母-bs" sheetId="54" r:id="rId3"/>
    <sheet name="合并-is" sheetId="3" r:id="rId4"/>
    <sheet name="母-is " sheetId="55" r:id="rId5"/>
    <sheet name="合并-cf" sheetId="4" r:id="rId6"/>
    <sheet name="母-cf" sheetId="56" r:id="rId7"/>
    <sheet name="现金流测算" sheetId="70" r:id="rId8"/>
    <sheet name="项目情况一览表" sheetId="12" r:id="rId9"/>
    <sheet name="EBITDA、总债务" sheetId="13" r:id="rId10"/>
    <sheet name="经营性和非经营性-2021年末" sheetId="85" r:id="rId11"/>
    <sheet name="经营性和非经营性-2022年末" sheetId="94" r:id="rId12"/>
    <sheet name="分析性复核-存货" sheetId="43" r:id="rId13"/>
    <sheet name="分析性复核-应收账款" sheetId="64" r:id="rId14"/>
    <sheet name="分析性复核-有息债务" sheetId="41" r:id="rId15"/>
    <sheet name="分析性复核-货币资金" sheetId="40" r:id="rId16"/>
    <sheet name="有息-期限结构" sheetId="20" r:id="rId17"/>
    <sheet name="有息债务明细表-2022年末" sheetId="97" r:id="rId18"/>
    <sheet name="有息债务明细表-2021年末" sheetId="87" r:id="rId19"/>
    <sheet name="现金利息保障倍数" sheetId="16" r:id="rId20"/>
    <sheet name="子公司和参股公司情况" sheetId="17" r:id="rId21"/>
    <sheet name="业务情况" sheetId="18" r:id="rId22"/>
    <sheet name="业务情况-担保人" sheetId="92" r:id="rId23"/>
    <sheet name="收入分析" sheetId="32" r:id="rId24"/>
    <sheet name="非经常性损益" sheetId="57" r:id="rId25"/>
    <sheet name="主要财务指标" sheetId="19" r:id="rId26"/>
    <sheet name="附注明细数据转换" sheetId="91" r:id="rId27"/>
    <sheet name="资产结构" sheetId="22" r:id="rId28"/>
    <sheet name="负债结构" sheetId="23" r:id="rId29"/>
    <sheet name="所有者权益结构" sheetId="36" r:id="rId30"/>
    <sheet name="现金流量结构" sheetId="37" r:id="rId31"/>
    <sheet name="报表科目分析" sheetId="24" r:id="rId32"/>
    <sheet name="模拟财务" sheetId="38" r:id="rId33"/>
    <sheet name="存量债券" sheetId="93" r:id="rId34"/>
  </sheets>
  <externalReferences>
    <externalReference r:id="rId35"/>
  </externalReferences>
  <definedNames>
    <definedName name="_xlnm._FilterDatabase" localSheetId="31" hidden="1">报表科目分析!$A$4:$Z$57</definedName>
    <definedName name="_xlnm._FilterDatabase" localSheetId="33" hidden="1">存量债券!$A$1:$O$75</definedName>
    <definedName name="_xlnm._FilterDatabase" localSheetId="28" hidden="1">负债结构!$A$50:$T$79</definedName>
    <definedName name="_xlnm._FilterDatabase" localSheetId="1" hidden="1">'合并-bs'!$A$2:$L$90</definedName>
    <definedName name="_xlnm._FilterDatabase" localSheetId="3" hidden="1">'合并-is'!$A$2:$L$73</definedName>
    <definedName name="_xlnm._FilterDatabase" localSheetId="10" hidden="1">'经营性和非经营性-2021年末'!$A$1:$R$434</definedName>
    <definedName name="_xlnm._FilterDatabase" localSheetId="2" hidden="1">'母-bs'!$A$2:$L$90</definedName>
    <definedName name="_xlnm._FilterDatabase" localSheetId="4" hidden="1">'母-is '!$A$2:$L$73</definedName>
    <definedName name="_xlnm._FilterDatabase" localSheetId="23" hidden="1">收入分析!$A$4:$O$13</definedName>
    <definedName name="_xlnm._FilterDatabase" localSheetId="29" hidden="1">所有者权益结构!$A$3:$T$16</definedName>
    <definedName name="_xlnm._FilterDatabase" localSheetId="21" hidden="1">业务情况!$A$4:$I$16</definedName>
    <definedName name="_xlnm._FilterDatabase" localSheetId="18" hidden="1">'有息债务明细表-2021年末'!$A$1:$N$221</definedName>
    <definedName name="_xlnm._FilterDatabase" localSheetId="17" hidden="1">'有息债务明细表-2022年末'!$A$1:$N$280</definedName>
    <definedName name="_xlnm._FilterDatabase" localSheetId="27" hidden="1">资产结构!$A$63:$T$106</definedName>
    <definedName name="_xlnm._FilterDatabase" localSheetId="20" hidden="1">子公司和参股公司情况!#REF!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57" i="24" l="1"/>
  <c r="Z57" i="24"/>
  <c r="Y57" i="24"/>
  <c r="X57" i="24"/>
  <c r="W57" i="24"/>
  <c r="V57" i="24"/>
  <c r="U57" i="24"/>
  <c r="T57" i="24"/>
  <c r="S57" i="24"/>
  <c r="R57" i="24"/>
  <c r="Q57" i="24"/>
  <c r="P57" i="24"/>
  <c r="O57" i="24"/>
  <c r="N57" i="24"/>
  <c r="M57" i="24"/>
  <c r="L57" i="24"/>
  <c r="K57" i="24"/>
  <c r="J57" i="24"/>
  <c r="I57" i="24"/>
  <c r="H57" i="24"/>
  <c r="G57" i="24"/>
  <c r="F57" i="24"/>
  <c r="E57" i="24"/>
  <c r="D57" i="24"/>
  <c r="C57" i="24"/>
  <c r="B57" i="24"/>
  <c r="A57" i="24"/>
  <c r="AA56" i="24"/>
  <c r="Z56" i="24"/>
  <c r="Y56" i="24"/>
  <c r="X56" i="24"/>
  <c r="W56" i="24"/>
  <c r="V56" i="24"/>
  <c r="U56" i="24"/>
  <c r="T56" i="24"/>
  <c r="S56" i="24"/>
  <c r="R56" i="24"/>
  <c r="Q56" i="24"/>
  <c r="P56" i="24"/>
  <c r="O56" i="24"/>
  <c r="N56" i="24"/>
  <c r="M56" i="24"/>
  <c r="L56" i="24"/>
  <c r="AA55" i="24"/>
  <c r="Z55" i="24"/>
  <c r="Y55" i="24"/>
  <c r="X55" i="24"/>
  <c r="W55" i="24"/>
  <c r="V55" i="24"/>
  <c r="U55" i="24"/>
  <c r="T55" i="24"/>
  <c r="S55" i="24"/>
  <c r="R55" i="24"/>
  <c r="Q55" i="24"/>
  <c r="P55" i="24"/>
  <c r="O55" i="24"/>
  <c r="N55" i="24"/>
  <c r="M55" i="24"/>
  <c r="L55" i="24"/>
  <c r="AA54" i="24"/>
  <c r="Z54" i="24"/>
  <c r="Y54" i="24"/>
  <c r="X54" i="24"/>
  <c r="W54" i="24"/>
  <c r="V54" i="24"/>
  <c r="U54" i="24"/>
  <c r="T54" i="24"/>
  <c r="S54" i="24"/>
  <c r="R54" i="24"/>
  <c r="Q54" i="24"/>
  <c r="P54" i="24"/>
  <c r="O54" i="24"/>
  <c r="N54" i="24"/>
  <c r="M54" i="24"/>
  <c r="L54" i="24"/>
  <c r="AA53" i="24"/>
  <c r="Z53" i="24"/>
  <c r="Y53" i="24"/>
  <c r="X53" i="24"/>
  <c r="W53" i="24"/>
  <c r="V53" i="24"/>
  <c r="U53" i="24"/>
  <c r="T53" i="24"/>
  <c r="S53" i="24"/>
  <c r="R53" i="24"/>
  <c r="Q53" i="24"/>
  <c r="P53" i="24"/>
  <c r="O53" i="24"/>
  <c r="N53" i="24"/>
  <c r="M53" i="24"/>
  <c r="L53" i="24"/>
  <c r="AA52" i="24"/>
  <c r="Z52" i="24"/>
  <c r="Y52" i="24"/>
  <c r="X52" i="24"/>
  <c r="W52" i="24"/>
  <c r="V52" i="24"/>
  <c r="U52" i="24"/>
  <c r="T52" i="24"/>
  <c r="S52" i="24"/>
  <c r="R52" i="24"/>
  <c r="Q52" i="24"/>
  <c r="P52" i="24"/>
  <c r="O52" i="24"/>
  <c r="N52" i="24"/>
  <c r="M52" i="24"/>
  <c r="L52" i="24"/>
  <c r="AA51" i="24"/>
  <c r="Z51" i="24"/>
  <c r="Y51" i="24"/>
  <c r="X51" i="24"/>
  <c r="W51" i="24"/>
  <c r="V51" i="24"/>
  <c r="U51" i="24"/>
  <c r="T51" i="24"/>
  <c r="S51" i="24"/>
  <c r="R51" i="24"/>
  <c r="Q51" i="24"/>
  <c r="P51" i="24"/>
  <c r="O51" i="24"/>
  <c r="N51" i="24"/>
  <c r="M51" i="24"/>
  <c r="L51" i="24"/>
  <c r="AA50" i="24"/>
  <c r="Z50" i="24"/>
  <c r="Y50" i="24"/>
  <c r="X50" i="24"/>
  <c r="W50" i="24"/>
  <c r="V50" i="24"/>
  <c r="U50" i="24"/>
  <c r="T50" i="24"/>
  <c r="S50" i="24"/>
  <c r="R50" i="24"/>
  <c r="Q50" i="24"/>
  <c r="P50" i="24"/>
  <c r="O50" i="24"/>
  <c r="N50" i="24"/>
  <c r="M50" i="24"/>
  <c r="L50" i="24"/>
  <c r="AA49" i="24"/>
  <c r="Z49" i="24"/>
  <c r="Y49" i="24"/>
  <c r="X49" i="24"/>
  <c r="W49" i="24"/>
  <c r="V49" i="24"/>
  <c r="U49" i="24"/>
  <c r="T49" i="24"/>
  <c r="S49" i="24"/>
  <c r="R49" i="24"/>
  <c r="Q49" i="24"/>
  <c r="P49" i="24"/>
  <c r="O49" i="24"/>
  <c r="N49" i="24"/>
  <c r="M49" i="24"/>
  <c r="L49" i="24"/>
  <c r="AA48" i="24"/>
  <c r="Z48" i="24"/>
  <c r="Y48" i="24"/>
  <c r="X48" i="24"/>
  <c r="W48" i="24"/>
  <c r="V48" i="24"/>
  <c r="U48" i="24"/>
  <c r="T48" i="24"/>
  <c r="S48" i="24"/>
  <c r="R48" i="24"/>
  <c r="Q48" i="24"/>
  <c r="P48" i="24"/>
  <c r="O48" i="24"/>
  <c r="N48" i="24"/>
  <c r="M48" i="24"/>
  <c r="L48" i="24"/>
  <c r="AA47" i="24"/>
  <c r="Z47" i="24"/>
  <c r="Y47" i="24"/>
  <c r="X47" i="24"/>
  <c r="W47" i="24"/>
  <c r="V47" i="24"/>
  <c r="U47" i="24"/>
  <c r="T47" i="24"/>
  <c r="S47" i="24"/>
  <c r="R47" i="24"/>
  <c r="Q47" i="24"/>
  <c r="P47" i="24"/>
  <c r="O47" i="24"/>
  <c r="N47" i="24"/>
  <c r="M47" i="24"/>
  <c r="L47" i="24"/>
  <c r="AA46" i="24"/>
  <c r="Z46" i="24"/>
  <c r="Y46" i="24"/>
  <c r="X46" i="24"/>
  <c r="W46" i="24"/>
  <c r="V46" i="24"/>
  <c r="U46" i="24"/>
  <c r="T46" i="24"/>
  <c r="S46" i="24"/>
  <c r="R46" i="24"/>
  <c r="Q46" i="24"/>
  <c r="P46" i="24"/>
  <c r="O46" i="24"/>
  <c r="N46" i="24"/>
  <c r="M46" i="24"/>
  <c r="L46" i="24"/>
  <c r="AA45" i="24"/>
  <c r="Z45" i="24"/>
  <c r="Y45" i="24"/>
  <c r="X45" i="24"/>
  <c r="W45" i="24"/>
  <c r="V45" i="24"/>
  <c r="U45" i="24"/>
  <c r="T45" i="24"/>
  <c r="S45" i="24"/>
  <c r="R45" i="24"/>
  <c r="Q45" i="24"/>
  <c r="P45" i="24"/>
  <c r="O45" i="24"/>
  <c r="N45" i="24"/>
  <c r="M45" i="24"/>
  <c r="L45" i="24"/>
  <c r="AA44" i="24"/>
  <c r="Z44" i="24"/>
  <c r="Y44" i="24"/>
  <c r="X44" i="24"/>
  <c r="W44" i="24"/>
  <c r="V44" i="24"/>
  <c r="U44" i="24"/>
  <c r="T44" i="24"/>
  <c r="S44" i="24"/>
  <c r="R44" i="24"/>
  <c r="Q44" i="24"/>
  <c r="P44" i="24"/>
  <c r="O44" i="24"/>
  <c r="N44" i="24"/>
  <c r="M44" i="24"/>
  <c r="L44" i="24"/>
  <c r="AA43" i="24"/>
  <c r="Z43" i="24"/>
  <c r="Y43" i="24"/>
  <c r="X43" i="24"/>
  <c r="W43" i="24"/>
  <c r="V43" i="24"/>
  <c r="U43" i="24"/>
  <c r="T43" i="24"/>
  <c r="S43" i="24"/>
  <c r="R43" i="24"/>
  <c r="Q43" i="24"/>
  <c r="P43" i="24"/>
  <c r="O43" i="24"/>
  <c r="N43" i="24"/>
  <c r="M43" i="24"/>
  <c r="L43" i="24"/>
  <c r="AA42" i="24"/>
  <c r="Z42" i="24"/>
  <c r="Y42" i="24"/>
  <c r="X42" i="24"/>
  <c r="W42" i="24"/>
  <c r="V42" i="24"/>
  <c r="U42" i="24"/>
  <c r="T42" i="24"/>
  <c r="S42" i="24"/>
  <c r="R42" i="24"/>
  <c r="Q42" i="24"/>
  <c r="P42" i="24"/>
  <c r="O42" i="24"/>
  <c r="N42" i="24"/>
  <c r="M42" i="24"/>
  <c r="L42" i="24"/>
  <c r="AA41" i="24"/>
  <c r="Z41" i="24"/>
  <c r="Y41" i="24"/>
  <c r="X41" i="24"/>
  <c r="W41" i="24"/>
  <c r="V41" i="24"/>
  <c r="U41" i="24"/>
  <c r="T41" i="24"/>
  <c r="S41" i="24"/>
  <c r="R41" i="24"/>
  <c r="Q41" i="24"/>
  <c r="P41" i="24"/>
  <c r="O41" i="24"/>
  <c r="N41" i="24"/>
  <c r="M41" i="24"/>
  <c r="L41" i="24"/>
  <c r="AA40" i="24"/>
  <c r="Z40" i="24"/>
  <c r="Y40" i="24"/>
  <c r="X40" i="24"/>
  <c r="W40" i="24"/>
  <c r="V40" i="24"/>
  <c r="U40" i="24"/>
  <c r="T40" i="24"/>
  <c r="S40" i="24"/>
  <c r="R40" i="24"/>
  <c r="Q40" i="24"/>
  <c r="P40" i="24"/>
  <c r="O40" i="24"/>
  <c r="N40" i="24"/>
  <c r="M40" i="24"/>
  <c r="L40" i="24"/>
  <c r="AA39" i="24"/>
  <c r="Z39" i="24"/>
  <c r="Y39" i="24"/>
  <c r="X39" i="24"/>
  <c r="W39" i="24"/>
  <c r="V39" i="24"/>
  <c r="U39" i="24"/>
  <c r="T39" i="24"/>
  <c r="S39" i="24"/>
  <c r="R39" i="24"/>
  <c r="Q39" i="24"/>
  <c r="P39" i="24"/>
  <c r="O39" i="24"/>
  <c r="N39" i="24"/>
  <c r="M39" i="24"/>
  <c r="L39" i="24"/>
  <c r="AA38" i="24"/>
  <c r="Z38" i="24"/>
  <c r="Y38" i="24"/>
  <c r="X38" i="24"/>
  <c r="W38" i="24"/>
  <c r="V38" i="24"/>
  <c r="U38" i="24"/>
  <c r="T38" i="24"/>
  <c r="S38" i="24"/>
  <c r="R38" i="24"/>
  <c r="Q38" i="24"/>
  <c r="P38" i="24"/>
  <c r="O38" i="24"/>
  <c r="N38" i="24"/>
  <c r="M38" i="24"/>
  <c r="L38" i="24"/>
  <c r="AA37" i="24"/>
  <c r="Z37" i="24"/>
  <c r="Y37" i="24"/>
  <c r="X37" i="24"/>
  <c r="W37" i="24"/>
  <c r="V37" i="24"/>
  <c r="U37" i="24"/>
  <c r="T37" i="24"/>
  <c r="S37" i="24"/>
  <c r="R37" i="24"/>
  <c r="Q37" i="24"/>
  <c r="P37" i="24"/>
  <c r="O37" i="24"/>
  <c r="N37" i="24"/>
  <c r="M37" i="24"/>
  <c r="L37" i="24"/>
  <c r="AA36" i="24"/>
  <c r="Z36" i="24"/>
  <c r="Y36" i="24"/>
  <c r="X36" i="24"/>
  <c r="W36" i="24"/>
  <c r="V36" i="24"/>
  <c r="U36" i="24"/>
  <c r="T36" i="24"/>
  <c r="S36" i="24"/>
  <c r="R36" i="24"/>
  <c r="Q36" i="24"/>
  <c r="P36" i="24"/>
  <c r="O36" i="24"/>
  <c r="N36" i="24"/>
  <c r="M36" i="24"/>
  <c r="L36" i="24"/>
  <c r="AA35" i="24"/>
  <c r="Z35" i="24"/>
  <c r="Y35" i="24"/>
  <c r="X35" i="24"/>
  <c r="W35" i="24"/>
  <c r="V35" i="24"/>
  <c r="U35" i="24"/>
  <c r="T35" i="24"/>
  <c r="S35" i="24"/>
  <c r="R35" i="24"/>
  <c r="Q35" i="24"/>
  <c r="P35" i="24"/>
  <c r="O35" i="24"/>
  <c r="N35" i="24"/>
  <c r="M35" i="24"/>
  <c r="L35" i="24"/>
  <c r="AA34" i="24"/>
  <c r="Z34" i="24"/>
  <c r="Y34" i="24"/>
  <c r="X34" i="24"/>
  <c r="W34" i="24"/>
  <c r="V34" i="24"/>
  <c r="U34" i="24"/>
  <c r="T34" i="24"/>
  <c r="S34" i="24"/>
  <c r="R34" i="24"/>
  <c r="Q34" i="24"/>
  <c r="P34" i="24"/>
  <c r="O34" i="24"/>
  <c r="N34" i="24"/>
  <c r="M34" i="24"/>
  <c r="L34" i="24"/>
  <c r="AA33" i="24"/>
  <c r="Z33" i="24"/>
  <c r="Y33" i="24"/>
  <c r="X33" i="24"/>
  <c r="W33" i="24"/>
  <c r="V33" i="24"/>
  <c r="U33" i="24"/>
  <c r="T33" i="24"/>
  <c r="S33" i="24"/>
  <c r="R33" i="24"/>
  <c r="Q33" i="24"/>
  <c r="P33" i="24"/>
  <c r="O33" i="24"/>
  <c r="N33" i="24"/>
  <c r="M33" i="24"/>
  <c r="L33" i="24"/>
  <c r="AA32" i="24"/>
  <c r="Z32" i="24"/>
  <c r="Y32" i="24"/>
  <c r="X32" i="24"/>
  <c r="W32" i="24"/>
  <c r="V32" i="24"/>
  <c r="U32" i="24"/>
  <c r="T32" i="24"/>
  <c r="S32" i="24"/>
  <c r="R32" i="24"/>
  <c r="Q32" i="24"/>
  <c r="P32" i="24"/>
  <c r="O32" i="24"/>
  <c r="N32" i="24"/>
  <c r="M32" i="24"/>
  <c r="L32" i="24"/>
  <c r="AA31" i="24"/>
  <c r="Z31" i="24"/>
  <c r="Y31" i="24"/>
  <c r="X31" i="24"/>
  <c r="W31" i="24"/>
  <c r="V31" i="24"/>
  <c r="U31" i="24"/>
  <c r="T31" i="24"/>
  <c r="S31" i="24"/>
  <c r="R31" i="24"/>
  <c r="Q31" i="24"/>
  <c r="P31" i="24"/>
  <c r="O31" i="24"/>
  <c r="N31" i="24"/>
  <c r="M31" i="24"/>
  <c r="L31" i="24"/>
  <c r="AA30" i="24"/>
  <c r="Z30" i="24"/>
  <c r="Y30" i="24"/>
  <c r="X30" i="24"/>
  <c r="W30" i="24"/>
  <c r="V30" i="24"/>
  <c r="U30" i="24"/>
  <c r="T30" i="24"/>
  <c r="S30" i="24"/>
  <c r="R30" i="24"/>
  <c r="Q30" i="24"/>
  <c r="P30" i="24"/>
  <c r="O30" i="24"/>
  <c r="N30" i="24"/>
  <c r="M30" i="24"/>
  <c r="L30" i="24"/>
  <c r="AA29" i="24"/>
  <c r="Z29" i="24"/>
  <c r="Y29" i="24"/>
  <c r="X29" i="24"/>
  <c r="W29" i="24"/>
  <c r="V29" i="24"/>
  <c r="U29" i="24"/>
  <c r="T29" i="24"/>
  <c r="S29" i="24"/>
  <c r="R29" i="24"/>
  <c r="Q29" i="24"/>
  <c r="P29" i="24"/>
  <c r="O29" i="24"/>
  <c r="N29" i="24"/>
  <c r="M29" i="24"/>
  <c r="L29" i="24"/>
  <c r="AA28" i="24"/>
  <c r="Z28" i="24"/>
  <c r="Y28" i="24"/>
  <c r="X28" i="24"/>
  <c r="W28" i="24"/>
  <c r="V28" i="24"/>
  <c r="U28" i="24"/>
  <c r="T28" i="24"/>
  <c r="S28" i="24"/>
  <c r="R28" i="24"/>
  <c r="Q28" i="24"/>
  <c r="P28" i="24"/>
  <c r="O28" i="24"/>
  <c r="N28" i="24"/>
  <c r="M28" i="24"/>
  <c r="L28" i="24"/>
  <c r="AA27" i="24"/>
  <c r="Z27" i="24"/>
  <c r="Y27" i="24"/>
  <c r="X27" i="24"/>
  <c r="W27" i="24"/>
  <c r="V27" i="24"/>
  <c r="U27" i="24"/>
  <c r="T27" i="24"/>
  <c r="S27" i="24"/>
  <c r="R27" i="24"/>
  <c r="Q27" i="24"/>
  <c r="P27" i="24"/>
  <c r="O27" i="24"/>
  <c r="N27" i="24"/>
  <c r="M27" i="24"/>
  <c r="L27" i="24"/>
  <c r="AA26" i="24"/>
  <c r="Z26" i="24"/>
  <c r="Y26" i="24"/>
  <c r="X26" i="24"/>
  <c r="W26" i="24"/>
  <c r="V26" i="24"/>
  <c r="U26" i="24"/>
  <c r="T26" i="24"/>
  <c r="S26" i="24"/>
  <c r="R26" i="24"/>
  <c r="Q26" i="24"/>
  <c r="P26" i="24"/>
  <c r="O26" i="24"/>
  <c r="N26" i="24"/>
  <c r="M26" i="24"/>
  <c r="L26" i="24"/>
  <c r="AA25" i="24"/>
  <c r="Z25" i="24"/>
  <c r="Y25" i="24"/>
  <c r="X25" i="24"/>
  <c r="W25" i="24"/>
  <c r="V25" i="24"/>
  <c r="U25" i="24"/>
  <c r="T25" i="24"/>
  <c r="S25" i="24"/>
  <c r="R25" i="24"/>
  <c r="Q25" i="24"/>
  <c r="P25" i="24"/>
  <c r="O25" i="24"/>
  <c r="N25" i="24"/>
  <c r="M25" i="24"/>
  <c r="L25" i="24"/>
  <c r="AA24" i="24"/>
  <c r="Z24" i="24"/>
  <c r="Y24" i="24"/>
  <c r="X24" i="24"/>
  <c r="W24" i="24"/>
  <c r="V24" i="24"/>
  <c r="U24" i="24"/>
  <c r="T24" i="24"/>
  <c r="S24" i="24"/>
  <c r="R24" i="24"/>
  <c r="Q24" i="24"/>
  <c r="P24" i="24"/>
  <c r="O24" i="24"/>
  <c r="N24" i="24"/>
  <c r="M24" i="24"/>
  <c r="L24" i="24"/>
  <c r="AA23" i="24"/>
  <c r="Z23" i="24"/>
  <c r="Y23" i="24"/>
  <c r="X23" i="24"/>
  <c r="W23" i="24"/>
  <c r="V23" i="24"/>
  <c r="U23" i="24"/>
  <c r="T23" i="24"/>
  <c r="S23" i="24"/>
  <c r="R23" i="24"/>
  <c r="Q23" i="24"/>
  <c r="P23" i="24"/>
  <c r="O23" i="24"/>
  <c r="N23" i="24"/>
  <c r="M23" i="24"/>
  <c r="L23" i="24"/>
  <c r="AA22" i="24"/>
  <c r="Z22" i="24"/>
  <c r="Y22" i="24"/>
  <c r="X22" i="24"/>
  <c r="W22" i="24"/>
  <c r="V22" i="24"/>
  <c r="U22" i="24"/>
  <c r="T22" i="24"/>
  <c r="S22" i="24"/>
  <c r="R22" i="24"/>
  <c r="Q22" i="24"/>
  <c r="P22" i="24"/>
  <c r="O22" i="24"/>
  <c r="N22" i="24"/>
  <c r="M22" i="24"/>
  <c r="L22" i="24"/>
  <c r="AA21" i="24"/>
  <c r="Z21" i="24"/>
  <c r="Y21" i="24"/>
  <c r="X21" i="24"/>
  <c r="W21" i="24"/>
  <c r="V21" i="24"/>
  <c r="U21" i="24"/>
  <c r="T21" i="24"/>
  <c r="S21" i="24"/>
  <c r="R21" i="24"/>
  <c r="Q21" i="24"/>
  <c r="P21" i="24"/>
  <c r="O21" i="24"/>
  <c r="N21" i="24"/>
  <c r="M21" i="24"/>
  <c r="L21" i="24"/>
  <c r="AA20" i="24"/>
  <c r="Z20" i="24"/>
  <c r="Y20" i="24"/>
  <c r="X20" i="24"/>
  <c r="W20" i="24"/>
  <c r="V20" i="24"/>
  <c r="U20" i="24"/>
  <c r="T20" i="24"/>
  <c r="S20" i="24"/>
  <c r="R20" i="24"/>
  <c r="Q20" i="24"/>
  <c r="P20" i="24"/>
  <c r="O20" i="24"/>
  <c r="N20" i="24"/>
  <c r="M20" i="24"/>
  <c r="L20" i="24"/>
  <c r="AA19" i="24"/>
  <c r="Z19" i="24"/>
  <c r="Y19" i="24"/>
  <c r="X19" i="24"/>
  <c r="W19" i="24"/>
  <c r="V19" i="24"/>
  <c r="U19" i="24"/>
  <c r="T19" i="24"/>
  <c r="S19" i="24"/>
  <c r="R19" i="24"/>
  <c r="Q19" i="24"/>
  <c r="P19" i="24"/>
  <c r="O19" i="24"/>
  <c r="N19" i="24"/>
  <c r="M19" i="24"/>
  <c r="L19" i="24"/>
  <c r="AA18" i="24"/>
  <c r="Z18" i="24"/>
  <c r="Y18" i="24"/>
  <c r="X18" i="24"/>
  <c r="W18" i="24"/>
  <c r="V18" i="24"/>
  <c r="U18" i="24"/>
  <c r="T18" i="24"/>
  <c r="S18" i="24"/>
  <c r="R18" i="24"/>
  <c r="Q18" i="24"/>
  <c r="P18" i="24"/>
  <c r="O18" i="24"/>
  <c r="N18" i="24"/>
  <c r="M18" i="24"/>
  <c r="L18" i="24"/>
  <c r="AA17" i="24"/>
  <c r="Z17" i="24"/>
  <c r="Y17" i="24"/>
  <c r="X17" i="24"/>
  <c r="W17" i="24"/>
  <c r="V17" i="24"/>
  <c r="U17" i="24"/>
  <c r="T17" i="24"/>
  <c r="S17" i="24"/>
  <c r="R17" i="24"/>
  <c r="Q17" i="24"/>
  <c r="P17" i="24"/>
  <c r="O17" i="24"/>
  <c r="N17" i="24"/>
  <c r="M17" i="24"/>
  <c r="L17" i="24"/>
  <c r="AA16" i="24"/>
  <c r="Z16" i="24"/>
  <c r="Y16" i="24"/>
  <c r="X16" i="24"/>
  <c r="W16" i="24"/>
  <c r="V16" i="24"/>
  <c r="U16" i="24"/>
  <c r="T16" i="24"/>
  <c r="S16" i="24"/>
  <c r="R16" i="24"/>
  <c r="Q16" i="24"/>
  <c r="P16" i="24"/>
  <c r="O16" i="24"/>
  <c r="N16" i="24"/>
  <c r="M16" i="24"/>
  <c r="L16" i="24"/>
  <c r="AA15" i="24"/>
  <c r="Z15" i="24"/>
  <c r="Y15" i="24"/>
  <c r="X15" i="24"/>
  <c r="W15" i="24"/>
  <c r="V15" i="24"/>
  <c r="U15" i="24"/>
  <c r="T15" i="24"/>
  <c r="S15" i="24"/>
  <c r="R15" i="24"/>
  <c r="Q15" i="24"/>
  <c r="P15" i="24"/>
  <c r="O15" i="24"/>
  <c r="N15" i="24"/>
  <c r="M15" i="24"/>
  <c r="L15" i="24"/>
  <c r="AA14" i="24"/>
  <c r="Z14" i="24"/>
  <c r="Y14" i="24"/>
  <c r="X14" i="24"/>
  <c r="W14" i="24"/>
  <c r="V14" i="24"/>
  <c r="U14" i="24"/>
  <c r="T14" i="24"/>
  <c r="S14" i="24"/>
  <c r="R14" i="24"/>
  <c r="Q14" i="24"/>
  <c r="P14" i="24"/>
  <c r="O14" i="24"/>
  <c r="N14" i="24"/>
  <c r="M14" i="24"/>
  <c r="L14" i="24"/>
  <c r="AA13" i="24"/>
  <c r="Z13" i="24"/>
  <c r="Y13" i="24"/>
  <c r="X13" i="24"/>
  <c r="W13" i="24"/>
  <c r="V13" i="24"/>
  <c r="U13" i="24"/>
  <c r="T13" i="24"/>
  <c r="S13" i="24"/>
  <c r="R13" i="24"/>
  <c r="Q13" i="24"/>
  <c r="P13" i="24"/>
  <c r="O13" i="24"/>
  <c r="N13" i="24"/>
  <c r="M13" i="24"/>
  <c r="L13" i="24"/>
  <c r="AA12" i="24"/>
  <c r="Z12" i="24"/>
  <c r="Y12" i="24"/>
  <c r="X12" i="24"/>
  <c r="W12" i="24"/>
  <c r="V12" i="24"/>
  <c r="U12" i="24"/>
  <c r="T12" i="24"/>
  <c r="S12" i="24"/>
  <c r="R12" i="24"/>
  <c r="Q12" i="24"/>
  <c r="P12" i="24"/>
  <c r="O12" i="24"/>
  <c r="N12" i="24"/>
  <c r="M12" i="24"/>
  <c r="L12" i="24"/>
  <c r="AA11" i="24"/>
  <c r="Z11" i="24"/>
  <c r="Y11" i="24"/>
  <c r="X11" i="24"/>
  <c r="W11" i="24"/>
  <c r="V11" i="24"/>
  <c r="U11" i="24"/>
  <c r="T11" i="24"/>
  <c r="S11" i="24"/>
  <c r="R11" i="24"/>
  <c r="Q11" i="24"/>
  <c r="P11" i="24"/>
  <c r="O11" i="24"/>
  <c r="N11" i="24"/>
  <c r="M11" i="24"/>
  <c r="L11" i="24"/>
  <c r="AA10" i="24"/>
  <c r="Z10" i="24"/>
  <c r="Y10" i="24"/>
  <c r="X10" i="24"/>
  <c r="W10" i="24"/>
  <c r="V10" i="24"/>
  <c r="U10" i="24"/>
  <c r="T10" i="24"/>
  <c r="S10" i="24"/>
  <c r="R10" i="24"/>
  <c r="Q10" i="24"/>
  <c r="P10" i="24"/>
  <c r="O10" i="24"/>
  <c r="N10" i="24"/>
  <c r="M10" i="24"/>
  <c r="L10" i="24"/>
  <c r="AA9" i="24"/>
  <c r="Z9" i="24"/>
  <c r="Y9" i="24"/>
  <c r="X9" i="24"/>
  <c r="W9" i="24"/>
  <c r="V9" i="24"/>
  <c r="U9" i="24"/>
  <c r="T9" i="24"/>
  <c r="S9" i="24"/>
  <c r="R9" i="24"/>
  <c r="Q9" i="24"/>
  <c r="P9" i="24"/>
  <c r="O9" i="24"/>
  <c r="N9" i="24"/>
  <c r="M9" i="24"/>
  <c r="L9" i="24"/>
  <c r="AA8" i="24"/>
  <c r="Z8" i="24"/>
  <c r="Y8" i="24"/>
  <c r="X8" i="24"/>
  <c r="W8" i="24"/>
  <c r="V8" i="24"/>
  <c r="U8" i="24"/>
  <c r="T8" i="24"/>
  <c r="S8" i="24"/>
  <c r="R8" i="24"/>
  <c r="Q8" i="24"/>
  <c r="P8" i="24"/>
  <c r="O8" i="24"/>
  <c r="N8" i="24"/>
  <c r="M8" i="24"/>
  <c r="L8" i="24"/>
  <c r="AA7" i="24"/>
  <c r="Z7" i="24"/>
  <c r="Y7" i="24"/>
  <c r="X7" i="24"/>
  <c r="W7" i="24"/>
  <c r="V7" i="24"/>
  <c r="U7" i="24"/>
  <c r="T7" i="24"/>
  <c r="S7" i="24"/>
  <c r="R7" i="24"/>
  <c r="Q7" i="24"/>
  <c r="P7" i="24"/>
  <c r="O7" i="24"/>
  <c r="N7" i="24"/>
  <c r="M7" i="24"/>
  <c r="L7" i="24"/>
  <c r="AA6" i="24"/>
  <c r="Z6" i="24"/>
  <c r="Y6" i="24"/>
  <c r="X6" i="24"/>
  <c r="W6" i="24"/>
  <c r="V6" i="24"/>
  <c r="U6" i="24"/>
  <c r="T6" i="24"/>
  <c r="S6" i="24"/>
  <c r="R6" i="24"/>
  <c r="Q6" i="24"/>
  <c r="P6" i="24"/>
  <c r="O6" i="24"/>
  <c r="N6" i="24"/>
  <c r="M6" i="24"/>
  <c r="L6" i="24"/>
  <c r="X5" i="24"/>
  <c r="W5" i="24"/>
  <c r="V5" i="24"/>
  <c r="S5" i="24"/>
  <c r="R5" i="24"/>
  <c r="Q5" i="24"/>
  <c r="N5" i="24"/>
  <c r="M5" i="24"/>
  <c r="L5" i="24"/>
  <c r="K5" i="24"/>
  <c r="J5" i="24"/>
  <c r="I5" i="24"/>
  <c r="H5" i="24"/>
  <c r="G5" i="24"/>
  <c r="F5" i="24"/>
  <c r="E5" i="24"/>
  <c r="D5" i="24"/>
  <c r="C5" i="24"/>
  <c r="B5" i="24"/>
  <c r="V4" i="24"/>
  <c r="Q4" i="24"/>
  <c r="L4" i="24"/>
  <c r="A14" i="37"/>
  <c r="A13" i="37"/>
  <c r="A12" i="37"/>
  <c r="A11" i="37"/>
  <c r="A10" i="37"/>
  <c r="A9" i="37"/>
  <c r="A8" i="37"/>
  <c r="A7" i="37"/>
  <c r="A6" i="37"/>
  <c r="A5" i="37"/>
  <c r="A4" i="37"/>
  <c r="A16" i="36"/>
  <c r="A15" i="36"/>
  <c r="A14" i="36"/>
  <c r="A13" i="36"/>
  <c r="A12" i="36"/>
  <c r="A11" i="36"/>
  <c r="A10" i="36"/>
  <c r="A9" i="36"/>
  <c r="A8" i="36"/>
  <c r="A7" i="36"/>
  <c r="A6" i="36"/>
  <c r="A5" i="36"/>
  <c r="A4" i="36"/>
  <c r="J2" i="36"/>
  <c r="H2" i="36"/>
  <c r="F2" i="36"/>
  <c r="D2" i="36"/>
  <c r="B2" i="36"/>
  <c r="D116" i="23"/>
  <c r="C116" i="23"/>
  <c r="B116" i="23"/>
  <c r="D114" i="23"/>
  <c r="C114" i="23"/>
  <c r="B114" i="23"/>
  <c r="D113" i="23"/>
  <c r="C113" i="23"/>
  <c r="B113" i="23"/>
  <c r="D110" i="23"/>
  <c r="C110" i="23"/>
  <c r="B110" i="23"/>
  <c r="D108" i="23"/>
  <c r="C108" i="23"/>
  <c r="B108" i="23"/>
  <c r="D107" i="23"/>
  <c r="C107" i="23"/>
  <c r="B107" i="23"/>
  <c r="D106" i="23"/>
  <c r="C106" i="23"/>
  <c r="B106" i="23"/>
  <c r="D102" i="23"/>
  <c r="C102" i="23"/>
  <c r="B102" i="23"/>
  <c r="D100" i="23"/>
  <c r="C100" i="23"/>
  <c r="B100" i="23"/>
  <c r="D98" i="23"/>
  <c r="C98" i="23"/>
  <c r="B98" i="23"/>
  <c r="D96" i="23"/>
  <c r="C96" i="23"/>
  <c r="B96" i="23"/>
  <c r="D90" i="23"/>
  <c r="C90" i="23"/>
  <c r="B90" i="23"/>
  <c r="A79" i="23"/>
  <c r="A78" i="23"/>
  <c r="A77" i="23"/>
  <c r="A76" i="23"/>
  <c r="A75" i="23"/>
  <c r="A74" i="23"/>
  <c r="A73" i="23"/>
  <c r="A72" i="23"/>
  <c r="A71" i="23"/>
  <c r="A70" i="23"/>
  <c r="A69" i="23"/>
  <c r="A68" i="23"/>
  <c r="A67" i="23"/>
  <c r="A66" i="23"/>
  <c r="A65" i="23"/>
  <c r="A64" i="23"/>
  <c r="A63" i="23"/>
  <c r="A62" i="23"/>
  <c r="A61" i="23"/>
  <c r="A60" i="23"/>
  <c r="A59" i="23"/>
  <c r="A58" i="23"/>
  <c r="A57" i="23"/>
  <c r="A56" i="23"/>
  <c r="A55" i="23"/>
  <c r="A54" i="23"/>
  <c r="A53" i="23"/>
  <c r="A52" i="23"/>
  <c r="A51" i="23"/>
  <c r="A44" i="23"/>
  <c r="A56" i="24" s="1"/>
  <c r="A43" i="23"/>
  <c r="A55" i="24" s="1"/>
  <c r="A42" i="23"/>
  <c r="A54" i="24" s="1"/>
  <c r="A41" i="23"/>
  <c r="A53" i="24" s="1"/>
  <c r="A40" i="23"/>
  <c r="A52" i="24" s="1"/>
  <c r="A39" i="23"/>
  <c r="A51" i="24" s="1"/>
  <c r="A38" i="23"/>
  <c r="A50" i="24" s="1"/>
  <c r="A37" i="23"/>
  <c r="A49" i="24" s="1"/>
  <c r="A36" i="23"/>
  <c r="A48" i="24" s="1"/>
  <c r="A35" i="23"/>
  <c r="A47" i="24" s="1"/>
  <c r="A28" i="23"/>
  <c r="A27" i="23"/>
  <c r="A26" i="23"/>
  <c r="A25" i="23"/>
  <c r="A46" i="24" s="1"/>
  <c r="A24" i="23"/>
  <c r="A45" i="24" s="1"/>
  <c r="A23" i="23"/>
  <c r="A44" i="24" s="1"/>
  <c r="A22" i="23"/>
  <c r="A43" i="24" s="1"/>
  <c r="A21" i="23"/>
  <c r="A42" i="24" s="1"/>
  <c r="A20" i="23"/>
  <c r="A41" i="24" s="1"/>
  <c r="A19" i="23"/>
  <c r="A40" i="24" s="1"/>
  <c r="A18" i="23"/>
  <c r="A39" i="24" s="1"/>
  <c r="A17" i="23"/>
  <c r="A38" i="24" s="1"/>
  <c r="A16" i="23"/>
  <c r="A37" i="24" s="1"/>
  <c r="A15" i="23"/>
  <c r="A36" i="24" s="1"/>
  <c r="A14" i="23"/>
  <c r="A35" i="24" s="1"/>
  <c r="A13" i="23"/>
  <c r="A34" i="24" s="1"/>
  <c r="A106" i="22"/>
  <c r="A105" i="22"/>
  <c r="A104" i="22"/>
  <c r="A103" i="22"/>
  <c r="A102" i="22"/>
  <c r="A101" i="22"/>
  <c r="A100" i="22"/>
  <c r="A99" i="22"/>
  <c r="A98" i="22"/>
  <c r="A97" i="22"/>
  <c r="A96" i="22"/>
  <c r="A95" i="22"/>
  <c r="A94" i="22"/>
  <c r="A93" i="22"/>
  <c r="A92" i="22"/>
  <c r="A91" i="22"/>
  <c r="A90" i="22"/>
  <c r="A89" i="22"/>
  <c r="A88" i="22"/>
  <c r="A87" i="22"/>
  <c r="A86" i="22"/>
  <c r="A85" i="22"/>
  <c r="A84" i="22"/>
  <c r="A83" i="22"/>
  <c r="A82" i="22"/>
  <c r="A81" i="22"/>
  <c r="A80" i="22"/>
  <c r="A79" i="22"/>
  <c r="A78" i="22"/>
  <c r="A77" i="22"/>
  <c r="A76" i="22"/>
  <c r="A75" i="22"/>
  <c r="A74" i="22"/>
  <c r="A73" i="22"/>
  <c r="A72" i="22"/>
  <c r="A71" i="22"/>
  <c r="A70" i="22"/>
  <c r="A69" i="22"/>
  <c r="A68" i="22"/>
  <c r="A67" i="22"/>
  <c r="A66" i="22"/>
  <c r="A65" i="22"/>
  <c r="A64" i="22"/>
  <c r="A57" i="22"/>
  <c r="A33" i="24" s="1"/>
  <c r="A56" i="22"/>
  <c r="A55" i="22"/>
  <c r="A54" i="22"/>
  <c r="A53" i="22"/>
  <c r="A32" i="24" s="1"/>
  <c r="A52" i="22"/>
  <c r="A31" i="24" s="1"/>
  <c r="A51" i="22"/>
  <c r="A30" i="24" s="1"/>
  <c r="A50" i="22"/>
  <c r="A29" i="24" s="1"/>
  <c r="A49" i="22"/>
  <c r="A28" i="24" s="1"/>
  <c r="A48" i="22"/>
  <c r="A27" i="24" s="1"/>
  <c r="A47" i="22"/>
  <c r="A26" i="24" s="1"/>
  <c r="A46" i="22"/>
  <c r="A25" i="24" s="1"/>
  <c r="A45" i="22"/>
  <c r="A24" i="24" s="1"/>
  <c r="A44" i="22"/>
  <c r="A23" i="24" s="1"/>
  <c r="A43" i="22"/>
  <c r="A22" i="24" s="1"/>
  <c r="A42" i="22"/>
  <c r="A21" i="24" s="1"/>
  <c r="A41" i="22"/>
  <c r="A20" i="24" s="1"/>
  <c r="A40" i="22"/>
  <c r="A19" i="24" s="1"/>
  <c r="A39" i="22"/>
  <c r="A18" i="24" s="1"/>
  <c r="A38" i="22"/>
  <c r="A37" i="22"/>
  <c r="A30" i="22"/>
  <c r="A17" i="24" s="1"/>
  <c r="A29" i="22"/>
  <c r="A28" i="22"/>
  <c r="A27" i="22"/>
  <c r="A26" i="22"/>
  <c r="A25" i="22"/>
  <c r="A24" i="22"/>
  <c r="A23" i="22"/>
  <c r="A22" i="22"/>
  <c r="A16" i="24" s="1"/>
  <c r="A21" i="22"/>
  <c r="A15" i="24" s="1"/>
  <c r="A20" i="22"/>
  <c r="A14" i="24" s="1"/>
  <c r="A19" i="22"/>
  <c r="A13" i="24" s="1"/>
  <c r="A18" i="22"/>
  <c r="A12" i="24" s="1"/>
  <c r="A17" i="22"/>
  <c r="A11" i="24" s="1"/>
  <c r="A16" i="22"/>
  <c r="A10" i="24" s="1"/>
  <c r="A15" i="22"/>
  <c r="A9" i="24" s="1"/>
  <c r="A14" i="22"/>
  <c r="A8" i="24" s="1"/>
  <c r="A13" i="22"/>
  <c r="A7" i="24" s="1"/>
  <c r="A12" i="22"/>
  <c r="A6" i="24" s="1"/>
  <c r="H15" i="91"/>
  <c r="F15" i="91"/>
  <c r="E15" i="91"/>
  <c r="D15" i="91"/>
  <c r="C15" i="91"/>
  <c r="B15" i="91"/>
  <c r="Q14" i="91"/>
  <c r="O14" i="91"/>
  <c r="M14" i="91"/>
  <c r="K14" i="91"/>
  <c r="I14" i="91"/>
  <c r="H14" i="91"/>
  <c r="Q13" i="91"/>
  <c r="O13" i="91"/>
  <c r="M13" i="91"/>
  <c r="K13" i="91"/>
  <c r="I13" i="91"/>
  <c r="H13" i="91"/>
  <c r="Q12" i="91"/>
  <c r="O12" i="91"/>
  <c r="M12" i="91"/>
  <c r="K12" i="91"/>
  <c r="I12" i="91"/>
  <c r="H12" i="91"/>
  <c r="Q11" i="91"/>
  <c r="O11" i="91"/>
  <c r="M11" i="91"/>
  <c r="K11" i="91"/>
  <c r="I11" i="91"/>
  <c r="H11" i="91"/>
  <c r="Q10" i="91"/>
  <c r="O10" i="91"/>
  <c r="M10" i="91"/>
  <c r="K10" i="91"/>
  <c r="I10" i="91"/>
  <c r="H10" i="91"/>
  <c r="Q9" i="91"/>
  <c r="O9" i="91"/>
  <c r="M9" i="91"/>
  <c r="K9" i="91"/>
  <c r="I9" i="91"/>
  <c r="H9" i="91"/>
  <c r="Q8" i="91"/>
  <c r="O8" i="91"/>
  <c r="M8" i="91"/>
  <c r="K8" i="91"/>
  <c r="I8" i="91"/>
  <c r="H8" i="91"/>
  <c r="Q7" i="91"/>
  <c r="O7" i="91"/>
  <c r="M7" i="91"/>
  <c r="K7" i="91"/>
  <c r="I7" i="91"/>
  <c r="H7" i="91"/>
  <c r="Q6" i="91"/>
  <c r="O6" i="91"/>
  <c r="M6" i="91"/>
  <c r="K6" i="91"/>
  <c r="I6" i="91"/>
  <c r="H6" i="91"/>
  <c r="Q5" i="91"/>
  <c r="O5" i="91"/>
  <c r="M5" i="91"/>
  <c r="K5" i="91"/>
  <c r="I5" i="91"/>
  <c r="H5" i="91"/>
  <c r="Q4" i="91"/>
  <c r="O4" i="91"/>
  <c r="M4" i="91"/>
  <c r="K4" i="91"/>
  <c r="I4" i="91"/>
  <c r="H4" i="91"/>
  <c r="F2" i="91"/>
  <c r="Q2" i="91" s="1"/>
  <c r="E2" i="91"/>
  <c r="O2" i="91" s="1"/>
  <c r="D2" i="91"/>
  <c r="M2" i="91" s="1"/>
  <c r="C2" i="91"/>
  <c r="K2" i="91" s="1"/>
  <c r="B2" i="91"/>
  <c r="I2" i="91" s="1"/>
  <c r="F1" i="57"/>
  <c r="E1" i="57"/>
  <c r="D1" i="57"/>
  <c r="C1" i="57"/>
  <c r="B1" i="57"/>
  <c r="O13" i="32"/>
  <c r="N13" i="32"/>
  <c r="M13" i="32"/>
  <c r="L13" i="32"/>
  <c r="K13" i="32"/>
  <c r="J13" i="32"/>
  <c r="A13" i="32"/>
  <c r="O12" i="32"/>
  <c r="N12" i="32"/>
  <c r="O11" i="32"/>
  <c r="N11" i="32"/>
  <c r="O10" i="32"/>
  <c r="N10" i="32"/>
  <c r="O9" i="32"/>
  <c r="N9" i="32"/>
  <c r="O8" i="32"/>
  <c r="N8" i="32"/>
  <c r="O7" i="32"/>
  <c r="N7" i="32"/>
  <c r="O6" i="32"/>
  <c r="N6" i="32"/>
  <c r="A69" i="92"/>
  <c r="K58" i="92"/>
  <c r="K57" i="92"/>
  <c r="K56" i="92"/>
  <c r="K55" i="92"/>
  <c r="K27" i="92" s="1"/>
  <c r="K68" i="92" s="1"/>
  <c r="K54" i="92"/>
  <c r="K26" i="92" s="1"/>
  <c r="K53" i="92"/>
  <c r="K25" i="92" s="1"/>
  <c r="K52" i="92"/>
  <c r="K24" i="92" s="1"/>
  <c r="K51" i="92"/>
  <c r="K23" i="92" s="1"/>
  <c r="K50" i="92"/>
  <c r="K22" i="92" s="1"/>
  <c r="K49" i="92"/>
  <c r="K21" i="92" s="1"/>
  <c r="K48" i="92"/>
  <c r="K47" i="92"/>
  <c r="K19" i="92" s="1"/>
  <c r="K46" i="92"/>
  <c r="K18" i="92" s="1"/>
  <c r="K45" i="92"/>
  <c r="K17" i="92" s="1"/>
  <c r="K44" i="92"/>
  <c r="K16" i="92" s="1"/>
  <c r="K43" i="92"/>
  <c r="K15" i="92" s="1"/>
  <c r="K42" i="92"/>
  <c r="K14" i="92" s="1"/>
  <c r="K41" i="92"/>
  <c r="K13" i="92" s="1"/>
  <c r="K40" i="92"/>
  <c r="K12" i="92" s="1"/>
  <c r="K39" i="92"/>
  <c r="K11" i="92" s="1"/>
  <c r="K67" i="92" s="1"/>
  <c r="K38" i="92"/>
  <c r="K10" i="92" s="1"/>
  <c r="K66" i="92" s="1"/>
  <c r="K37" i="92"/>
  <c r="K9" i="92" s="1"/>
  <c r="K65" i="92" s="1"/>
  <c r="K36" i="92"/>
  <c r="K35" i="92"/>
  <c r="K7" i="92" s="1"/>
  <c r="K34" i="92"/>
  <c r="K6" i="92" s="1"/>
  <c r="K63" i="92" s="1"/>
  <c r="K33" i="92"/>
  <c r="K5" i="92" s="1"/>
  <c r="K62" i="92" s="1"/>
  <c r="AE28" i="92"/>
  <c r="U28" i="92"/>
  <c r="U69" i="92" s="1"/>
  <c r="K28" i="92"/>
  <c r="K69" i="92" s="1"/>
  <c r="R27" i="92"/>
  <c r="P27" i="92"/>
  <c r="N27" i="92"/>
  <c r="L27" i="92"/>
  <c r="H27" i="92"/>
  <c r="F27" i="92"/>
  <c r="D27" i="92"/>
  <c r="B27" i="92"/>
  <c r="A27" i="92"/>
  <c r="A68" i="92" s="1"/>
  <c r="N26" i="92"/>
  <c r="D26" i="92"/>
  <c r="A26" i="92"/>
  <c r="N25" i="92"/>
  <c r="D25" i="92"/>
  <c r="A25" i="92"/>
  <c r="N24" i="92"/>
  <c r="D24" i="92"/>
  <c r="A24" i="92"/>
  <c r="N23" i="92"/>
  <c r="D23" i="92"/>
  <c r="A23" i="92"/>
  <c r="N22" i="92"/>
  <c r="D22" i="92"/>
  <c r="A22" i="92"/>
  <c r="N21" i="92"/>
  <c r="D21" i="92"/>
  <c r="A21" i="92"/>
  <c r="N20" i="92"/>
  <c r="K20" i="92"/>
  <c r="D20" i="92"/>
  <c r="A20" i="92"/>
  <c r="N19" i="92"/>
  <c r="D19" i="92"/>
  <c r="A19" i="92"/>
  <c r="N18" i="92"/>
  <c r="D18" i="92"/>
  <c r="A18" i="92"/>
  <c r="N17" i="92"/>
  <c r="D17" i="92"/>
  <c r="A17" i="92"/>
  <c r="N16" i="92"/>
  <c r="D16" i="92"/>
  <c r="A16" i="92"/>
  <c r="N15" i="92"/>
  <c r="D15" i="92"/>
  <c r="A15" i="92"/>
  <c r="N14" i="92"/>
  <c r="D14" i="92"/>
  <c r="A14" i="92"/>
  <c r="P13" i="92"/>
  <c r="N13" i="92"/>
  <c r="L13" i="92"/>
  <c r="H13" i="92"/>
  <c r="F13" i="92"/>
  <c r="D13" i="92"/>
  <c r="B13" i="92"/>
  <c r="A13" i="92"/>
  <c r="U13" i="92" s="1"/>
  <c r="AE13" i="92" s="1"/>
  <c r="P12" i="92"/>
  <c r="N12" i="92"/>
  <c r="L12" i="92"/>
  <c r="H12" i="92"/>
  <c r="AI12" i="92" s="1"/>
  <c r="F12" i="92"/>
  <c r="D12" i="92"/>
  <c r="B12" i="92"/>
  <c r="A12" i="92"/>
  <c r="U12" i="92" s="1"/>
  <c r="AE12" i="92" s="1"/>
  <c r="R11" i="92"/>
  <c r="P11" i="92"/>
  <c r="N11" i="92"/>
  <c r="L11" i="92"/>
  <c r="H11" i="92"/>
  <c r="F11" i="92"/>
  <c r="D11" i="92"/>
  <c r="B11" i="92"/>
  <c r="A11" i="92"/>
  <c r="R10" i="92"/>
  <c r="P10" i="92"/>
  <c r="N10" i="92"/>
  <c r="L10" i="92"/>
  <c r="H10" i="92"/>
  <c r="F10" i="92"/>
  <c r="D10" i="92"/>
  <c r="B10" i="92"/>
  <c r="A10" i="92"/>
  <c r="A66" i="92" s="1"/>
  <c r="R9" i="92"/>
  <c r="P9" i="92"/>
  <c r="N9" i="92"/>
  <c r="L9" i="92"/>
  <c r="H9" i="92"/>
  <c r="F9" i="92"/>
  <c r="D9" i="92"/>
  <c r="B9" i="92"/>
  <c r="A9" i="92"/>
  <c r="R8" i="92"/>
  <c r="P8" i="92"/>
  <c r="N8" i="92"/>
  <c r="L8" i="92"/>
  <c r="K8" i="92"/>
  <c r="K64" i="92" s="1"/>
  <c r="H8" i="92"/>
  <c r="F8" i="92"/>
  <c r="D8" i="92"/>
  <c r="B8" i="92"/>
  <c r="A8" i="92"/>
  <c r="P7" i="92"/>
  <c r="N7" i="92"/>
  <c r="L7" i="92"/>
  <c r="F7" i="92"/>
  <c r="D7" i="92"/>
  <c r="B7" i="92"/>
  <c r="A7" i="92"/>
  <c r="U7" i="92" s="1"/>
  <c r="AE7" i="92" s="1"/>
  <c r="R6" i="92"/>
  <c r="P6" i="92"/>
  <c r="N6" i="92"/>
  <c r="L6" i="92"/>
  <c r="H6" i="92"/>
  <c r="F6" i="92"/>
  <c r="D6" i="92"/>
  <c r="B6" i="92"/>
  <c r="A6" i="92"/>
  <c r="A63" i="92" s="1"/>
  <c r="R5" i="92"/>
  <c r="P5" i="92"/>
  <c r="N5" i="92"/>
  <c r="L5" i="92"/>
  <c r="H5" i="92"/>
  <c r="F5" i="92"/>
  <c r="D5" i="92"/>
  <c r="B5" i="92"/>
  <c r="A5" i="92"/>
  <c r="A62" i="92" s="1"/>
  <c r="A40" i="18"/>
  <c r="K29" i="18"/>
  <c r="K14" i="18" s="1"/>
  <c r="K39" i="18" s="1"/>
  <c r="K28" i="18"/>
  <c r="K13" i="18" s="1"/>
  <c r="K27" i="18"/>
  <c r="K26" i="18"/>
  <c r="K11" i="18" s="1"/>
  <c r="K38" i="18" s="1"/>
  <c r="K25" i="18"/>
  <c r="K10" i="18" s="1"/>
  <c r="K37" i="18" s="1"/>
  <c r="K24" i="18"/>
  <c r="K9" i="18" s="1"/>
  <c r="K36" i="18" s="1"/>
  <c r="K23" i="18"/>
  <c r="K8" i="18" s="1"/>
  <c r="K35" i="18" s="1"/>
  <c r="K21" i="18"/>
  <c r="K6" i="18" s="1"/>
  <c r="K34" i="18" s="1"/>
  <c r="K20" i="18"/>
  <c r="K5" i="18" s="1"/>
  <c r="K33" i="18" s="1"/>
  <c r="AE15" i="18"/>
  <c r="U15" i="18"/>
  <c r="U40" i="18" s="1"/>
  <c r="K15" i="18"/>
  <c r="K40" i="18" s="1"/>
  <c r="R14" i="18"/>
  <c r="P14" i="18"/>
  <c r="Z14" i="18" s="1"/>
  <c r="N14" i="18"/>
  <c r="L14" i="18"/>
  <c r="H14" i="18"/>
  <c r="H12" i="32" s="1"/>
  <c r="F14" i="18"/>
  <c r="F12" i="32" s="1"/>
  <c r="D14" i="18"/>
  <c r="D12" i="32" s="1"/>
  <c r="B14" i="18"/>
  <c r="B12" i="32" s="1"/>
  <c r="A14" i="18"/>
  <c r="A12" i="32" s="1"/>
  <c r="R13" i="18"/>
  <c r="P13" i="18"/>
  <c r="N13" i="18"/>
  <c r="L13" i="18"/>
  <c r="H13" i="18"/>
  <c r="AI13" i="18" s="1"/>
  <c r="F13" i="18"/>
  <c r="D13" i="18"/>
  <c r="B13" i="18"/>
  <c r="A13" i="18"/>
  <c r="U13" i="18" s="1"/>
  <c r="AE13" i="18" s="1"/>
  <c r="R12" i="18"/>
  <c r="P12" i="18"/>
  <c r="N12" i="18"/>
  <c r="L12" i="18"/>
  <c r="K12" i="18"/>
  <c r="H12" i="18"/>
  <c r="AI12" i="18" s="1"/>
  <c r="F12" i="18"/>
  <c r="D12" i="18"/>
  <c r="B12" i="18"/>
  <c r="A12" i="18"/>
  <c r="U12" i="18" s="1"/>
  <c r="AE12" i="18" s="1"/>
  <c r="R11" i="18"/>
  <c r="P11" i="18"/>
  <c r="N11" i="18"/>
  <c r="L11" i="18"/>
  <c r="H11" i="18"/>
  <c r="F11" i="18"/>
  <c r="F11" i="32" s="1"/>
  <c r="D11" i="18"/>
  <c r="D11" i="32" s="1"/>
  <c r="B11" i="18"/>
  <c r="B11" i="32" s="1"/>
  <c r="A11" i="18"/>
  <c r="R10" i="18"/>
  <c r="P10" i="18"/>
  <c r="N10" i="18"/>
  <c r="L10" i="18"/>
  <c r="H10" i="18"/>
  <c r="H10" i="32" s="1"/>
  <c r="F10" i="18"/>
  <c r="F10" i="32" s="1"/>
  <c r="D10" i="18"/>
  <c r="B10" i="18"/>
  <c r="B10" i="32" s="1"/>
  <c r="A10" i="18"/>
  <c r="A37" i="18" s="1"/>
  <c r="R9" i="18"/>
  <c r="P9" i="18"/>
  <c r="N9" i="18"/>
  <c r="L9" i="18"/>
  <c r="H9" i="18"/>
  <c r="H9" i="32" s="1"/>
  <c r="F9" i="18"/>
  <c r="F9" i="32" s="1"/>
  <c r="D9" i="18"/>
  <c r="D9" i="32" s="1"/>
  <c r="B9" i="18"/>
  <c r="A9" i="18"/>
  <c r="R8" i="18"/>
  <c r="P8" i="18"/>
  <c r="N8" i="18"/>
  <c r="L8" i="18"/>
  <c r="H8" i="18"/>
  <c r="F8" i="18"/>
  <c r="F8" i="32" s="1"/>
  <c r="D8" i="18"/>
  <c r="D8" i="32" s="1"/>
  <c r="B8" i="18"/>
  <c r="B8" i="32" s="1"/>
  <c r="A8" i="18"/>
  <c r="R7" i="18"/>
  <c r="P7" i="18"/>
  <c r="N7" i="18"/>
  <c r="L7" i="18"/>
  <c r="K7" i="18"/>
  <c r="F7" i="18"/>
  <c r="D7" i="18"/>
  <c r="B7" i="18"/>
  <c r="A7" i="18"/>
  <c r="U7" i="18" s="1"/>
  <c r="AE7" i="18" s="1"/>
  <c r="R6" i="18"/>
  <c r="P6" i="18"/>
  <c r="N6" i="18"/>
  <c r="L6" i="18"/>
  <c r="H6" i="18"/>
  <c r="F6" i="18"/>
  <c r="F7" i="32" s="1"/>
  <c r="D6" i="18"/>
  <c r="B6" i="18"/>
  <c r="A6" i="18"/>
  <c r="U6" i="18" s="1"/>
  <c r="U34" i="18" s="1"/>
  <c r="R5" i="18"/>
  <c r="P5" i="18"/>
  <c r="N5" i="18"/>
  <c r="L5" i="18"/>
  <c r="H5" i="18"/>
  <c r="F5" i="18"/>
  <c r="F6" i="32" s="1"/>
  <c r="D5" i="18"/>
  <c r="B5" i="18"/>
  <c r="B6" i="32" s="1"/>
  <c r="A5" i="18"/>
  <c r="S17" i="17"/>
  <c r="R17" i="17"/>
  <c r="O17" i="17"/>
  <c r="N17" i="17"/>
  <c r="K17" i="17"/>
  <c r="J17" i="17"/>
  <c r="G17" i="17"/>
  <c r="F17" i="17"/>
  <c r="C17" i="17"/>
  <c r="B17" i="17"/>
  <c r="S16" i="17"/>
  <c r="R16" i="17"/>
  <c r="O16" i="17"/>
  <c r="N16" i="17"/>
  <c r="K16" i="17"/>
  <c r="J16" i="17"/>
  <c r="G16" i="17"/>
  <c r="F16" i="17"/>
  <c r="C16" i="17"/>
  <c r="B16" i="17"/>
  <c r="S15" i="17"/>
  <c r="R15" i="17"/>
  <c r="O15" i="17"/>
  <c r="N15" i="17"/>
  <c r="K15" i="17"/>
  <c r="J15" i="17"/>
  <c r="G15" i="17"/>
  <c r="F15" i="17"/>
  <c r="C15" i="17"/>
  <c r="B15" i="17"/>
  <c r="S14" i="17"/>
  <c r="R14" i="17"/>
  <c r="O14" i="17"/>
  <c r="N14" i="17"/>
  <c r="K14" i="17"/>
  <c r="J14" i="17"/>
  <c r="G14" i="17"/>
  <c r="F14" i="17"/>
  <c r="I14" i="17" s="1"/>
  <c r="C14" i="17"/>
  <c r="B14" i="17"/>
  <c r="S13" i="17"/>
  <c r="R13" i="17"/>
  <c r="O13" i="17"/>
  <c r="N13" i="17"/>
  <c r="K13" i="17"/>
  <c r="J13" i="17"/>
  <c r="G13" i="17"/>
  <c r="F13" i="17"/>
  <c r="C13" i="17"/>
  <c r="B13" i="17"/>
  <c r="S12" i="17"/>
  <c r="R12" i="17"/>
  <c r="O12" i="17"/>
  <c r="N12" i="17"/>
  <c r="K12" i="17"/>
  <c r="J12" i="17"/>
  <c r="G12" i="17"/>
  <c r="F12" i="17"/>
  <c r="C12" i="17"/>
  <c r="B12" i="17"/>
  <c r="S11" i="17"/>
  <c r="R11" i="17"/>
  <c r="O11" i="17"/>
  <c r="N11" i="17"/>
  <c r="K11" i="17"/>
  <c r="J11" i="17"/>
  <c r="G11" i="17"/>
  <c r="F11" i="17"/>
  <c r="C11" i="17"/>
  <c r="B11" i="17"/>
  <c r="S10" i="17"/>
  <c r="R10" i="17"/>
  <c r="O10" i="17"/>
  <c r="N10" i="17"/>
  <c r="K10" i="17"/>
  <c r="J10" i="17"/>
  <c r="G10" i="17"/>
  <c r="F10" i="17"/>
  <c r="C10" i="17"/>
  <c r="B10" i="17"/>
  <c r="S9" i="17"/>
  <c r="R9" i="17"/>
  <c r="O9" i="17"/>
  <c r="N9" i="17"/>
  <c r="K9" i="17"/>
  <c r="J9" i="17"/>
  <c r="G9" i="17"/>
  <c r="F9" i="17"/>
  <c r="C9" i="17"/>
  <c r="B9" i="17"/>
  <c r="S8" i="17"/>
  <c r="R8" i="17"/>
  <c r="O8" i="17"/>
  <c r="N8" i="17"/>
  <c r="K8" i="17"/>
  <c r="J8" i="17"/>
  <c r="G8" i="17"/>
  <c r="F8" i="17"/>
  <c r="C8" i="17"/>
  <c r="B8" i="17"/>
  <c r="S7" i="17"/>
  <c r="R7" i="17"/>
  <c r="O7" i="17"/>
  <c r="N7" i="17"/>
  <c r="K7" i="17"/>
  <c r="J7" i="17"/>
  <c r="G7" i="17"/>
  <c r="F7" i="17"/>
  <c r="C7" i="17"/>
  <c r="B7" i="17"/>
  <c r="S6" i="17"/>
  <c r="R6" i="17"/>
  <c r="O6" i="17"/>
  <c r="N6" i="17"/>
  <c r="K6" i="17"/>
  <c r="J6" i="17"/>
  <c r="G6" i="17"/>
  <c r="F6" i="17"/>
  <c r="C6" i="17"/>
  <c r="B6" i="17"/>
  <c r="S5" i="17"/>
  <c r="R5" i="17"/>
  <c r="O5" i="17"/>
  <c r="N5" i="17"/>
  <c r="K5" i="17"/>
  <c r="J5" i="17"/>
  <c r="G5" i="17"/>
  <c r="F5" i="17"/>
  <c r="C5" i="17"/>
  <c r="B5" i="17"/>
  <c r="S4" i="17"/>
  <c r="R4" i="17"/>
  <c r="O4" i="17"/>
  <c r="N4" i="17"/>
  <c r="K4" i="17"/>
  <c r="J4" i="17"/>
  <c r="G4" i="17"/>
  <c r="F4" i="17"/>
  <c r="C4" i="17"/>
  <c r="B4" i="17"/>
  <c r="S3" i="17"/>
  <c r="R3" i="17"/>
  <c r="O3" i="17"/>
  <c r="N3" i="17"/>
  <c r="K3" i="17"/>
  <c r="J3" i="17"/>
  <c r="G3" i="17"/>
  <c r="F3" i="17"/>
  <c r="C3" i="17"/>
  <c r="B3" i="17"/>
  <c r="AF2" i="17"/>
  <c r="S2" i="17" s="1"/>
  <c r="AE2" i="17"/>
  <c r="R2" i="17" s="1"/>
  <c r="Z2" i="17"/>
  <c r="AB2" i="17" s="1"/>
  <c r="K2" i="17" s="1"/>
  <c r="Y2" i="17"/>
  <c r="F2" i="17" s="1"/>
  <c r="U2" i="17"/>
  <c r="T2" i="17"/>
  <c r="Q2" i="17"/>
  <c r="P2" i="17"/>
  <c r="O2" i="17"/>
  <c r="N2" i="17"/>
  <c r="M2" i="17"/>
  <c r="L2" i="17"/>
  <c r="I2" i="17"/>
  <c r="H2" i="17"/>
  <c r="C2" i="17"/>
  <c r="B2" i="17"/>
  <c r="R1" i="17"/>
  <c r="N1" i="17"/>
  <c r="J1" i="17"/>
  <c r="F1" i="17"/>
  <c r="B1" i="17"/>
  <c r="F4" i="16"/>
  <c r="E4" i="16"/>
  <c r="D4" i="16"/>
  <c r="C4" i="16"/>
  <c r="B4" i="16"/>
  <c r="D223" i="87"/>
  <c r="D213" i="87"/>
  <c r="D212" i="87"/>
  <c r="D211" i="87"/>
  <c r="D210" i="87"/>
  <c r="D209" i="87"/>
  <c r="D208" i="87"/>
  <c r="D207" i="87"/>
  <c r="D206" i="87"/>
  <c r="D205" i="87"/>
  <c r="D204" i="87"/>
  <c r="D203" i="87"/>
  <c r="D202" i="87"/>
  <c r="D201" i="87"/>
  <c r="D200" i="87"/>
  <c r="D199" i="87"/>
  <c r="D198" i="87"/>
  <c r="D197" i="87"/>
  <c r="D196" i="87"/>
  <c r="D150" i="87"/>
  <c r="D149" i="87"/>
  <c r="D148" i="87"/>
  <c r="D147" i="87"/>
  <c r="D146" i="87"/>
  <c r="D145" i="87"/>
  <c r="D144" i="87"/>
  <c r="D143" i="87"/>
  <c r="D142" i="87"/>
  <c r="D141" i="87"/>
  <c r="D140" i="87"/>
  <c r="D139" i="87"/>
  <c r="D138" i="87"/>
  <c r="D137" i="87"/>
  <c r="D136" i="87"/>
  <c r="D135" i="87"/>
  <c r="D134" i="87"/>
  <c r="D133" i="87"/>
  <c r="D132" i="87"/>
  <c r="D131" i="87"/>
  <c r="D130" i="87"/>
  <c r="D129" i="87"/>
  <c r="D128" i="87"/>
  <c r="D127" i="87"/>
  <c r="D126" i="87"/>
  <c r="D125" i="87"/>
  <c r="D124" i="87"/>
  <c r="D74" i="87"/>
  <c r="D73" i="87"/>
  <c r="D72" i="87"/>
  <c r="D71" i="87"/>
  <c r="D70" i="87"/>
  <c r="D69" i="87"/>
  <c r="D68" i="87"/>
  <c r="D67" i="87"/>
  <c r="D66" i="87"/>
  <c r="D65" i="87"/>
  <c r="D64" i="87"/>
  <c r="D63" i="87"/>
  <c r="D62" i="87"/>
  <c r="D61" i="87"/>
  <c r="D60" i="87"/>
  <c r="D59" i="87"/>
  <c r="D58" i="87"/>
  <c r="D57" i="87"/>
  <c r="D56" i="87"/>
  <c r="D55" i="87"/>
  <c r="D54" i="87"/>
  <c r="D53" i="87"/>
  <c r="D52" i="87"/>
  <c r="D51" i="87"/>
  <c r="D50" i="87"/>
  <c r="D49" i="87"/>
  <c r="D48" i="87"/>
  <c r="D47" i="87"/>
  <c r="D46" i="87"/>
  <c r="D45" i="87"/>
  <c r="D44" i="87"/>
  <c r="D43" i="87"/>
  <c r="D42" i="87"/>
  <c r="D41" i="87"/>
  <c r="D40" i="87"/>
  <c r="D39" i="87"/>
  <c r="D38" i="87"/>
  <c r="D37" i="87"/>
  <c r="D36" i="87"/>
  <c r="D35" i="87"/>
  <c r="D34" i="87"/>
  <c r="D33" i="87"/>
  <c r="D32" i="87"/>
  <c r="D31" i="87"/>
  <c r="D30" i="87"/>
  <c r="D29" i="87"/>
  <c r="D28" i="87"/>
  <c r="D27" i="87"/>
  <c r="D26" i="87"/>
  <c r="D25" i="87"/>
  <c r="D24" i="87"/>
  <c r="D23" i="87"/>
  <c r="D22" i="87"/>
  <c r="D21" i="87"/>
  <c r="D20" i="87"/>
  <c r="D19" i="87"/>
  <c r="D18" i="87"/>
  <c r="D17" i="87"/>
  <c r="D16" i="87"/>
  <c r="D15" i="87"/>
  <c r="D14" i="87"/>
  <c r="D13" i="87"/>
  <c r="D12" i="87"/>
  <c r="D11" i="87"/>
  <c r="D10" i="87"/>
  <c r="D9" i="87"/>
  <c r="D8" i="87"/>
  <c r="D7" i="87"/>
  <c r="D6" i="87"/>
  <c r="D5" i="87"/>
  <c r="D4" i="87"/>
  <c r="D3" i="87"/>
  <c r="D2" i="87"/>
  <c r="C284" i="97"/>
  <c r="B284" i="97"/>
  <c r="D277" i="97"/>
  <c r="D276" i="97"/>
  <c r="D275" i="97"/>
  <c r="D274" i="97"/>
  <c r="D273" i="97"/>
  <c r="D272" i="97"/>
  <c r="D271" i="97"/>
  <c r="D270" i="97"/>
  <c r="D269" i="97"/>
  <c r="D268" i="97"/>
  <c r="D267" i="97"/>
  <c r="D266" i="97"/>
  <c r="D265" i="97"/>
  <c r="D264" i="97"/>
  <c r="D263" i="97"/>
  <c r="D262" i="97"/>
  <c r="D261" i="97"/>
  <c r="D260" i="97"/>
  <c r="D259" i="97"/>
  <c r="D258" i="97"/>
  <c r="D257" i="97"/>
  <c r="D256" i="97"/>
  <c r="D255" i="97"/>
  <c r="D254" i="97"/>
  <c r="D253" i="97"/>
  <c r="D252" i="97"/>
  <c r="D251" i="97"/>
  <c r="D250" i="97"/>
  <c r="D249" i="97"/>
  <c r="D248" i="97"/>
  <c r="D247" i="97"/>
  <c r="D246" i="97"/>
  <c r="D245" i="97"/>
  <c r="D244" i="97"/>
  <c r="D243" i="97"/>
  <c r="D242" i="97"/>
  <c r="D241" i="97"/>
  <c r="D206" i="97"/>
  <c r="D205" i="97"/>
  <c r="D204" i="97"/>
  <c r="D203" i="97"/>
  <c r="D202" i="97"/>
  <c r="D201" i="97"/>
  <c r="D200" i="97"/>
  <c r="D199" i="97"/>
  <c r="D198" i="97"/>
  <c r="D197" i="97"/>
  <c r="D196" i="97"/>
  <c r="D195" i="97"/>
  <c r="D194" i="97"/>
  <c r="D193" i="97"/>
  <c r="D192" i="97"/>
  <c r="D191" i="97"/>
  <c r="D190" i="97"/>
  <c r="D189" i="97"/>
  <c r="D188" i="97"/>
  <c r="D187" i="97"/>
  <c r="D186" i="97"/>
  <c r="D185" i="97"/>
  <c r="D184" i="97"/>
  <c r="D183" i="97"/>
  <c r="D182" i="97"/>
  <c r="D181" i="97"/>
  <c r="D180" i="97"/>
  <c r="D179" i="97"/>
  <c r="D178" i="97"/>
  <c r="D177" i="97"/>
  <c r="D176" i="97"/>
  <c r="D175" i="97"/>
  <c r="D174" i="97"/>
  <c r="D173" i="97"/>
  <c r="D172" i="97"/>
  <c r="D88" i="97"/>
  <c r="D87" i="97"/>
  <c r="D86" i="97"/>
  <c r="D84" i="97"/>
  <c r="D284" i="97" s="1"/>
  <c r="D285" i="97" s="1"/>
  <c r="D288" i="97" s="1"/>
  <c r="D83" i="97"/>
  <c r="D82" i="97"/>
  <c r="D81" i="97"/>
  <c r="D80" i="97"/>
  <c r="D79" i="97"/>
  <c r="D78" i="97"/>
  <c r="D77" i="97"/>
  <c r="D76" i="97"/>
  <c r="D75" i="97"/>
  <c r="D74" i="97"/>
  <c r="D73" i="97"/>
  <c r="D72" i="97"/>
  <c r="D71" i="97"/>
  <c r="D70" i="97"/>
  <c r="D69" i="97"/>
  <c r="D68" i="97"/>
  <c r="D67" i="97"/>
  <c r="D66" i="97"/>
  <c r="D65" i="97"/>
  <c r="D64" i="97"/>
  <c r="D63" i="97"/>
  <c r="D62" i="97"/>
  <c r="D61" i="97"/>
  <c r="D60" i="97"/>
  <c r="D59" i="97"/>
  <c r="D58" i="97"/>
  <c r="D57" i="97"/>
  <c r="D56" i="97"/>
  <c r="D55" i="97"/>
  <c r="D54" i="97"/>
  <c r="D53" i="97"/>
  <c r="D52" i="97"/>
  <c r="D51" i="97"/>
  <c r="D50" i="97"/>
  <c r="D49" i="97"/>
  <c r="D48" i="97"/>
  <c r="D47" i="97"/>
  <c r="D46" i="97"/>
  <c r="D45" i="97"/>
  <c r="D44" i="97"/>
  <c r="D43" i="97"/>
  <c r="D42" i="97"/>
  <c r="D41" i="97"/>
  <c r="D40" i="97"/>
  <c r="D39" i="97"/>
  <c r="D38" i="97"/>
  <c r="D37" i="97"/>
  <c r="D36" i="97"/>
  <c r="D35" i="97"/>
  <c r="D34" i="97"/>
  <c r="D33" i="97"/>
  <c r="D32" i="97"/>
  <c r="D31" i="97"/>
  <c r="D30" i="97"/>
  <c r="D29" i="97"/>
  <c r="D28" i="97"/>
  <c r="D27" i="97"/>
  <c r="D26" i="97"/>
  <c r="D25" i="97"/>
  <c r="D24" i="97"/>
  <c r="D23" i="97"/>
  <c r="D22" i="97"/>
  <c r="D21" i="97"/>
  <c r="D20" i="97"/>
  <c r="D19" i="97"/>
  <c r="D18" i="97"/>
  <c r="D17" i="97"/>
  <c r="D16" i="97"/>
  <c r="D15" i="97"/>
  <c r="D14" i="97"/>
  <c r="D13" i="97"/>
  <c r="D12" i="97"/>
  <c r="D11" i="97"/>
  <c r="D10" i="97"/>
  <c r="D9" i="97"/>
  <c r="D8" i="97"/>
  <c r="D7" i="97"/>
  <c r="D6" i="97"/>
  <c r="D5" i="97"/>
  <c r="D4" i="97"/>
  <c r="D3" i="97"/>
  <c r="D2" i="97"/>
  <c r="A11" i="20"/>
  <c r="B9" i="41" s="1"/>
  <c r="B32" i="41" s="1"/>
  <c r="J10" i="20"/>
  <c r="H10" i="20"/>
  <c r="F10" i="20"/>
  <c r="D10" i="20"/>
  <c r="F8" i="41" s="1"/>
  <c r="B10" i="20"/>
  <c r="D8" i="41" s="1"/>
  <c r="A10" i="20"/>
  <c r="B8" i="41" s="1"/>
  <c r="B31" i="41" s="1"/>
  <c r="J9" i="20"/>
  <c r="H9" i="20"/>
  <c r="F9" i="20"/>
  <c r="D9" i="20"/>
  <c r="F7" i="41" s="1"/>
  <c r="B9" i="20"/>
  <c r="A9" i="20"/>
  <c r="B7" i="41" s="1"/>
  <c r="B30" i="41" s="1"/>
  <c r="A8" i="20"/>
  <c r="B6" i="41" s="1"/>
  <c r="B29" i="41" s="1"/>
  <c r="A7" i="20"/>
  <c r="B5" i="41" s="1"/>
  <c r="B28" i="41" s="1"/>
  <c r="A6" i="20"/>
  <c r="B4" i="41" s="1"/>
  <c r="B27" i="41" s="1"/>
  <c r="A5" i="20"/>
  <c r="A4" i="20"/>
  <c r="B3" i="41" s="1"/>
  <c r="B26" i="41" s="1"/>
  <c r="E11" i="40"/>
  <c r="D11" i="40"/>
  <c r="C11" i="40"/>
  <c r="B11" i="40"/>
  <c r="E6" i="40"/>
  <c r="D6" i="40"/>
  <c r="C6" i="40"/>
  <c r="B6" i="40"/>
  <c r="A3" i="40"/>
  <c r="E2" i="40"/>
  <c r="D2" i="40"/>
  <c r="C2" i="40"/>
  <c r="B2" i="40"/>
  <c r="F45" i="41"/>
  <c r="D45" i="41"/>
  <c r="B45" i="41"/>
  <c r="B39" i="41"/>
  <c r="B38" i="41"/>
  <c r="B34" i="41"/>
  <c r="F31" i="41"/>
  <c r="D31" i="41"/>
  <c r="F30" i="41"/>
  <c r="D30" i="41"/>
  <c r="F25" i="41"/>
  <c r="D25" i="41"/>
  <c r="D34" i="41" s="1"/>
  <c r="B14" i="41"/>
  <c r="B37" i="41" s="1"/>
  <c r="B13" i="41"/>
  <c r="B36" i="41" s="1"/>
  <c r="B12" i="41"/>
  <c r="B35" i="41" s="1"/>
  <c r="B10" i="41"/>
  <c r="B33" i="41" s="1"/>
  <c r="E9" i="43"/>
  <c r="D9" i="43"/>
  <c r="C9" i="43"/>
  <c r="B9" i="43"/>
  <c r="E2" i="43"/>
  <c r="D2" i="43"/>
  <c r="C2" i="43"/>
  <c r="B2" i="43"/>
  <c r="B18" i="94"/>
  <c r="C10" i="94"/>
  <c r="C11" i="94" s="1"/>
  <c r="B7" i="94"/>
  <c r="I6" i="94"/>
  <c r="C6" i="94"/>
  <c r="I5" i="94"/>
  <c r="C5" i="94"/>
  <c r="I4" i="94"/>
  <c r="C4" i="94"/>
  <c r="I3" i="94"/>
  <c r="C3" i="94"/>
  <c r="I2" i="94"/>
  <c r="C2" i="94"/>
  <c r="P434" i="85"/>
  <c r="P433" i="85"/>
  <c r="P432" i="85"/>
  <c r="D432" i="85"/>
  <c r="P431" i="85"/>
  <c r="D431" i="85"/>
  <c r="P430" i="85"/>
  <c r="D430" i="85"/>
  <c r="P429" i="85"/>
  <c r="D429" i="85"/>
  <c r="P428" i="85"/>
  <c r="D428" i="85"/>
  <c r="P427" i="85"/>
  <c r="D427" i="85"/>
  <c r="P426" i="85"/>
  <c r="D426" i="85"/>
  <c r="P425" i="85"/>
  <c r="D425" i="85"/>
  <c r="P424" i="85"/>
  <c r="D424" i="85"/>
  <c r="P423" i="85"/>
  <c r="D423" i="85"/>
  <c r="P422" i="85"/>
  <c r="D422" i="85"/>
  <c r="P421" i="85"/>
  <c r="D421" i="85"/>
  <c r="P420" i="85"/>
  <c r="D420" i="85"/>
  <c r="P419" i="85"/>
  <c r="D419" i="85"/>
  <c r="P418" i="85"/>
  <c r="D418" i="85"/>
  <c r="P417" i="85"/>
  <c r="D417" i="85"/>
  <c r="P416" i="85"/>
  <c r="D416" i="85"/>
  <c r="P415" i="85"/>
  <c r="D415" i="85"/>
  <c r="P414" i="85"/>
  <c r="D414" i="85"/>
  <c r="P413" i="85"/>
  <c r="P412" i="85"/>
  <c r="D412" i="85"/>
  <c r="P411" i="85"/>
  <c r="P410" i="85"/>
  <c r="D410" i="85"/>
  <c r="P409" i="85"/>
  <c r="P408" i="85"/>
  <c r="D408" i="85"/>
  <c r="P407" i="85"/>
  <c r="D407" i="85"/>
  <c r="P406" i="85"/>
  <c r="D406" i="85"/>
  <c r="P405" i="85"/>
  <c r="D405" i="85"/>
  <c r="P404" i="85"/>
  <c r="D404" i="85"/>
  <c r="P403" i="85"/>
  <c r="D403" i="85"/>
  <c r="P402" i="85"/>
  <c r="D402" i="85"/>
  <c r="P401" i="85"/>
  <c r="D401" i="85"/>
  <c r="P400" i="85"/>
  <c r="D400" i="85"/>
  <c r="P399" i="85"/>
  <c r="D399" i="85"/>
  <c r="P398" i="85"/>
  <c r="D398" i="85"/>
  <c r="P397" i="85"/>
  <c r="D397" i="85"/>
  <c r="P396" i="85"/>
  <c r="D396" i="85"/>
  <c r="P395" i="85"/>
  <c r="D395" i="85"/>
  <c r="P394" i="85"/>
  <c r="D394" i="85"/>
  <c r="P393" i="85"/>
  <c r="D393" i="85"/>
  <c r="P392" i="85"/>
  <c r="D392" i="85"/>
  <c r="P391" i="85"/>
  <c r="D391" i="85"/>
  <c r="P390" i="85"/>
  <c r="D390" i="85"/>
  <c r="P389" i="85"/>
  <c r="D389" i="85"/>
  <c r="P388" i="85"/>
  <c r="D388" i="85"/>
  <c r="P387" i="85"/>
  <c r="D387" i="85"/>
  <c r="P386" i="85"/>
  <c r="D386" i="85"/>
  <c r="P385" i="85"/>
  <c r="D385" i="85"/>
  <c r="P384" i="85"/>
  <c r="D384" i="85"/>
  <c r="P383" i="85"/>
  <c r="D383" i="85"/>
  <c r="P382" i="85"/>
  <c r="D382" i="85"/>
  <c r="P381" i="85"/>
  <c r="D381" i="85"/>
  <c r="P380" i="85"/>
  <c r="D380" i="85"/>
  <c r="P379" i="85"/>
  <c r="D379" i="85"/>
  <c r="P378" i="85"/>
  <c r="D378" i="85"/>
  <c r="P377" i="85"/>
  <c r="P376" i="85"/>
  <c r="P375" i="85"/>
  <c r="P374" i="85"/>
  <c r="P373" i="85"/>
  <c r="P372" i="85"/>
  <c r="P371" i="85"/>
  <c r="P370" i="85"/>
  <c r="P369" i="85"/>
  <c r="P368" i="85"/>
  <c r="P367" i="85"/>
  <c r="P366" i="85"/>
  <c r="P365" i="85"/>
  <c r="P364" i="85"/>
  <c r="P363" i="85"/>
  <c r="P362" i="85"/>
  <c r="P361" i="85"/>
  <c r="P360" i="85"/>
  <c r="P359" i="85"/>
  <c r="P358" i="85"/>
  <c r="P357" i="85"/>
  <c r="P356" i="85"/>
  <c r="P355" i="85"/>
  <c r="P354" i="85"/>
  <c r="P353" i="85"/>
  <c r="P352" i="85"/>
  <c r="P351" i="85"/>
  <c r="P350" i="85"/>
  <c r="P349" i="85"/>
  <c r="P348" i="85"/>
  <c r="P347" i="85"/>
  <c r="P346" i="85"/>
  <c r="P345" i="85"/>
  <c r="P344" i="85"/>
  <c r="P343" i="85"/>
  <c r="P342" i="85"/>
  <c r="P341" i="85"/>
  <c r="P340" i="85"/>
  <c r="P339" i="85"/>
  <c r="P338" i="85"/>
  <c r="P337" i="85"/>
  <c r="P336" i="85"/>
  <c r="P335" i="85"/>
  <c r="P334" i="85"/>
  <c r="P333" i="85"/>
  <c r="P332" i="85"/>
  <c r="D332" i="85"/>
  <c r="P331" i="85"/>
  <c r="D331" i="85"/>
  <c r="P330" i="85"/>
  <c r="D330" i="85"/>
  <c r="P329" i="85"/>
  <c r="D329" i="85"/>
  <c r="P328" i="85"/>
  <c r="D328" i="85"/>
  <c r="P327" i="85"/>
  <c r="D327" i="85"/>
  <c r="P326" i="85"/>
  <c r="D326" i="85"/>
  <c r="P325" i="85"/>
  <c r="D325" i="85"/>
  <c r="P324" i="85"/>
  <c r="D324" i="85"/>
  <c r="P323" i="85"/>
  <c r="D323" i="85"/>
  <c r="P322" i="85"/>
  <c r="D322" i="85"/>
  <c r="P321" i="85"/>
  <c r="D321" i="85"/>
  <c r="P320" i="85"/>
  <c r="D320" i="85"/>
  <c r="P319" i="85"/>
  <c r="D319" i="85"/>
  <c r="P318" i="85"/>
  <c r="D318" i="85"/>
  <c r="P317" i="85"/>
  <c r="D317" i="85"/>
  <c r="P316" i="85"/>
  <c r="D316" i="85"/>
  <c r="P315" i="85"/>
  <c r="D315" i="85"/>
  <c r="P314" i="85"/>
  <c r="D314" i="85"/>
  <c r="P313" i="85"/>
  <c r="D313" i="85"/>
  <c r="P312" i="85"/>
  <c r="D312" i="85"/>
  <c r="P311" i="85"/>
  <c r="D311" i="85"/>
  <c r="P310" i="85"/>
  <c r="D310" i="85"/>
  <c r="P309" i="85"/>
  <c r="D309" i="85"/>
  <c r="P308" i="85"/>
  <c r="D308" i="85"/>
  <c r="P307" i="85"/>
  <c r="P306" i="85"/>
  <c r="P305" i="85"/>
  <c r="D305" i="85"/>
  <c r="P304" i="85"/>
  <c r="D304" i="85"/>
  <c r="P303" i="85"/>
  <c r="D303" i="85"/>
  <c r="P302" i="85"/>
  <c r="D302" i="85"/>
  <c r="P301" i="85"/>
  <c r="D301" i="85"/>
  <c r="P300" i="85"/>
  <c r="P299" i="85"/>
  <c r="D299" i="85"/>
  <c r="P298" i="85"/>
  <c r="D298" i="85"/>
  <c r="P297" i="85"/>
  <c r="D297" i="85"/>
  <c r="P296" i="85"/>
  <c r="D296" i="85"/>
  <c r="P295" i="85"/>
  <c r="D295" i="85"/>
  <c r="P294" i="85"/>
  <c r="D294" i="85"/>
  <c r="P293" i="85"/>
  <c r="D293" i="85"/>
  <c r="P292" i="85"/>
  <c r="D292" i="85"/>
  <c r="P291" i="85"/>
  <c r="D291" i="85"/>
  <c r="P290" i="85"/>
  <c r="D290" i="85"/>
  <c r="P289" i="85"/>
  <c r="D289" i="85"/>
  <c r="P288" i="85"/>
  <c r="D288" i="85"/>
  <c r="P287" i="85"/>
  <c r="D287" i="85"/>
  <c r="P286" i="85"/>
  <c r="D286" i="85"/>
  <c r="P285" i="85"/>
  <c r="D285" i="85"/>
  <c r="P284" i="85"/>
  <c r="D284" i="85"/>
  <c r="P283" i="85"/>
  <c r="D283" i="85"/>
  <c r="P282" i="85"/>
  <c r="D282" i="85"/>
  <c r="P281" i="85"/>
  <c r="D281" i="85"/>
  <c r="P280" i="85"/>
  <c r="D280" i="85"/>
  <c r="P279" i="85"/>
  <c r="D279" i="85"/>
  <c r="P278" i="85"/>
  <c r="D278" i="85"/>
  <c r="P277" i="85"/>
  <c r="D277" i="85"/>
  <c r="P276" i="85"/>
  <c r="D276" i="85"/>
  <c r="P275" i="85"/>
  <c r="D275" i="85"/>
  <c r="P274" i="85"/>
  <c r="D274" i="85"/>
  <c r="P273" i="85"/>
  <c r="D273" i="85"/>
  <c r="P272" i="85"/>
  <c r="D272" i="85"/>
  <c r="P271" i="85"/>
  <c r="D271" i="85"/>
  <c r="P270" i="85"/>
  <c r="D270" i="85"/>
  <c r="P269" i="85"/>
  <c r="D269" i="85"/>
  <c r="P268" i="85"/>
  <c r="D268" i="85"/>
  <c r="P267" i="85"/>
  <c r="D267" i="85"/>
  <c r="P266" i="85"/>
  <c r="D266" i="85"/>
  <c r="P265" i="85"/>
  <c r="D265" i="85"/>
  <c r="P264" i="85"/>
  <c r="D264" i="85"/>
  <c r="P263" i="85"/>
  <c r="D263" i="85"/>
  <c r="P262" i="85"/>
  <c r="D262" i="85"/>
  <c r="P261" i="85"/>
  <c r="D261" i="85"/>
  <c r="P260" i="85"/>
  <c r="D260" i="85"/>
  <c r="P259" i="85"/>
  <c r="D259" i="85"/>
  <c r="P258" i="85"/>
  <c r="D258" i="85"/>
  <c r="P257" i="85"/>
  <c r="D257" i="85"/>
  <c r="P256" i="85"/>
  <c r="D256" i="85"/>
  <c r="P255" i="85"/>
  <c r="D255" i="85"/>
  <c r="P254" i="85"/>
  <c r="D254" i="85"/>
  <c r="P253" i="85"/>
  <c r="D253" i="85"/>
  <c r="P252" i="85"/>
  <c r="D252" i="85"/>
  <c r="P251" i="85"/>
  <c r="D251" i="85"/>
  <c r="P250" i="85"/>
  <c r="D250" i="85"/>
  <c r="P249" i="85"/>
  <c r="J248" i="85"/>
  <c r="P248" i="85" s="1"/>
  <c r="P247" i="85"/>
  <c r="D247" i="85"/>
  <c r="P246" i="85"/>
  <c r="D246" i="85"/>
  <c r="P245" i="85"/>
  <c r="P244" i="85"/>
  <c r="D244" i="85"/>
  <c r="P243" i="85"/>
  <c r="D243" i="85"/>
  <c r="P242" i="85"/>
  <c r="D242" i="85"/>
  <c r="P241" i="85"/>
  <c r="D241" i="85"/>
  <c r="P240" i="85"/>
  <c r="D240" i="85"/>
  <c r="P239" i="85"/>
  <c r="D239" i="85"/>
  <c r="P238" i="85"/>
  <c r="D238" i="85"/>
  <c r="P237" i="85"/>
  <c r="D237" i="85"/>
  <c r="P236" i="85"/>
  <c r="D236" i="85"/>
  <c r="P235" i="85"/>
  <c r="D235" i="85"/>
  <c r="P234" i="85"/>
  <c r="D234" i="85"/>
  <c r="P233" i="85"/>
  <c r="D233" i="85"/>
  <c r="P232" i="85"/>
  <c r="D232" i="85"/>
  <c r="P231" i="85"/>
  <c r="D231" i="85"/>
  <c r="P230" i="85"/>
  <c r="D230" i="85"/>
  <c r="P229" i="85"/>
  <c r="P228" i="85"/>
  <c r="D228" i="85"/>
  <c r="P227" i="85"/>
  <c r="D227" i="85"/>
  <c r="P226" i="85"/>
  <c r="D226" i="85"/>
  <c r="P225" i="85"/>
  <c r="D225" i="85"/>
  <c r="P224" i="85"/>
  <c r="D224" i="85"/>
  <c r="P223" i="85"/>
  <c r="D223" i="85"/>
  <c r="P222" i="85"/>
  <c r="D222" i="85"/>
  <c r="P221" i="85"/>
  <c r="D221" i="85"/>
  <c r="P220" i="85"/>
  <c r="D220" i="85"/>
  <c r="P219" i="85"/>
  <c r="D219" i="85"/>
  <c r="P218" i="85"/>
  <c r="D218" i="85"/>
  <c r="P217" i="85"/>
  <c r="D217" i="85"/>
  <c r="P216" i="85"/>
  <c r="D216" i="85"/>
  <c r="P215" i="85"/>
  <c r="D215" i="85"/>
  <c r="P214" i="85"/>
  <c r="D214" i="85"/>
  <c r="P213" i="85"/>
  <c r="D213" i="85"/>
  <c r="P212" i="85"/>
  <c r="D212" i="85"/>
  <c r="P211" i="85"/>
  <c r="D211" i="85"/>
  <c r="P210" i="85"/>
  <c r="D210" i="85"/>
  <c r="P209" i="85"/>
  <c r="D209" i="85"/>
  <c r="P208" i="85"/>
  <c r="D208" i="85"/>
  <c r="P207" i="85"/>
  <c r="D207" i="85"/>
  <c r="P206" i="85"/>
  <c r="P205" i="85"/>
  <c r="D205" i="85"/>
  <c r="P204" i="85"/>
  <c r="D204" i="85"/>
  <c r="P203" i="85"/>
  <c r="D203" i="85"/>
  <c r="P202" i="85"/>
  <c r="D202" i="85"/>
  <c r="P201" i="85"/>
  <c r="D201" i="85"/>
  <c r="P200" i="85"/>
  <c r="D200" i="85"/>
  <c r="P199" i="85"/>
  <c r="D199" i="85"/>
  <c r="P198" i="85"/>
  <c r="D198" i="85"/>
  <c r="P197" i="85"/>
  <c r="D197" i="85"/>
  <c r="P196" i="85"/>
  <c r="D196" i="85"/>
  <c r="P195" i="85"/>
  <c r="D195" i="85"/>
  <c r="P194" i="85"/>
  <c r="D194" i="85"/>
  <c r="P193" i="85"/>
  <c r="D193" i="85"/>
  <c r="P192" i="85"/>
  <c r="D192" i="85"/>
  <c r="P191" i="85"/>
  <c r="D191" i="85"/>
  <c r="P190" i="85"/>
  <c r="D190" i="85"/>
  <c r="P189" i="85"/>
  <c r="D189" i="85"/>
  <c r="P188" i="85"/>
  <c r="D188" i="85"/>
  <c r="P187" i="85"/>
  <c r="D187" i="85"/>
  <c r="P186" i="85"/>
  <c r="D186" i="85"/>
  <c r="P185" i="85"/>
  <c r="D185" i="85"/>
  <c r="P184" i="85"/>
  <c r="D184" i="85"/>
  <c r="P183" i="85"/>
  <c r="D183" i="85"/>
  <c r="P182" i="85"/>
  <c r="D182" i="85"/>
  <c r="P181" i="85"/>
  <c r="D181" i="85"/>
  <c r="P180" i="85"/>
  <c r="D180" i="85"/>
  <c r="P179" i="85"/>
  <c r="D179" i="85"/>
  <c r="P178" i="85"/>
  <c r="D178" i="85"/>
  <c r="P177" i="85"/>
  <c r="D177" i="85"/>
  <c r="P176" i="85"/>
  <c r="D176" i="85"/>
  <c r="P175" i="85"/>
  <c r="D175" i="85"/>
  <c r="P174" i="85"/>
  <c r="D174" i="85"/>
  <c r="P173" i="85"/>
  <c r="D173" i="85"/>
  <c r="P172" i="85"/>
  <c r="D172" i="85"/>
  <c r="P171" i="85"/>
  <c r="D171" i="85"/>
  <c r="P170" i="85"/>
  <c r="D170" i="85"/>
  <c r="P169" i="85"/>
  <c r="D169" i="85"/>
  <c r="P168" i="85"/>
  <c r="D168" i="85"/>
  <c r="P167" i="85"/>
  <c r="D167" i="85"/>
  <c r="P166" i="85"/>
  <c r="D166" i="85"/>
  <c r="P165" i="85"/>
  <c r="D165" i="85"/>
  <c r="P164" i="85"/>
  <c r="D164" i="85"/>
  <c r="P163" i="85"/>
  <c r="D163" i="85"/>
  <c r="P162" i="85"/>
  <c r="D162" i="85"/>
  <c r="P161" i="85"/>
  <c r="D161" i="85"/>
  <c r="P160" i="85"/>
  <c r="D160" i="85"/>
  <c r="P159" i="85"/>
  <c r="D159" i="85"/>
  <c r="P158" i="85"/>
  <c r="D158" i="85"/>
  <c r="P157" i="85"/>
  <c r="D157" i="85"/>
  <c r="P156" i="85"/>
  <c r="D156" i="85"/>
  <c r="P155" i="85"/>
  <c r="D155" i="85"/>
  <c r="P154" i="85"/>
  <c r="D154" i="85"/>
  <c r="P153" i="85"/>
  <c r="D153" i="85"/>
  <c r="P152" i="85"/>
  <c r="D152" i="85"/>
  <c r="P151" i="85"/>
  <c r="D151" i="85"/>
  <c r="P150" i="85"/>
  <c r="D150" i="85"/>
  <c r="P149" i="85"/>
  <c r="D149" i="85"/>
  <c r="P148" i="85"/>
  <c r="D148" i="85"/>
  <c r="P147" i="85"/>
  <c r="D147" i="85"/>
  <c r="P146" i="85"/>
  <c r="D146" i="85"/>
  <c r="P145" i="85"/>
  <c r="D145" i="85"/>
  <c r="P144" i="85"/>
  <c r="D144" i="85"/>
  <c r="P143" i="85"/>
  <c r="D143" i="85"/>
  <c r="P142" i="85"/>
  <c r="D142" i="85"/>
  <c r="P141" i="85"/>
  <c r="P140" i="85"/>
  <c r="D140" i="85"/>
  <c r="P139" i="85"/>
  <c r="D139" i="85"/>
  <c r="P138" i="85"/>
  <c r="D138" i="85"/>
  <c r="P137" i="85"/>
  <c r="D137" i="85"/>
  <c r="P136" i="85"/>
  <c r="D136" i="85"/>
  <c r="P135" i="85"/>
  <c r="D135" i="85"/>
  <c r="P134" i="85"/>
  <c r="D134" i="85"/>
  <c r="P133" i="85"/>
  <c r="D133" i="85"/>
  <c r="P132" i="85"/>
  <c r="D132" i="85"/>
  <c r="P131" i="85"/>
  <c r="D131" i="85"/>
  <c r="P130" i="85"/>
  <c r="D130" i="85"/>
  <c r="P129" i="85"/>
  <c r="D129" i="85"/>
  <c r="P128" i="85"/>
  <c r="D128" i="85"/>
  <c r="P127" i="85"/>
  <c r="D127" i="85"/>
  <c r="P126" i="85"/>
  <c r="D126" i="85"/>
  <c r="P125" i="85"/>
  <c r="D125" i="85"/>
  <c r="P124" i="85"/>
  <c r="D124" i="85"/>
  <c r="P123" i="85"/>
  <c r="D123" i="85"/>
  <c r="P122" i="85"/>
  <c r="D122" i="85"/>
  <c r="P121" i="85"/>
  <c r="D121" i="85"/>
  <c r="P120" i="85"/>
  <c r="D120" i="85"/>
  <c r="P119" i="85"/>
  <c r="D119" i="85"/>
  <c r="P118" i="85"/>
  <c r="P117" i="85"/>
  <c r="D117" i="85"/>
  <c r="P116" i="85"/>
  <c r="D116" i="85"/>
  <c r="P115" i="85"/>
  <c r="D115" i="85"/>
  <c r="P114" i="85"/>
  <c r="D114" i="85"/>
  <c r="P113" i="85"/>
  <c r="D113" i="85"/>
  <c r="P112" i="85"/>
  <c r="D112" i="85"/>
  <c r="P111" i="85"/>
  <c r="D111" i="85"/>
  <c r="P110" i="85"/>
  <c r="D110" i="85"/>
  <c r="P109" i="85"/>
  <c r="D109" i="85"/>
  <c r="P108" i="85"/>
  <c r="D108" i="85"/>
  <c r="P107" i="85"/>
  <c r="D107" i="85"/>
  <c r="P106" i="85"/>
  <c r="D106" i="85"/>
  <c r="P105" i="85"/>
  <c r="D105" i="85"/>
  <c r="P104" i="85"/>
  <c r="D104" i="85"/>
  <c r="P103" i="85"/>
  <c r="D103" i="85"/>
  <c r="P102" i="85"/>
  <c r="P101" i="85"/>
  <c r="D101" i="85"/>
  <c r="P100" i="85"/>
  <c r="P99" i="85"/>
  <c r="D99" i="85"/>
  <c r="P98" i="85"/>
  <c r="D98" i="85"/>
  <c r="P97" i="85"/>
  <c r="D97" i="85"/>
  <c r="P96" i="85"/>
  <c r="D96" i="85"/>
  <c r="P95" i="85"/>
  <c r="D95" i="85"/>
  <c r="P94" i="85"/>
  <c r="P93" i="85"/>
  <c r="D93" i="85"/>
  <c r="P92" i="85"/>
  <c r="D92" i="85"/>
  <c r="P91" i="85"/>
  <c r="D91" i="85"/>
  <c r="P90" i="85"/>
  <c r="D90" i="85"/>
  <c r="P89" i="85"/>
  <c r="P88" i="85"/>
  <c r="D88" i="85"/>
  <c r="P87" i="85"/>
  <c r="D87" i="85"/>
  <c r="P86" i="85"/>
  <c r="D86" i="85"/>
  <c r="P85" i="85"/>
  <c r="D85" i="85"/>
  <c r="P84" i="85"/>
  <c r="P83" i="85"/>
  <c r="D83" i="85"/>
  <c r="P82" i="85"/>
  <c r="D82" i="85"/>
  <c r="P81" i="85"/>
  <c r="D81" i="85"/>
  <c r="P80" i="85"/>
  <c r="P79" i="85"/>
  <c r="D79" i="85"/>
  <c r="P78" i="85"/>
  <c r="D78" i="85"/>
  <c r="P77" i="85"/>
  <c r="D77" i="85"/>
  <c r="P76" i="85"/>
  <c r="D76" i="85"/>
  <c r="P75" i="85"/>
  <c r="D75" i="85"/>
  <c r="P74" i="85"/>
  <c r="P73" i="85"/>
  <c r="D73" i="85"/>
  <c r="P72" i="85"/>
  <c r="D72" i="85"/>
  <c r="P71" i="85"/>
  <c r="P70" i="85"/>
  <c r="D70" i="85"/>
  <c r="P69" i="85"/>
  <c r="D69" i="85"/>
  <c r="P68" i="85"/>
  <c r="D68" i="85"/>
  <c r="P67" i="85"/>
  <c r="D67" i="85"/>
  <c r="P66" i="85"/>
  <c r="D66" i="85"/>
  <c r="P65" i="85"/>
  <c r="D65" i="85"/>
  <c r="P64" i="85"/>
  <c r="P63" i="85"/>
  <c r="D63" i="85"/>
  <c r="P62" i="85"/>
  <c r="D62" i="85"/>
  <c r="P61" i="85"/>
  <c r="P60" i="85"/>
  <c r="D60" i="85"/>
  <c r="P59" i="85"/>
  <c r="D59" i="85"/>
  <c r="P58" i="85"/>
  <c r="D58" i="85"/>
  <c r="P57" i="85"/>
  <c r="D57" i="85"/>
  <c r="P56" i="85"/>
  <c r="D56" i="85"/>
  <c r="P55" i="85"/>
  <c r="P54" i="85"/>
  <c r="P53" i="85"/>
  <c r="P52" i="85"/>
  <c r="D52" i="85"/>
  <c r="P51" i="85"/>
  <c r="D51" i="85"/>
  <c r="P50" i="85"/>
  <c r="D50" i="85"/>
  <c r="P49" i="85"/>
  <c r="D49" i="85"/>
  <c r="P48" i="85"/>
  <c r="D48" i="85"/>
  <c r="P47" i="85"/>
  <c r="P46" i="85"/>
  <c r="P45" i="85"/>
  <c r="D45" i="85"/>
  <c r="P44" i="85"/>
  <c r="D44" i="85"/>
  <c r="P43" i="85"/>
  <c r="D43" i="85"/>
  <c r="P42" i="85"/>
  <c r="D42" i="85"/>
  <c r="P41" i="85"/>
  <c r="P40" i="85"/>
  <c r="D40" i="85"/>
  <c r="P39" i="85"/>
  <c r="D39" i="85"/>
  <c r="P38" i="85"/>
  <c r="D38" i="85"/>
  <c r="P37" i="85"/>
  <c r="D37" i="85"/>
  <c r="P36" i="85"/>
  <c r="P35" i="85"/>
  <c r="P34" i="85"/>
  <c r="D34" i="85"/>
  <c r="P33" i="85"/>
  <c r="D33" i="85"/>
  <c r="P32" i="85"/>
  <c r="D32" i="85"/>
  <c r="P31" i="85"/>
  <c r="D31" i="85"/>
  <c r="P30" i="85"/>
  <c r="P29" i="85"/>
  <c r="P28" i="85"/>
  <c r="D28" i="85"/>
  <c r="P27" i="85"/>
  <c r="P26" i="85"/>
  <c r="D26" i="85"/>
  <c r="P25" i="85"/>
  <c r="P24" i="85"/>
  <c r="D24" i="85"/>
  <c r="P23" i="85"/>
  <c r="P22" i="85"/>
  <c r="D22" i="85"/>
  <c r="P21" i="85"/>
  <c r="D21" i="85"/>
  <c r="P20" i="85"/>
  <c r="P19" i="85"/>
  <c r="P18" i="85"/>
  <c r="P17" i="85"/>
  <c r="D17" i="85"/>
  <c r="P16" i="85"/>
  <c r="P15" i="85"/>
  <c r="P14" i="85"/>
  <c r="D14" i="85"/>
  <c r="P13" i="85"/>
  <c r="P12" i="85"/>
  <c r="P11" i="85"/>
  <c r="D11" i="85"/>
  <c r="P10" i="85"/>
  <c r="D10" i="85"/>
  <c r="P9" i="85"/>
  <c r="D9" i="85"/>
  <c r="P8" i="85"/>
  <c r="D8" i="85"/>
  <c r="P7" i="85"/>
  <c r="D7" i="85"/>
  <c r="P6" i="85"/>
  <c r="P5" i="85"/>
  <c r="E5" i="85"/>
  <c r="P4" i="85"/>
  <c r="D4" i="85"/>
  <c r="P3" i="85"/>
  <c r="E3" i="85"/>
  <c r="P2" i="85"/>
  <c r="H4" i="13"/>
  <c r="I4" i="13" s="1"/>
  <c r="F1" i="13"/>
  <c r="E1" i="13"/>
  <c r="D1" i="13"/>
  <c r="C1" i="13"/>
  <c r="B1" i="13"/>
  <c r="C1" i="12"/>
  <c r="B1" i="12"/>
  <c r="A99" i="70"/>
  <c r="F87" i="70"/>
  <c r="E87" i="70"/>
  <c r="D87" i="70"/>
  <c r="C87" i="70"/>
  <c r="B87" i="70"/>
  <c r="F78" i="70"/>
  <c r="F83" i="70" s="1"/>
  <c r="E78" i="70"/>
  <c r="E83" i="70" s="1"/>
  <c r="D78" i="70"/>
  <c r="D83" i="70" s="1"/>
  <c r="C78" i="70"/>
  <c r="C83" i="70" s="1"/>
  <c r="B78" i="70"/>
  <c r="B83" i="70" s="1"/>
  <c r="A68" i="70"/>
  <c r="A67" i="70"/>
  <c r="A66" i="70"/>
  <c r="F58" i="70"/>
  <c r="F67" i="70" s="1"/>
  <c r="E58" i="70"/>
  <c r="E67" i="70" s="1"/>
  <c r="D58" i="70"/>
  <c r="D67" i="70" s="1"/>
  <c r="C58" i="70"/>
  <c r="C67" i="70" s="1"/>
  <c r="B58" i="70"/>
  <c r="B67" i="70" s="1"/>
  <c r="A53" i="70"/>
  <c r="A52" i="70"/>
  <c r="A51" i="70"/>
  <c r="A50" i="70"/>
  <c r="F45" i="70"/>
  <c r="F46" i="70" s="1"/>
  <c r="F53" i="70" s="1"/>
  <c r="E44" i="70"/>
  <c r="E46" i="70" s="1"/>
  <c r="E53" i="70" s="1"/>
  <c r="D43" i="70"/>
  <c r="D46" i="70" s="1"/>
  <c r="D53" i="70" s="1"/>
  <c r="C42" i="70"/>
  <c r="C46" i="70" s="1"/>
  <c r="C53" i="70" s="1"/>
  <c r="B41" i="70"/>
  <c r="B46" i="70" s="1"/>
  <c r="B53" i="70" s="1"/>
  <c r="F33" i="70"/>
  <c r="F34" i="70" s="1"/>
  <c r="F51" i="70" s="1"/>
  <c r="E32" i="70"/>
  <c r="E34" i="70" s="1"/>
  <c r="E51" i="70" s="1"/>
  <c r="D31" i="70"/>
  <c r="D34" i="70" s="1"/>
  <c r="D51" i="70" s="1"/>
  <c r="C30" i="70"/>
  <c r="C34" i="70" s="1"/>
  <c r="C51" i="70" s="1"/>
  <c r="B29" i="70"/>
  <c r="B34" i="70" s="1"/>
  <c r="B51" i="70" s="1"/>
  <c r="F20" i="70"/>
  <c r="F21" i="70" s="1"/>
  <c r="F50" i="70" s="1"/>
  <c r="E19" i="70"/>
  <c r="E21" i="70" s="1"/>
  <c r="E50" i="70" s="1"/>
  <c r="D18" i="70"/>
  <c r="D21" i="70" s="1"/>
  <c r="D50" i="70" s="1"/>
  <c r="C17" i="70"/>
  <c r="C21" i="70" s="1"/>
  <c r="C50" i="70" s="1"/>
  <c r="B16" i="70"/>
  <c r="B21" i="70" s="1"/>
  <c r="B50" i="70" s="1"/>
  <c r="H8" i="70"/>
  <c r="H9" i="70" s="1"/>
  <c r="G8" i="70"/>
  <c r="F8" i="70"/>
  <c r="G7" i="70"/>
  <c r="F7" i="70"/>
  <c r="E7" i="70"/>
  <c r="F6" i="70"/>
  <c r="E6" i="70"/>
  <c r="D6" i="70"/>
  <c r="E5" i="70"/>
  <c r="D5" i="70"/>
  <c r="C5" i="70"/>
  <c r="D4" i="70"/>
  <c r="C4" i="70"/>
  <c r="B4" i="70"/>
  <c r="B9" i="70" s="1"/>
  <c r="B52" i="70" s="1"/>
  <c r="G45" i="56"/>
  <c r="F43" i="56"/>
  <c r="E43" i="56"/>
  <c r="D43" i="56"/>
  <c r="C43" i="56"/>
  <c r="B43" i="56"/>
  <c r="F41" i="56"/>
  <c r="E41" i="56"/>
  <c r="D41" i="56"/>
  <c r="C41" i="56"/>
  <c r="B41" i="56"/>
  <c r="F38" i="56"/>
  <c r="E38" i="56"/>
  <c r="D38" i="56"/>
  <c r="C38" i="56"/>
  <c r="B38" i="56"/>
  <c r="D37" i="56"/>
  <c r="G37" i="56" s="1"/>
  <c r="F36" i="56"/>
  <c r="E36" i="56"/>
  <c r="D36" i="56"/>
  <c r="C36" i="56"/>
  <c r="B36" i="56"/>
  <c r="F35" i="56"/>
  <c r="E35" i="56"/>
  <c r="D35" i="56"/>
  <c r="C35" i="56"/>
  <c r="B35" i="56"/>
  <c r="F33" i="56"/>
  <c r="E33" i="56"/>
  <c r="D33" i="56"/>
  <c r="C33" i="56"/>
  <c r="B33" i="56"/>
  <c r="F32" i="56"/>
  <c r="E32" i="56"/>
  <c r="D32" i="56"/>
  <c r="C32" i="56"/>
  <c r="B32" i="56"/>
  <c r="F31" i="56"/>
  <c r="E31" i="56"/>
  <c r="D31" i="56"/>
  <c r="C31" i="56"/>
  <c r="B31" i="56"/>
  <c r="G30" i="56"/>
  <c r="F29" i="56"/>
  <c r="E29" i="56"/>
  <c r="D29" i="56"/>
  <c r="C29" i="56"/>
  <c r="B29" i="56"/>
  <c r="F25" i="56"/>
  <c r="E25" i="56"/>
  <c r="D25" i="56"/>
  <c r="C25" i="56"/>
  <c r="B25" i="56"/>
  <c r="F24" i="56"/>
  <c r="E24" i="56"/>
  <c r="D24" i="56"/>
  <c r="C24" i="56"/>
  <c r="B24" i="56"/>
  <c r="F23" i="56"/>
  <c r="E23" i="56"/>
  <c r="D23" i="56"/>
  <c r="C23" i="56"/>
  <c r="F22" i="56"/>
  <c r="E22" i="56"/>
  <c r="D22" i="56"/>
  <c r="C22" i="56"/>
  <c r="B22" i="56"/>
  <c r="F21" i="56"/>
  <c r="E21" i="56"/>
  <c r="D21" i="56"/>
  <c r="C21" i="56"/>
  <c r="B21" i="56"/>
  <c r="F19" i="56"/>
  <c r="E19" i="56"/>
  <c r="D19" i="56"/>
  <c r="C19" i="56"/>
  <c r="B19" i="56"/>
  <c r="F18" i="56"/>
  <c r="E18" i="56"/>
  <c r="D18" i="56"/>
  <c r="C18" i="56"/>
  <c r="B18" i="56"/>
  <c r="F17" i="56"/>
  <c r="E17" i="56"/>
  <c r="D17" i="56"/>
  <c r="C17" i="56"/>
  <c r="B17" i="56"/>
  <c r="F16" i="56"/>
  <c r="E16" i="56"/>
  <c r="D16" i="56"/>
  <c r="C16" i="56"/>
  <c r="B16" i="56"/>
  <c r="F15" i="56"/>
  <c r="E15" i="56"/>
  <c r="D15" i="56"/>
  <c r="C15" i="56"/>
  <c r="B15" i="56"/>
  <c r="F11" i="56"/>
  <c r="E11" i="56"/>
  <c r="D11" i="56"/>
  <c r="C11" i="56"/>
  <c r="B11" i="56"/>
  <c r="F10" i="56"/>
  <c r="E10" i="56"/>
  <c r="D10" i="56"/>
  <c r="C10" i="56"/>
  <c r="B10" i="56"/>
  <c r="F9" i="56"/>
  <c r="E9" i="56"/>
  <c r="D9" i="56"/>
  <c r="C9" i="56"/>
  <c r="B9" i="56"/>
  <c r="F8" i="56"/>
  <c r="E8" i="56"/>
  <c r="D8" i="56"/>
  <c r="C8" i="56"/>
  <c r="B8" i="56"/>
  <c r="F6" i="56"/>
  <c r="E6" i="56"/>
  <c r="D6" i="56"/>
  <c r="C6" i="56"/>
  <c r="B6" i="56"/>
  <c r="F5" i="56"/>
  <c r="E5" i="56"/>
  <c r="D5" i="56"/>
  <c r="C5" i="56"/>
  <c r="B5" i="56"/>
  <c r="F4" i="56"/>
  <c r="E4" i="56"/>
  <c r="D4" i="56"/>
  <c r="C4" i="56"/>
  <c r="B4" i="56"/>
  <c r="L2" i="56"/>
  <c r="K2" i="56"/>
  <c r="J2" i="56"/>
  <c r="I2" i="56"/>
  <c r="H2" i="56"/>
  <c r="F2" i="56"/>
  <c r="E2" i="56"/>
  <c r="D2" i="56"/>
  <c r="C2" i="56"/>
  <c r="B2" i="56"/>
  <c r="F77" i="4"/>
  <c r="E77" i="4"/>
  <c r="D77" i="4"/>
  <c r="C77" i="4"/>
  <c r="B77" i="4"/>
  <c r="F76" i="4"/>
  <c r="E76" i="4"/>
  <c r="D76" i="4"/>
  <c r="C76" i="4"/>
  <c r="B76" i="4"/>
  <c r="F75" i="4"/>
  <c r="E75" i="4"/>
  <c r="D75" i="4"/>
  <c r="C75" i="4"/>
  <c r="B75" i="4"/>
  <c r="F74" i="4"/>
  <c r="E74" i="4"/>
  <c r="D74" i="4"/>
  <c r="C74" i="4"/>
  <c r="B74" i="4"/>
  <c r="F73" i="4"/>
  <c r="E73" i="4"/>
  <c r="D73" i="4"/>
  <c r="C73" i="4"/>
  <c r="B73" i="4"/>
  <c r="F72" i="4"/>
  <c r="E72" i="4"/>
  <c r="D72" i="4"/>
  <c r="C72" i="4"/>
  <c r="B72" i="4"/>
  <c r="F71" i="4"/>
  <c r="E71" i="4"/>
  <c r="D71" i="4"/>
  <c r="C71" i="4"/>
  <c r="B71" i="4"/>
  <c r="F70" i="4"/>
  <c r="E70" i="4"/>
  <c r="D70" i="4"/>
  <c r="C70" i="4"/>
  <c r="B70" i="4"/>
  <c r="F67" i="4"/>
  <c r="E67" i="4"/>
  <c r="D67" i="4"/>
  <c r="C67" i="4"/>
  <c r="B67" i="4"/>
  <c r="F66" i="4"/>
  <c r="E66" i="4"/>
  <c r="D66" i="4"/>
  <c r="C66" i="4"/>
  <c r="B66" i="4"/>
  <c r="F65" i="4"/>
  <c r="E65" i="4"/>
  <c r="D65" i="4"/>
  <c r="C65" i="4"/>
  <c r="B65" i="4"/>
  <c r="F64" i="4"/>
  <c r="E64" i="4"/>
  <c r="E14" i="43" s="1"/>
  <c r="D64" i="4"/>
  <c r="D14" i="43" s="1"/>
  <c r="C64" i="4"/>
  <c r="C14" i="43" s="1"/>
  <c r="B64" i="4"/>
  <c r="B14" i="43" s="1"/>
  <c r="F63" i="4"/>
  <c r="E63" i="4"/>
  <c r="D63" i="4"/>
  <c r="C63" i="4"/>
  <c r="B63" i="4"/>
  <c r="F62" i="4"/>
  <c r="E62" i="4"/>
  <c r="D62" i="4"/>
  <c r="C62" i="4"/>
  <c r="B62" i="4"/>
  <c r="F61" i="4"/>
  <c r="E61" i="4"/>
  <c r="D61" i="4"/>
  <c r="C61" i="4"/>
  <c r="B61" i="4"/>
  <c r="F60" i="4"/>
  <c r="E60" i="4"/>
  <c r="D60" i="4"/>
  <c r="C60" i="4"/>
  <c r="B60" i="4"/>
  <c r="F59" i="4"/>
  <c r="E59" i="4"/>
  <c r="D59" i="4"/>
  <c r="C59" i="4"/>
  <c r="B59" i="4"/>
  <c r="F58" i="4"/>
  <c r="E58" i="4"/>
  <c r="D58" i="4"/>
  <c r="C58" i="4"/>
  <c r="B58" i="4"/>
  <c r="F57" i="4"/>
  <c r="E57" i="4"/>
  <c r="D57" i="4"/>
  <c r="C57" i="4"/>
  <c r="B57" i="4"/>
  <c r="F56" i="4"/>
  <c r="F7" i="13" s="1"/>
  <c r="E56" i="4"/>
  <c r="E7" i="13" s="1"/>
  <c r="D56" i="4"/>
  <c r="D7" i="13" s="1"/>
  <c r="C56" i="4"/>
  <c r="C7" i="13" s="1"/>
  <c r="B56" i="4"/>
  <c r="B7" i="13" s="1"/>
  <c r="F55" i="4"/>
  <c r="F6" i="13" s="1"/>
  <c r="E55" i="4"/>
  <c r="E6" i="13" s="1"/>
  <c r="D55" i="4"/>
  <c r="D6" i="13" s="1"/>
  <c r="C55" i="4"/>
  <c r="C6" i="13" s="1"/>
  <c r="B55" i="4"/>
  <c r="B6" i="13" s="1"/>
  <c r="F54" i="4"/>
  <c r="F5" i="13" s="1"/>
  <c r="E54" i="4"/>
  <c r="E5" i="13" s="1"/>
  <c r="D54" i="4"/>
  <c r="D5" i="13" s="1"/>
  <c r="C54" i="4"/>
  <c r="C5" i="13" s="1"/>
  <c r="B54" i="4"/>
  <c r="B5" i="13" s="1"/>
  <c r="F53" i="4"/>
  <c r="E53" i="4"/>
  <c r="D53" i="4"/>
  <c r="C53" i="4"/>
  <c r="B53" i="4"/>
  <c r="F52" i="4"/>
  <c r="E52" i="4"/>
  <c r="D52" i="4"/>
  <c r="C52" i="4"/>
  <c r="B52" i="4"/>
  <c r="G45" i="4"/>
  <c r="F43" i="4"/>
  <c r="E43" i="4"/>
  <c r="D43" i="4"/>
  <c r="C43" i="4"/>
  <c r="B43" i="4"/>
  <c r="F41" i="4"/>
  <c r="E41" i="4"/>
  <c r="D41" i="4"/>
  <c r="C41" i="4"/>
  <c r="B41" i="4"/>
  <c r="F38" i="4"/>
  <c r="E38" i="4"/>
  <c r="D38" i="4"/>
  <c r="C38" i="4"/>
  <c r="B38" i="4"/>
  <c r="D37" i="4"/>
  <c r="G37" i="4" s="1"/>
  <c r="F36" i="4"/>
  <c r="F6" i="16" s="1"/>
  <c r="F3" i="16" s="1"/>
  <c r="E36" i="4"/>
  <c r="E6" i="16" s="1"/>
  <c r="E3" i="16" s="1"/>
  <c r="D36" i="4"/>
  <c r="D6" i="16" s="1"/>
  <c r="D3" i="16" s="1"/>
  <c r="C36" i="4"/>
  <c r="C6" i="16" s="1"/>
  <c r="C3" i="16" s="1"/>
  <c r="B36" i="4"/>
  <c r="B6" i="16" s="1"/>
  <c r="B3" i="16" s="1"/>
  <c r="F35" i="4"/>
  <c r="E35" i="4"/>
  <c r="D35" i="4"/>
  <c r="C35" i="4"/>
  <c r="B35" i="4"/>
  <c r="F33" i="4"/>
  <c r="E33" i="4"/>
  <c r="D33" i="4"/>
  <c r="C33" i="4"/>
  <c r="B33" i="4"/>
  <c r="F32" i="4"/>
  <c r="E32" i="4"/>
  <c r="D32" i="4"/>
  <c r="C32" i="4"/>
  <c r="D36" i="41" s="1"/>
  <c r="B32" i="4"/>
  <c r="D13" i="41" s="1"/>
  <c r="F31" i="4"/>
  <c r="E31" i="4"/>
  <c r="D31" i="4"/>
  <c r="C31" i="4"/>
  <c r="B31" i="4"/>
  <c r="D12" i="41" s="1"/>
  <c r="E30" i="4"/>
  <c r="D30" i="4"/>
  <c r="C30" i="4"/>
  <c r="B30" i="4"/>
  <c r="F29" i="4"/>
  <c r="E29" i="4"/>
  <c r="D29" i="4"/>
  <c r="C29" i="4"/>
  <c r="B29" i="4"/>
  <c r="F25" i="4"/>
  <c r="E25" i="4"/>
  <c r="D25" i="4"/>
  <c r="C25" i="4"/>
  <c r="B25" i="4"/>
  <c r="F24" i="4"/>
  <c r="E24" i="4"/>
  <c r="D24" i="4"/>
  <c r="C24" i="4"/>
  <c r="B24" i="4"/>
  <c r="F23" i="4"/>
  <c r="E23" i="4"/>
  <c r="D23" i="4"/>
  <c r="C23" i="4"/>
  <c r="F22" i="4"/>
  <c r="E22" i="4"/>
  <c r="D22" i="4"/>
  <c r="C22" i="4"/>
  <c r="B22" i="4"/>
  <c r="F21" i="4"/>
  <c r="E21" i="4"/>
  <c r="D21" i="4"/>
  <c r="C21" i="4"/>
  <c r="B21" i="4"/>
  <c r="F19" i="4"/>
  <c r="E19" i="4"/>
  <c r="D19" i="4"/>
  <c r="C19" i="4"/>
  <c r="B19" i="4"/>
  <c r="F18" i="4"/>
  <c r="E18" i="4"/>
  <c r="D18" i="4"/>
  <c r="C18" i="4"/>
  <c r="B18" i="4"/>
  <c r="F17" i="4"/>
  <c r="E17" i="4"/>
  <c r="D17" i="4"/>
  <c r="C17" i="4"/>
  <c r="B17" i="4"/>
  <c r="F16" i="4"/>
  <c r="E16" i="4"/>
  <c r="D16" i="4"/>
  <c r="C16" i="4"/>
  <c r="B16" i="4"/>
  <c r="F15" i="4"/>
  <c r="E15" i="4"/>
  <c r="D15" i="4"/>
  <c r="C15" i="4"/>
  <c r="B15" i="4"/>
  <c r="F11" i="4"/>
  <c r="E11" i="4"/>
  <c r="D11" i="4"/>
  <c r="C11" i="4"/>
  <c r="B11" i="4"/>
  <c r="F10" i="4"/>
  <c r="E10" i="4"/>
  <c r="D10" i="4"/>
  <c r="C10" i="4"/>
  <c r="B10" i="4"/>
  <c r="F9" i="4"/>
  <c r="E9" i="4"/>
  <c r="D9" i="4"/>
  <c r="C9" i="4"/>
  <c r="B9" i="4"/>
  <c r="F8" i="4"/>
  <c r="E8" i="4"/>
  <c r="D8" i="4"/>
  <c r="C8" i="4"/>
  <c r="B8" i="4"/>
  <c r="F6" i="4"/>
  <c r="E6" i="4"/>
  <c r="E25" i="40" s="1"/>
  <c r="D6" i="4"/>
  <c r="D25" i="40" s="1"/>
  <c r="C6" i="4"/>
  <c r="C25" i="40" s="1"/>
  <c r="B6" i="4"/>
  <c r="B25" i="40" s="1"/>
  <c r="F5" i="4"/>
  <c r="E5" i="4"/>
  <c r="D5" i="4"/>
  <c r="C5" i="4"/>
  <c r="B5" i="4"/>
  <c r="F4" i="4"/>
  <c r="E4" i="4"/>
  <c r="E24" i="40" s="1"/>
  <c r="D4" i="4"/>
  <c r="D24" i="40" s="1"/>
  <c r="C4" i="4"/>
  <c r="C24" i="40" s="1"/>
  <c r="B4" i="4"/>
  <c r="B24" i="40" s="1"/>
  <c r="L2" i="4"/>
  <c r="K2" i="4"/>
  <c r="J2" i="4"/>
  <c r="I2" i="4"/>
  <c r="H2" i="4"/>
  <c r="F2" i="4"/>
  <c r="F2" i="37" s="1"/>
  <c r="E2" i="4"/>
  <c r="D2" i="4"/>
  <c r="D2" i="37" s="1"/>
  <c r="C2" i="4"/>
  <c r="C2" i="37" s="1"/>
  <c r="B2" i="4"/>
  <c r="B2" i="37" s="1"/>
  <c r="G72" i="55"/>
  <c r="G71" i="55"/>
  <c r="G70" i="55"/>
  <c r="F66" i="55"/>
  <c r="E66" i="55"/>
  <c r="D66" i="55"/>
  <c r="C66" i="55"/>
  <c r="B66" i="55"/>
  <c r="F65" i="55"/>
  <c r="E65" i="55"/>
  <c r="D65" i="55"/>
  <c r="C65" i="55"/>
  <c r="B65" i="55"/>
  <c r="F64" i="55"/>
  <c r="E64" i="55"/>
  <c r="D64" i="55"/>
  <c r="C64" i="55"/>
  <c r="B64" i="55"/>
  <c r="F63" i="55"/>
  <c r="E63" i="55"/>
  <c r="D63" i="55"/>
  <c r="C63" i="55"/>
  <c r="B63" i="55"/>
  <c r="F62" i="55"/>
  <c r="E62" i="55"/>
  <c r="D62" i="55"/>
  <c r="C62" i="55"/>
  <c r="B62" i="55"/>
  <c r="F61" i="55"/>
  <c r="E61" i="55"/>
  <c r="D61" i="55"/>
  <c r="C61" i="55"/>
  <c r="B61" i="55"/>
  <c r="F60" i="55"/>
  <c r="E60" i="55"/>
  <c r="D60" i="55"/>
  <c r="C60" i="55"/>
  <c r="B60" i="55"/>
  <c r="F59" i="55"/>
  <c r="E59" i="55"/>
  <c r="D59" i="55"/>
  <c r="C59" i="55"/>
  <c r="B59" i="55"/>
  <c r="F58" i="55"/>
  <c r="E58" i="55"/>
  <c r="D58" i="55"/>
  <c r="C58" i="55"/>
  <c r="B58" i="55"/>
  <c r="F57" i="55"/>
  <c r="E57" i="55"/>
  <c r="D57" i="55"/>
  <c r="C57" i="55"/>
  <c r="B57" i="55"/>
  <c r="F56" i="55"/>
  <c r="E56" i="55"/>
  <c r="D56" i="55"/>
  <c r="C56" i="55"/>
  <c r="B56" i="55"/>
  <c r="F55" i="55"/>
  <c r="E55" i="55"/>
  <c r="D55" i="55"/>
  <c r="C55" i="55"/>
  <c r="B55" i="55"/>
  <c r="F54" i="55"/>
  <c r="E54" i="55"/>
  <c r="D54" i="55"/>
  <c r="C54" i="55"/>
  <c r="B54" i="55"/>
  <c r="F53" i="55"/>
  <c r="E53" i="55"/>
  <c r="D53" i="55"/>
  <c r="C53" i="55"/>
  <c r="B53" i="55"/>
  <c r="F52" i="55"/>
  <c r="E52" i="55"/>
  <c r="D52" i="55"/>
  <c r="C52" i="55"/>
  <c r="B52" i="55"/>
  <c r="F51" i="55"/>
  <c r="E51" i="55"/>
  <c r="D51" i="55"/>
  <c r="C51" i="55"/>
  <c r="B51" i="55"/>
  <c r="F50" i="55"/>
  <c r="E50" i="55"/>
  <c r="D50" i="55"/>
  <c r="C50" i="55"/>
  <c r="B50" i="55"/>
  <c r="F49" i="55"/>
  <c r="B49" i="55"/>
  <c r="F47" i="55"/>
  <c r="E47" i="55"/>
  <c r="D47" i="55"/>
  <c r="C47" i="55"/>
  <c r="B47" i="55"/>
  <c r="G45" i="55"/>
  <c r="F44" i="55"/>
  <c r="E44" i="55"/>
  <c r="D44" i="55"/>
  <c r="C44" i="55"/>
  <c r="B44" i="55"/>
  <c r="F43" i="55"/>
  <c r="E43" i="55"/>
  <c r="D43" i="55"/>
  <c r="C43" i="55"/>
  <c r="B43" i="55"/>
  <c r="G42" i="55"/>
  <c r="F40" i="55"/>
  <c r="E40" i="55"/>
  <c r="D40" i="55"/>
  <c r="C40" i="55"/>
  <c r="B40" i="55"/>
  <c r="F38" i="55"/>
  <c r="E38" i="55"/>
  <c r="D38" i="55"/>
  <c r="C38" i="55"/>
  <c r="B38" i="55"/>
  <c r="F37" i="55"/>
  <c r="E37" i="55"/>
  <c r="D37" i="55"/>
  <c r="C37" i="55"/>
  <c r="B37" i="55"/>
  <c r="F35" i="55"/>
  <c r="E35" i="55"/>
  <c r="D35" i="55"/>
  <c r="C35" i="55"/>
  <c r="B35" i="55"/>
  <c r="F34" i="55"/>
  <c r="E34" i="55"/>
  <c r="D34" i="55"/>
  <c r="C34" i="55"/>
  <c r="B34" i="55"/>
  <c r="F33" i="55"/>
  <c r="E33" i="55"/>
  <c r="D33" i="55"/>
  <c r="C33" i="55"/>
  <c r="B33" i="55"/>
  <c r="F32" i="55"/>
  <c r="E32" i="55"/>
  <c r="D32" i="55"/>
  <c r="C32" i="55"/>
  <c r="B32" i="55"/>
  <c r="F31" i="55"/>
  <c r="E31" i="55"/>
  <c r="D31" i="55"/>
  <c r="C31" i="55"/>
  <c r="B31" i="55"/>
  <c r="F30" i="55"/>
  <c r="E30" i="55"/>
  <c r="D30" i="55"/>
  <c r="C30" i="55"/>
  <c r="B30" i="55"/>
  <c r="F29" i="55"/>
  <c r="E29" i="55"/>
  <c r="D29" i="55"/>
  <c r="C29" i="55"/>
  <c r="B29" i="55"/>
  <c r="F28" i="55"/>
  <c r="E28" i="55"/>
  <c r="D28" i="55"/>
  <c r="C28" i="55"/>
  <c r="B28" i="55"/>
  <c r="F27" i="55"/>
  <c r="E27" i="55"/>
  <c r="D27" i="55"/>
  <c r="C27" i="55"/>
  <c r="B27" i="55"/>
  <c r="F26" i="55"/>
  <c r="E26" i="55"/>
  <c r="D26" i="55"/>
  <c r="C26" i="55"/>
  <c r="B26" i="55"/>
  <c r="F25" i="55"/>
  <c r="E25" i="55"/>
  <c r="D25" i="55"/>
  <c r="C25" i="55"/>
  <c r="B25" i="55"/>
  <c r="F24" i="55"/>
  <c r="E24" i="55"/>
  <c r="D24" i="55"/>
  <c r="C24" i="55"/>
  <c r="B24" i="55"/>
  <c r="F23" i="55"/>
  <c r="E23" i="55"/>
  <c r="D23" i="55"/>
  <c r="C23" i="55"/>
  <c r="B23" i="55"/>
  <c r="F22" i="55"/>
  <c r="E22" i="55"/>
  <c r="D22" i="55"/>
  <c r="C22" i="55"/>
  <c r="B22" i="55"/>
  <c r="F21" i="55"/>
  <c r="E21" i="55"/>
  <c r="D21" i="55"/>
  <c r="C21" i="55"/>
  <c r="B21" i="55"/>
  <c r="F20" i="55"/>
  <c r="E20" i="55"/>
  <c r="D20" i="55"/>
  <c r="C20" i="55"/>
  <c r="B20" i="55"/>
  <c r="F19" i="55"/>
  <c r="E19" i="55"/>
  <c r="D19" i="55"/>
  <c r="C19" i="55"/>
  <c r="B19" i="55"/>
  <c r="F18" i="55"/>
  <c r="E18" i="55"/>
  <c r="D18" i="55"/>
  <c r="C18" i="55"/>
  <c r="B18" i="55"/>
  <c r="F17" i="55"/>
  <c r="E17" i="55"/>
  <c r="D17" i="55"/>
  <c r="C17" i="55"/>
  <c r="B17" i="55"/>
  <c r="F16" i="55"/>
  <c r="E16" i="55"/>
  <c r="D16" i="55"/>
  <c r="C16" i="55"/>
  <c r="B16" i="55"/>
  <c r="F15" i="55"/>
  <c r="E15" i="55"/>
  <c r="D15" i="55"/>
  <c r="C15" i="55"/>
  <c r="B15" i="55"/>
  <c r="F14" i="55"/>
  <c r="E14" i="55"/>
  <c r="D14" i="55"/>
  <c r="C14" i="55"/>
  <c r="B14" i="55"/>
  <c r="F13" i="55"/>
  <c r="E13" i="55"/>
  <c r="D13" i="55"/>
  <c r="C13" i="55"/>
  <c r="B13" i="55"/>
  <c r="F12" i="55"/>
  <c r="E12" i="55"/>
  <c r="D12" i="55"/>
  <c r="C12" i="55"/>
  <c r="B12" i="55"/>
  <c r="F11" i="55"/>
  <c r="E11" i="55"/>
  <c r="D11" i="55"/>
  <c r="C11" i="55"/>
  <c r="B11" i="55"/>
  <c r="F10" i="55"/>
  <c r="E10" i="55"/>
  <c r="D10" i="55"/>
  <c r="C10" i="55"/>
  <c r="B10" i="55"/>
  <c r="F9" i="55"/>
  <c r="E9" i="55"/>
  <c r="D9" i="55"/>
  <c r="C9" i="55"/>
  <c r="B9" i="55"/>
  <c r="F7" i="55"/>
  <c r="E7" i="55"/>
  <c r="D7" i="55"/>
  <c r="C7" i="55"/>
  <c r="B7" i="55"/>
  <c r="F6" i="55"/>
  <c r="E6" i="55"/>
  <c r="D6" i="55"/>
  <c r="C6" i="55"/>
  <c r="B6" i="55"/>
  <c r="F5" i="55"/>
  <c r="E5" i="55"/>
  <c r="D5" i="55"/>
  <c r="C5" i="55"/>
  <c r="B5" i="55"/>
  <c r="F4" i="55"/>
  <c r="E4" i="55"/>
  <c r="D4" i="55"/>
  <c r="C4" i="55"/>
  <c r="B4" i="55"/>
  <c r="L2" i="55"/>
  <c r="K2" i="55"/>
  <c r="J2" i="55"/>
  <c r="I2" i="55"/>
  <c r="H2" i="55"/>
  <c r="F2" i="55"/>
  <c r="E2" i="55"/>
  <c r="D2" i="55"/>
  <c r="C2" i="55"/>
  <c r="B2" i="55"/>
  <c r="G72" i="3"/>
  <c r="G71" i="3"/>
  <c r="G70" i="3"/>
  <c r="F66" i="3"/>
  <c r="E66" i="3"/>
  <c r="D66" i="3"/>
  <c r="C66" i="3"/>
  <c r="B66" i="3"/>
  <c r="F65" i="3"/>
  <c r="E65" i="3"/>
  <c r="D65" i="3"/>
  <c r="C65" i="3"/>
  <c r="B65" i="3"/>
  <c r="F64" i="3"/>
  <c r="E64" i="3"/>
  <c r="D64" i="3"/>
  <c r="C64" i="3"/>
  <c r="B64" i="3"/>
  <c r="F63" i="3"/>
  <c r="E63" i="3"/>
  <c r="D63" i="3"/>
  <c r="C63" i="3"/>
  <c r="B63" i="3"/>
  <c r="F62" i="3"/>
  <c r="E62" i="3"/>
  <c r="D62" i="3"/>
  <c r="C62" i="3"/>
  <c r="B62" i="3"/>
  <c r="F61" i="3"/>
  <c r="E61" i="3"/>
  <c r="D61" i="3"/>
  <c r="C61" i="3"/>
  <c r="B61" i="3"/>
  <c r="F60" i="3"/>
  <c r="E60" i="3"/>
  <c r="D60" i="3"/>
  <c r="C60" i="3"/>
  <c r="B60" i="3"/>
  <c r="F59" i="3"/>
  <c r="E59" i="3"/>
  <c r="D59" i="3"/>
  <c r="C59" i="3"/>
  <c r="B59" i="3"/>
  <c r="F58" i="3"/>
  <c r="E58" i="3"/>
  <c r="D58" i="3"/>
  <c r="C58" i="3"/>
  <c r="B58" i="3"/>
  <c r="F57" i="3"/>
  <c r="E57" i="3"/>
  <c r="D57" i="3"/>
  <c r="C57" i="3"/>
  <c r="B57" i="3"/>
  <c r="F56" i="3"/>
  <c r="E56" i="3"/>
  <c r="D56" i="3"/>
  <c r="C56" i="3"/>
  <c r="B56" i="3"/>
  <c r="F55" i="3"/>
  <c r="E55" i="3"/>
  <c r="D55" i="3"/>
  <c r="C55" i="3"/>
  <c r="B55" i="3"/>
  <c r="F54" i="3"/>
  <c r="E54" i="3"/>
  <c r="D54" i="3"/>
  <c r="C54" i="3"/>
  <c r="B54" i="3"/>
  <c r="F53" i="3"/>
  <c r="E53" i="3"/>
  <c r="D53" i="3"/>
  <c r="C53" i="3"/>
  <c r="B53" i="3"/>
  <c r="F52" i="3"/>
  <c r="E52" i="3"/>
  <c r="D52" i="3"/>
  <c r="C52" i="3"/>
  <c r="B52" i="3"/>
  <c r="F51" i="3"/>
  <c r="E51" i="3"/>
  <c r="D51" i="3"/>
  <c r="C51" i="3"/>
  <c r="B51" i="3"/>
  <c r="F50" i="3"/>
  <c r="E50" i="3"/>
  <c r="D50" i="3"/>
  <c r="C50" i="3"/>
  <c r="B50" i="3"/>
  <c r="F49" i="3"/>
  <c r="B49" i="3"/>
  <c r="F47" i="3"/>
  <c r="E47" i="3"/>
  <c r="D47" i="3"/>
  <c r="C47" i="3"/>
  <c r="B47" i="3"/>
  <c r="G45" i="3"/>
  <c r="F44" i="3"/>
  <c r="E44" i="3"/>
  <c r="D44" i="3"/>
  <c r="C44" i="3"/>
  <c r="B44" i="3"/>
  <c r="F43" i="3"/>
  <c r="E43" i="3"/>
  <c r="D43" i="3"/>
  <c r="C43" i="3"/>
  <c r="B43" i="3"/>
  <c r="G42" i="3"/>
  <c r="F40" i="3"/>
  <c r="E40" i="3"/>
  <c r="D40" i="3"/>
  <c r="C40" i="3"/>
  <c r="B40" i="3"/>
  <c r="F38" i="3"/>
  <c r="F9" i="57" s="1"/>
  <c r="E38" i="3"/>
  <c r="E9" i="57" s="1"/>
  <c r="D38" i="3"/>
  <c r="D9" i="57" s="1"/>
  <c r="C38" i="3"/>
  <c r="C9" i="57" s="1"/>
  <c r="B38" i="3"/>
  <c r="B9" i="57" s="1"/>
  <c r="F37" i="3"/>
  <c r="F8" i="57" s="1"/>
  <c r="E37" i="3"/>
  <c r="E8" i="57" s="1"/>
  <c r="D37" i="3"/>
  <c r="D8" i="57" s="1"/>
  <c r="C37" i="3"/>
  <c r="C8" i="57" s="1"/>
  <c r="B37" i="3"/>
  <c r="B8" i="57" s="1"/>
  <c r="F35" i="3"/>
  <c r="F7" i="57" s="1"/>
  <c r="E35" i="3"/>
  <c r="E7" i="57" s="1"/>
  <c r="D35" i="3"/>
  <c r="D7" i="57" s="1"/>
  <c r="C35" i="3"/>
  <c r="C7" i="57" s="1"/>
  <c r="B35" i="3"/>
  <c r="B7" i="57" s="1"/>
  <c r="F34" i="3"/>
  <c r="F6" i="57" s="1"/>
  <c r="E34" i="3"/>
  <c r="E6" i="57" s="1"/>
  <c r="D34" i="3"/>
  <c r="D6" i="57" s="1"/>
  <c r="C34" i="3"/>
  <c r="C6" i="57" s="1"/>
  <c r="B34" i="3"/>
  <c r="B6" i="57" s="1"/>
  <c r="F33" i="3"/>
  <c r="F5" i="57" s="1"/>
  <c r="E33" i="3"/>
  <c r="E5" i="57" s="1"/>
  <c r="D33" i="3"/>
  <c r="D5" i="57" s="1"/>
  <c r="C33" i="3"/>
  <c r="C5" i="57" s="1"/>
  <c r="B33" i="3"/>
  <c r="B5" i="57" s="1"/>
  <c r="F32" i="3"/>
  <c r="F4" i="57" s="1"/>
  <c r="E32" i="3"/>
  <c r="E4" i="57" s="1"/>
  <c r="D32" i="3"/>
  <c r="D4" i="57" s="1"/>
  <c r="C32" i="3"/>
  <c r="C4" i="57" s="1"/>
  <c r="B32" i="3"/>
  <c r="B4" i="57" s="1"/>
  <c r="F31" i="3"/>
  <c r="E31" i="3"/>
  <c r="D31" i="3"/>
  <c r="C31" i="3"/>
  <c r="B31" i="3"/>
  <c r="F30" i="3"/>
  <c r="E30" i="3"/>
  <c r="D30" i="3"/>
  <c r="C30" i="3"/>
  <c r="B30" i="3"/>
  <c r="F29" i="3"/>
  <c r="E29" i="3"/>
  <c r="D29" i="3"/>
  <c r="C29" i="3"/>
  <c r="B29" i="3"/>
  <c r="F28" i="3"/>
  <c r="E28" i="3"/>
  <c r="D28" i="3"/>
  <c r="C28" i="3"/>
  <c r="B28" i="3"/>
  <c r="F27" i="3"/>
  <c r="F3" i="57" s="1"/>
  <c r="E27" i="3"/>
  <c r="E3" i="57" s="1"/>
  <c r="D27" i="3"/>
  <c r="D3" i="57" s="1"/>
  <c r="C27" i="3"/>
  <c r="C3" i="57" s="1"/>
  <c r="B27" i="3"/>
  <c r="B3" i="57" s="1"/>
  <c r="F26" i="3"/>
  <c r="F2" i="57" s="1"/>
  <c r="E26" i="3"/>
  <c r="E2" i="57" s="1"/>
  <c r="D26" i="3"/>
  <c r="D2" i="57" s="1"/>
  <c r="C26" i="3"/>
  <c r="C2" i="57" s="1"/>
  <c r="B26" i="3"/>
  <c r="B2" i="57" s="1"/>
  <c r="F25" i="3"/>
  <c r="E25" i="3"/>
  <c r="D25" i="3"/>
  <c r="C25" i="3"/>
  <c r="B25" i="3"/>
  <c r="F24" i="3"/>
  <c r="E24" i="3"/>
  <c r="D24" i="3"/>
  <c r="C24" i="3"/>
  <c r="B24" i="3"/>
  <c r="F23" i="3"/>
  <c r="E23" i="3"/>
  <c r="D23" i="3"/>
  <c r="C23" i="3"/>
  <c r="B23" i="3"/>
  <c r="F22" i="3"/>
  <c r="F3" i="13" s="1"/>
  <c r="E22" i="3"/>
  <c r="E3" i="13" s="1"/>
  <c r="D22" i="3"/>
  <c r="D3" i="13" s="1"/>
  <c r="C22" i="3"/>
  <c r="C3" i="13" s="1"/>
  <c r="B22" i="3"/>
  <c r="B3" i="13" s="1"/>
  <c r="F21" i="3"/>
  <c r="E21" i="3"/>
  <c r="D21" i="3"/>
  <c r="C21" i="3"/>
  <c r="B21" i="3"/>
  <c r="F20" i="3"/>
  <c r="E20" i="3"/>
  <c r="D20" i="3"/>
  <c r="C20" i="3"/>
  <c r="B20" i="3"/>
  <c r="F19" i="3"/>
  <c r="E19" i="3"/>
  <c r="D19" i="3"/>
  <c r="C19" i="3"/>
  <c r="B19" i="3"/>
  <c r="F18" i="3"/>
  <c r="E18" i="3"/>
  <c r="D18" i="3"/>
  <c r="C18" i="3"/>
  <c r="B18" i="3"/>
  <c r="F17" i="3"/>
  <c r="E17" i="3"/>
  <c r="D17" i="3"/>
  <c r="C17" i="3"/>
  <c r="B17" i="3"/>
  <c r="F16" i="3"/>
  <c r="E16" i="3"/>
  <c r="D16" i="3"/>
  <c r="C16" i="3"/>
  <c r="B16" i="3"/>
  <c r="F15" i="3"/>
  <c r="E15" i="3"/>
  <c r="D15" i="3"/>
  <c r="C15" i="3"/>
  <c r="B15" i="3"/>
  <c r="F14" i="3"/>
  <c r="E14" i="3"/>
  <c r="D14" i="3"/>
  <c r="C14" i="3"/>
  <c r="B14" i="3"/>
  <c r="F13" i="3"/>
  <c r="E13" i="3"/>
  <c r="D13" i="3"/>
  <c r="C13" i="3"/>
  <c r="B13" i="3"/>
  <c r="F12" i="3"/>
  <c r="E12" i="3"/>
  <c r="D12" i="3"/>
  <c r="C12" i="3"/>
  <c r="B12" i="3"/>
  <c r="F11" i="3"/>
  <c r="E11" i="3"/>
  <c r="D11" i="3"/>
  <c r="C11" i="3"/>
  <c r="B11" i="3"/>
  <c r="F10" i="3"/>
  <c r="E10" i="3"/>
  <c r="D10" i="3"/>
  <c r="C10" i="3"/>
  <c r="B10" i="3"/>
  <c r="F9" i="3"/>
  <c r="E9" i="3"/>
  <c r="D9" i="3"/>
  <c r="C9" i="3"/>
  <c r="B9" i="3"/>
  <c r="F7" i="3"/>
  <c r="E7" i="3"/>
  <c r="D7" i="3"/>
  <c r="C7" i="3"/>
  <c r="B7" i="3"/>
  <c r="F6" i="3"/>
  <c r="E6" i="3"/>
  <c r="D6" i="3"/>
  <c r="C6" i="3"/>
  <c r="B6" i="3"/>
  <c r="F5" i="3"/>
  <c r="E5" i="3"/>
  <c r="D5" i="3"/>
  <c r="C5" i="3"/>
  <c r="B5" i="3"/>
  <c r="F4" i="3"/>
  <c r="E4" i="3"/>
  <c r="D4" i="3"/>
  <c r="C4" i="3"/>
  <c r="B4" i="3"/>
  <c r="L2" i="3"/>
  <c r="K2" i="3"/>
  <c r="J2" i="3"/>
  <c r="I2" i="3"/>
  <c r="H2" i="3"/>
  <c r="F2" i="3"/>
  <c r="F1" i="16" s="1"/>
  <c r="E2" i="3"/>
  <c r="E1" i="16" s="1"/>
  <c r="D2" i="3"/>
  <c r="D1" i="16" s="1"/>
  <c r="C2" i="3"/>
  <c r="B2" i="3"/>
  <c r="F87" i="54"/>
  <c r="E87" i="54"/>
  <c r="D87" i="54"/>
  <c r="C87" i="54"/>
  <c r="B87" i="54"/>
  <c r="F85" i="54"/>
  <c r="E85" i="54"/>
  <c r="D85" i="54"/>
  <c r="C85" i="54"/>
  <c r="B85" i="54"/>
  <c r="F84" i="54"/>
  <c r="E84" i="54"/>
  <c r="D84" i="54"/>
  <c r="C84" i="54"/>
  <c r="B84" i="54"/>
  <c r="F83" i="54"/>
  <c r="E83" i="54"/>
  <c r="D83" i="54"/>
  <c r="C83" i="54"/>
  <c r="B83" i="54"/>
  <c r="F82" i="54"/>
  <c r="E82" i="54"/>
  <c r="D82" i="54"/>
  <c r="C82" i="54"/>
  <c r="B82" i="54"/>
  <c r="F81" i="54"/>
  <c r="E81" i="54"/>
  <c r="D81" i="54"/>
  <c r="C81" i="54"/>
  <c r="B81" i="54"/>
  <c r="F80" i="54"/>
  <c r="E80" i="54"/>
  <c r="D80" i="54"/>
  <c r="C80" i="54"/>
  <c r="B80" i="54"/>
  <c r="F79" i="54"/>
  <c r="E79" i="54"/>
  <c r="D79" i="54"/>
  <c r="C79" i="54"/>
  <c r="B79" i="54"/>
  <c r="F78" i="54"/>
  <c r="E78" i="54"/>
  <c r="D78" i="54"/>
  <c r="C78" i="54"/>
  <c r="B78" i="54"/>
  <c r="F77" i="54"/>
  <c r="E77" i="54"/>
  <c r="D77" i="54"/>
  <c r="C77" i="54"/>
  <c r="B77" i="54"/>
  <c r="F76" i="54"/>
  <c r="E76" i="54"/>
  <c r="D76" i="54"/>
  <c r="C76" i="54"/>
  <c r="B76" i="54"/>
  <c r="F72" i="54"/>
  <c r="E72" i="54"/>
  <c r="D72" i="54"/>
  <c r="C72" i="54"/>
  <c r="B72" i="54"/>
  <c r="F71" i="54"/>
  <c r="E71" i="54"/>
  <c r="D71" i="54"/>
  <c r="C71" i="54"/>
  <c r="B71" i="54"/>
  <c r="F70" i="54"/>
  <c r="E70" i="54"/>
  <c r="D70" i="54"/>
  <c r="C70" i="54"/>
  <c r="B70" i="54"/>
  <c r="F69" i="54"/>
  <c r="E69" i="54"/>
  <c r="D69" i="54"/>
  <c r="C69" i="54"/>
  <c r="B69" i="54"/>
  <c r="F68" i="54"/>
  <c r="E68" i="54"/>
  <c r="D68" i="54"/>
  <c r="C68" i="54"/>
  <c r="B68" i="54"/>
  <c r="F67" i="54"/>
  <c r="E67" i="54"/>
  <c r="D67" i="54"/>
  <c r="C67" i="54"/>
  <c r="B67" i="54"/>
  <c r="F66" i="54"/>
  <c r="H23" i="20" s="1"/>
  <c r="E66" i="54"/>
  <c r="G23" i="20" s="1"/>
  <c r="D66" i="54"/>
  <c r="F23" i="20" s="1"/>
  <c r="C66" i="54"/>
  <c r="B66" i="54"/>
  <c r="F65" i="54"/>
  <c r="H22" i="20" s="1"/>
  <c r="E65" i="54"/>
  <c r="G22" i="20" s="1"/>
  <c r="D65" i="54"/>
  <c r="F22" i="20" s="1"/>
  <c r="C65" i="54"/>
  <c r="B65" i="54"/>
  <c r="F64" i="54"/>
  <c r="E64" i="54"/>
  <c r="G21" i="20" s="1"/>
  <c r="D64" i="54"/>
  <c r="F21" i="20" s="1"/>
  <c r="C64" i="54"/>
  <c r="B64" i="54"/>
  <c r="F61" i="54"/>
  <c r="H20" i="20" s="1"/>
  <c r="E61" i="54"/>
  <c r="G20" i="20" s="1"/>
  <c r="D61" i="54"/>
  <c r="F20" i="20" s="1"/>
  <c r="C61" i="54"/>
  <c r="B61" i="54"/>
  <c r="F60" i="54"/>
  <c r="H19" i="20" s="1"/>
  <c r="E60" i="54"/>
  <c r="G19" i="20" s="1"/>
  <c r="D60" i="54"/>
  <c r="F19" i="20" s="1"/>
  <c r="C60" i="54"/>
  <c r="B60" i="54"/>
  <c r="F59" i="54"/>
  <c r="E59" i="54"/>
  <c r="D59" i="54"/>
  <c r="C59" i="54"/>
  <c r="B59" i="54"/>
  <c r="F58" i="54"/>
  <c r="E58" i="54"/>
  <c r="D58" i="54"/>
  <c r="C58" i="54"/>
  <c r="B58" i="54"/>
  <c r="F57" i="54"/>
  <c r="E57" i="54"/>
  <c r="D57" i="54"/>
  <c r="C57" i="54"/>
  <c r="B57" i="54"/>
  <c r="F56" i="54"/>
  <c r="E56" i="54"/>
  <c r="D56" i="54"/>
  <c r="C56" i="54"/>
  <c r="B56" i="54"/>
  <c r="F55" i="54"/>
  <c r="E55" i="54"/>
  <c r="D55" i="54"/>
  <c r="C55" i="54"/>
  <c r="B55" i="54"/>
  <c r="F54" i="54"/>
  <c r="E54" i="54"/>
  <c r="D54" i="54"/>
  <c r="C54" i="54"/>
  <c r="B54" i="54"/>
  <c r="F53" i="54"/>
  <c r="E53" i="54"/>
  <c r="D53" i="54"/>
  <c r="C53" i="54"/>
  <c r="B53" i="54"/>
  <c r="F52" i="54"/>
  <c r="E52" i="54"/>
  <c r="D52" i="54"/>
  <c r="C52" i="54"/>
  <c r="B52" i="54"/>
  <c r="F51" i="54"/>
  <c r="E51" i="54"/>
  <c r="D51" i="54"/>
  <c r="C51" i="54"/>
  <c r="B51" i="54"/>
  <c r="F50" i="54"/>
  <c r="E50" i="54"/>
  <c r="D50" i="54"/>
  <c r="C50" i="54"/>
  <c r="B50" i="54"/>
  <c r="F49" i="54"/>
  <c r="E49" i="54"/>
  <c r="D49" i="54"/>
  <c r="C49" i="54"/>
  <c r="B49" i="54"/>
  <c r="F48" i="54"/>
  <c r="E48" i="54"/>
  <c r="D48" i="54"/>
  <c r="C48" i="54"/>
  <c r="B48" i="54"/>
  <c r="F47" i="54"/>
  <c r="E47" i="54"/>
  <c r="G18" i="20" s="1"/>
  <c r="D47" i="54"/>
  <c r="F18" i="20" s="1"/>
  <c r="C47" i="54"/>
  <c r="B47" i="54"/>
  <c r="F43" i="54"/>
  <c r="E43" i="54"/>
  <c r="D43" i="54"/>
  <c r="C43" i="54"/>
  <c r="B43" i="54"/>
  <c r="F42" i="54"/>
  <c r="E42" i="54"/>
  <c r="D42" i="54"/>
  <c r="C42" i="54"/>
  <c r="B42" i="54"/>
  <c r="F41" i="54"/>
  <c r="E41" i="54"/>
  <c r="D41" i="54"/>
  <c r="C41" i="54"/>
  <c r="B41" i="54"/>
  <c r="F40" i="54"/>
  <c r="E40" i="54"/>
  <c r="D40" i="54"/>
  <c r="C40" i="54"/>
  <c r="B40" i="54"/>
  <c r="F39" i="54"/>
  <c r="E39" i="54"/>
  <c r="D39" i="54"/>
  <c r="C39" i="54"/>
  <c r="B39" i="54"/>
  <c r="F38" i="54"/>
  <c r="E38" i="54"/>
  <c r="D38" i="54"/>
  <c r="C38" i="54"/>
  <c r="B38" i="54"/>
  <c r="F37" i="54"/>
  <c r="E37" i="54"/>
  <c r="D37" i="54"/>
  <c r="C37" i="54"/>
  <c r="B37" i="54"/>
  <c r="F36" i="54"/>
  <c r="E36" i="54"/>
  <c r="D36" i="54"/>
  <c r="C36" i="54"/>
  <c r="B36" i="54"/>
  <c r="F35" i="54"/>
  <c r="E35" i="54"/>
  <c r="D35" i="54"/>
  <c r="C35" i="54"/>
  <c r="B35" i="54"/>
  <c r="F34" i="54"/>
  <c r="E34" i="54"/>
  <c r="D34" i="54"/>
  <c r="C34" i="54"/>
  <c r="B34" i="54"/>
  <c r="F33" i="54"/>
  <c r="E33" i="54"/>
  <c r="D33" i="54"/>
  <c r="C33" i="54"/>
  <c r="B33" i="54"/>
  <c r="F32" i="54"/>
  <c r="E32" i="54"/>
  <c r="D32" i="54"/>
  <c r="C32" i="54"/>
  <c r="B32" i="54"/>
  <c r="F31" i="54"/>
  <c r="E31" i="54"/>
  <c r="D31" i="54"/>
  <c r="C31" i="54"/>
  <c r="B31" i="54"/>
  <c r="F30" i="54"/>
  <c r="E30" i="54"/>
  <c r="D30" i="54"/>
  <c r="C30" i="54"/>
  <c r="B30" i="54"/>
  <c r="F29" i="54"/>
  <c r="E29" i="54"/>
  <c r="D29" i="54"/>
  <c r="C29" i="54"/>
  <c r="B29" i="54"/>
  <c r="F28" i="54"/>
  <c r="E28" i="54"/>
  <c r="D28" i="54"/>
  <c r="C28" i="54"/>
  <c r="B28" i="54"/>
  <c r="F27" i="54"/>
  <c r="E27" i="54"/>
  <c r="D27" i="54"/>
  <c r="C27" i="54"/>
  <c r="B27" i="54"/>
  <c r="F26" i="54"/>
  <c r="E26" i="54"/>
  <c r="D26" i="54"/>
  <c r="C26" i="54"/>
  <c r="B26" i="54"/>
  <c r="F25" i="54"/>
  <c r="E25" i="54"/>
  <c r="D25" i="54"/>
  <c r="C25" i="54"/>
  <c r="B25" i="54"/>
  <c r="F24" i="54"/>
  <c r="E24" i="54"/>
  <c r="D24" i="54"/>
  <c r="C24" i="54"/>
  <c r="B24" i="54"/>
  <c r="F21" i="54"/>
  <c r="E21" i="54"/>
  <c r="D21" i="54"/>
  <c r="C21" i="54"/>
  <c r="B21" i="54"/>
  <c r="F20" i="54"/>
  <c r="E20" i="54"/>
  <c r="D20" i="54"/>
  <c r="C20" i="54"/>
  <c r="B20" i="54"/>
  <c r="F19" i="54"/>
  <c r="E19" i="54"/>
  <c r="D19" i="54"/>
  <c r="C19" i="54"/>
  <c r="B19" i="54"/>
  <c r="F18" i="54"/>
  <c r="E18" i="54"/>
  <c r="D18" i="54"/>
  <c r="C18" i="54"/>
  <c r="B18" i="54"/>
  <c r="F17" i="54"/>
  <c r="E17" i="54"/>
  <c r="D17" i="54"/>
  <c r="C17" i="54"/>
  <c r="B17" i="54"/>
  <c r="F16" i="54"/>
  <c r="E16" i="54"/>
  <c r="D16" i="54"/>
  <c r="C16" i="54"/>
  <c r="B16" i="54"/>
  <c r="F15" i="54"/>
  <c r="E15" i="54"/>
  <c r="D15" i="54"/>
  <c r="C15" i="54"/>
  <c r="B15" i="54"/>
  <c r="F14" i="54"/>
  <c r="E14" i="54"/>
  <c r="D14" i="54"/>
  <c r="C14" i="54"/>
  <c r="B14" i="54"/>
  <c r="F13" i="54"/>
  <c r="E13" i="54"/>
  <c r="D13" i="54"/>
  <c r="C13" i="54"/>
  <c r="B13" i="54"/>
  <c r="F12" i="54"/>
  <c r="E12" i="54"/>
  <c r="D12" i="54"/>
  <c r="C12" i="54"/>
  <c r="B12" i="54"/>
  <c r="F11" i="54"/>
  <c r="E11" i="54"/>
  <c r="D11" i="54"/>
  <c r="C11" i="54"/>
  <c r="B11" i="54"/>
  <c r="F10" i="54"/>
  <c r="E10" i="54"/>
  <c r="D10" i="54"/>
  <c r="C10" i="54"/>
  <c r="B10" i="54"/>
  <c r="F9" i="54"/>
  <c r="E9" i="54"/>
  <c r="D9" i="54"/>
  <c r="C9" i="54"/>
  <c r="B9" i="54"/>
  <c r="F8" i="54"/>
  <c r="E8" i="54"/>
  <c r="D8" i="54"/>
  <c r="C8" i="54"/>
  <c r="B8" i="54"/>
  <c r="F7" i="54"/>
  <c r="E7" i="54"/>
  <c r="D7" i="54"/>
  <c r="C7" i="54"/>
  <c r="B7" i="54"/>
  <c r="F6" i="54"/>
  <c r="E6" i="54"/>
  <c r="D6" i="54"/>
  <c r="C6" i="54"/>
  <c r="B6" i="54"/>
  <c r="F5" i="54"/>
  <c r="E5" i="54"/>
  <c r="D5" i="54"/>
  <c r="C5" i="54"/>
  <c r="B5" i="54"/>
  <c r="F4" i="54"/>
  <c r="E4" i="54"/>
  <c r="D4" i="54"/>
  <c r="C4" i="54"/>
  <c r="B4" i="54"/>
  <c r="L2" i="54"/>
  <c r="K2" i="54"/>
  <c r="J2" i="54"/>
  <c r="I2" i="54"/>
  <c r="H2" i="54"/>
  <c r="F2" i="54"/>
  <c r="E2" i="54"/>
  <c r="D2" i="54"/>
  <c r="C2" i="54"/>
  <c r="B2" i="54"/>
  <c r="F87" i="2"/>
  <c r="J15" i="36" s="1"/>
  <c r="E87" i="2"/>
  <c r="H15" i="36" s="1"/>
  <c r="D87" i="2"/>
  <c r="F15" i="36" s="1"/>
  <c r="C87" i="2"/>
  <c r="D15" i="36" s="1"/>
  <c r="B87" i="2"/>
  <c r="B15" i="36" s="1"/>
  <c r="F85" i="2"/>
  <c r="J13" i="36" s="1"/>
  <c r="E85" i="2"/>
  <c r="H13" i="36" s="1"/>
  <c r="D85" i="2"/>
  <c r="F13" i="36" s="1"/>
  <c r="C85" i="2"/>
  <c r="D13" i="36" s="1"/>
  <c r="B85" i="2"/>
  <c r="B13" i="36" s="1"/>
  <c r="F84" i="2"/>
  <c r="J12" i="36" s="1"/>
  <c r="E84" i="2"/>
  <c r="H12" i="36" s="1"/>
  <c r="D84" i="2"/>
  <c r="F12" i="36" s="1"/>
  <c r="C84" i="2"/>
  <c r="D12" i="36" s="1"/>
  <c r="B84" i="2"/>
  <c r="B12" i="36" s="1"/>
  <c r="F83" i="2"/>
  <c r="J11" i="36" s="1"/>
  <c r="E83" i="2"/>
  <c r="H11" i="36" s="1"/>
  <c r="D83" i="2"/>
  <c r="F11" i="36" s="1"/>
  <c r="C83" i="2"/>
  <c r="D11" i="36" s="1"/>
  <c r="B83" i="2"/>
  <c r="B11" i="36" s="1"/>
  <c r="F82" i="2"/>
  <c r="J10" i="36" s="1"/>
  <c r="E82" i="2"/>
  <c r="H10" i="36" s="1"/>
  <c r="D82" i="2"/>
  <c r="F10" i="36" s="1"/>
  <c r="C82" i="2"/>
  <c r="D10" i="36" s="1"/>
  <c r="B82" i="2"/>
  <c r="B10" i="36" s="1"/>
  <c r="F81" i="2"/>
  <c r="J9" i="36" s="1"/>
  <c r="E81" i="2"/>
  <c r="H9" i="36" s="1"/>
  <c r="D81" i="2"/>
  <c r="F9" i="36" s="1"/>
  <c r="C81" i="2"/>
  <c r="D9" i="36" s="1"/>
  <c r="B81" i="2"/>
  <c r="B9" i="36" s="1"/>
  <c r="F80" i="2"/>
  <c r="E80" i="2"/>
  <c r="H8" i="36" s="1"/>
  <c r="D80" i="2"/>
  <c r="F8" i="36" s="1"/>
  <c r="C80" i="2"/>
  <c r="D8" i="36" s="1"/>
  <c r="B80" i="2"/>
  <c r="B8" i="36" s="1"/>
  <c r="F79" i="2"/>
  <c r="E79" i="2"/>
  <c r="D79" i="2"/>
  <c r="C79" i="2"/>
  <c r="B79" i="2"/>
  <c r="F78" i="2"/>
  <c r="J6" i="36" s="1"/>
  <c r="E78" i="2"/>
  <c r="H6" i="36" s="1"/>
  <c r="D78" i="2"/>
  <c r="F6" i="36" s="1"/>
  <c r="C78" i="2"/>
  <c r="D6" i="36" s="1"/>
  <c r="B78" i="2"/>
  <c r="B6" i="36" s="1"/>
  <c r="F77" i="2"/>
  <c r="J5" i="36" s="1"/>
  <c r="E77" i="2"/>
  <c r="H5" i="36" s="1"/>
  <c r="D77" i="2"/>
  <c r="F5" i="36" s="1"/>
  <c r="C77" i="2"/>
  <c r="D5" i="36" s="1"/>
  <c r="B77" i="2"/>
  <c r="B5" i="36" s="1"/>
  <c r="F76" i="2"/>
  <c r="J4" i="36" s="1"/>
  <c r="E76" i="2"/>
  <c r="H4" i="36" s="1"/>
  <c r="D76" i="2"/>
  <c r="F4" i="36" s="1"/>
  <c r="C76" i="2"/>
  <c r="D4" i="36" s="1"/>
  <c r="B76" i="2"/>
  <c r="B4" i="36" s="1"/>
  <c r="F72" i="2"/>
  <c r="E72" i="2"/>
  <c r="D72" i="2"/>
  <c r="C72" i="2"/>
  <c r="B72" i="2"/>
  <c r="F71" i="2"/>
  <c r="E71" i="2"/>
  <c r="D71" i="2"/>
  <c r="C71" i="2"/>
  <c r="B71" i="2"/>
  <c r="F70" i="2"/>
  <c r="E70" i="2"/>
  <c r="D70" i="2"/>
  <c r="C70" i="2"/>
  <c r="B70" i="2"/>
  <c r="F69" i="2"/>
  <c r="E69" i="2"/>
  <c r="D69" i="2"/>
  <c r="C69" i="2"/>
  <c r="B69" i="2"/>
  <c r="F68" i="2"/>
  <c r="E68" i="2"/>
  <c r="D68" i="2"/>
  <c r="C68" i="2"/>
  <c r="B68" i="2"/>
  <c r="F67" i="2"/>
  <c r="E67" i="2"/>
  <c r="D67" i="2"/>
  <c r="C67" i="2"/>
  <c r="B67" i="2"/>
  <c r="F66" i="2"/>
  <c r="E66" i="2"/>
  <c r="D66" i="2"/>
  <c r="C66" i="2"/>
  <c r="B66" i="2"/>
  <c r="F65" i="2"/>
  <c r="E65" i="2"/>
  <c r="D65" i="2"/>
  <c r="C65" i="2"/>
  <c r="B65" i="2"/>
  <c r="F64" i="2"/>
  <c r="E64" i="2"/>
  <c r="D64" i="2"/>
  <c r="C64" i="2"/>
  <c r="B64" i="2"/>
  <c r="F61" i="2"/>
  <c r="F20" i="13" s="1"/>
  <c r="J11" i="20" s="1"/>
  <c r="E61" i="2"/>
  <c r="D61" i="2"/>
  <c r="C61" i="2"/>
  <c r="B61" i="2"/>
  <c r="F60" i="2"/>
  <c r="E60" i="2"/>
  <c r="D60" i="2"/>
  <c r="C60" i="2"/>
  <c r="B60" i="2"/>
  <c r="F59" i="2"/>
  <c r="E59" i="2"/>
  <c r="D59" i="2"/>
  <c r="C59" i="2"/>
  <c r="B59" i="2"/>
  <c r="F58" i="2"/>
  <c r="E58" i="2"/>
  <c r="D58" i="2"/>
  <c r="C58" i="2"/>
  <c r="B58" i="2"/>
  <c r="F57" i="2"/>
  <c r="E57" i="2"/>
  <c r="D57" i="2"/>
  <c r="C57" i="2"/>
  <c r="B57" i="2"/>
  <c r="F56" i="2"/>
  <c r="E56" i="2"/>
  <c r="D56" i="2"/>
  <c r="C56" i="2"/>
  <c r="B56" i="2"/>
  <c r="F55" i="2"/>
  <c r="E55" i="2"/>
  <c r="D55" i="2"/>
  <c r="C55" i="2"/>
  <c r="B55" i="2"/>
  <c r="F54" i="2"/>
  <c r="E54" i="2"/>
  <c r="D54" i="2"/>
  <c r="C54" i="2"/>
  <c r="B54" i="2"/>
  <c r="F53" i="2"/>
  <c r="E53" i="2"/>
  <c r="D53" i="2"/>
  <c r="C53" i="2"/>
  <c r="B53" i="2"/>
  <c r="F52" i="2"/>
  <c r="E52" i="2"/>
  <c r="D52" i="2"/>
  <c r="C52" i="2"/>
  <c r="B52" i="2"/>
  <c r="F51" i="2"/>
  <c r="E51" i="2"/>
  <c r="D51" i="2"/>
  <c r="C51" i="2"/>
  <c r="B51" i="2"/>
  <c r="F50" i="2"/>
  <c r="E50" i="2"/>
  <c r="D50" i="2"/>
  <c r="C50" i="2"/>
  <c r="B50" i="2"/>
  <c r="F49" i="2"/>
  <c r="E49" i="2"/>
  <c r="D49" i="2"/>
  <c r="C49" i="2"/>
  <c r="B49" i="2"/>
  <c r="F48" i="2"/>
  <c r="E48" i="2"/>
  <c r="D48" i="2"/>
  <c r="C48" i="2"/>
  <c r="B48" i="2"/>
  <c r="F47" i="2"/>
  <c r="E47" i="2"/>
  <c r="D47" i="2"/>
  <c r="C47" i="2"/>
  <c r="B47" i="2"/>
  <c r="F43" i="2"/>
  <c r="E43" i="2"/>
  <c r="D43" i="2"/>
  <c r="C43" i="2"/>
  <c r="B43" i="2"/>
  <c r="F42" i="2"/>
  <c r="E42" i="2"/>
  <c r="D42" i="2"/>
  <c r="C42" i="2"/>
  <c r="B42" i="2"/>
  <c r="F41" i="2"/>
  <c r="E41" i="2"/>
  <c r="D41" i="2"/>
  <c r="C41" i="2"/>
  <c r="B41" i="2"/>
  <c r="F40" i="2"/>
  <c r="E40" i="2"/>
  <c r="D40" i="2"/>
  <c r="C40" i="2"/>
  <c r="B40" i="2"/>
  <c r="F39" i="2"/>
  <c r="E39" i="2"/>
  <c r="D39" i="2"/>
  <c r="C39" i="2"/>
  <c r="B39" i="2"/>
  <c r="F38" i="2"/>
  <c r="E38" i="2"/>
  <c r="D38" i="2"/>
  <c r="C38" i="2"/>
  <c r="B38" i="2"/>
  <c r="F37" i="2"/>
  <c r="E37" i="2"/>
  <c r="D37" i="2"/>
  <c r="C37" i="2"/>
  <c r="B37" i="2"/>
  <c r="F36" i="2"/>
  <c r="E36" i="2"/>
  <c r="D36" i="2"/>
  <c r="C36" i="2"/>
  <c r="B36" i="2"/>
  <c r="F35" i="2"/>
  <c r="E35" i="2"/>
  <c r="D35" i="2"/>
  <c r="C35" i="2"/>
  <c r="B35" i="2"/>
  <c r="F34" i="2"/>
  <c r="E34" i="2"/>
  <c r="D34" i="2"/>
  <c r="C34" i="2"/>
  <c r="B34" i="2"/>
  <c r="F33" i="2"/>
  <c r="E33" i="2"/>
  <c r="D33" i="2"/>
  <c r="C33" i="2"/>
  <c r="B33" i="2"/>
  <c r="F32" i="2"/>
  <c r="E32" i="2"/>
  <c r="D32" i="2"/>
  <c r="C32" i="2"/>
  <c r="B32" i="2"/>
  <c r="F31" i="2"/>
  <c r="E31" i="2"/>
  <c r="D31" i="2"/>
  <c r="C31" i="2"/>
  <c r="B31" i="2"/>
  <c r="F30" i="2"/>
  <c r="E30" i="2"/>
  <c r="D30" i="2"/>
  <c r="C30" i="2"/>
  <c r="B30" i="2"/>
  <c r="F29" i="2"/>
  <c r="E29" i="2"/>
  <c r="D29" i="2"/>
  <c r="C29" i="2"/>
  <c r="B29" i="2"/>
  <c r="F28" i="2"/>
  <c r="E28" i="2"/>
  <c r="D28" i="2"/>
  <c r="C28" i="2"/>
  <c r="B28" i="2"/>
  <c r="F27" i="2"/>
  <c r="E27" i="2"/>
  <c r="D27" i="2"/>
  <c r="C27" i="2"/>
  <c r="B27" i="2"/>
  <c r="F26" i="2"/>
  <c r="E26" i="2"/>
  <c r="D26" i="2"/>
  <c r="C26" i="2"/>
  <c r="B26" i="2"/>
  <c r="F25" i="2"/>
  <c r="E25" i="2"/>
  <c r="D25" i="2"/>
  <c r="C25" i="2"/>
  <c r="B25" i="2"/>
  <c r="F24" i="2"/>
  <c r="E24" i="2"/>
  <c r="D24" i="2"/>
  <c r="C24" i="2"/>
  <c r="B24" i="2"/>
  <c r="F21" i="2"/>
  <c r="E21" i="2"/>
  <c r="D21" i="2"/>
  <c r="C21" i="2"/>
  <c r="B21" i="2"/>
  <c r="F20" i="2"/>
  <c r="E20" i="2"/>
  <c r="D20" i="2"/>
  <c r="C20" i="2"/>
  <c r="B20" i="2"/>
  <c r="F19" i="2"/>
  <c r="E19" i="2"/>
  <c r="D19" i="2"/>
  <c r="C19" i="2"/>
  <c r="B19" i="2"/>
  <c r="F18" i="2"/>
  <c r="E18" i="2"/>
  <c r="D18" i="2"/>
  <c r="C18" i="2"/>
  <c r="B18" i="2"/>
  <c r="F17" i="2"/>
  <c r="E17" i="2"/>
  <c r="D17" i="2"/>
  <c r="C17" i="2"/>
  <c r="B17" i="2"/>
  <c r="F16" i="2"/>
  <c r="E16" i="2"/>
  <c r="D16" i="2"/>
  <c r="C16" i="2"/>
  <c r="B16" i="2"/>
  <c r="F15" i="2"/>
  <c r="E15" i="2"/>
  <c r="D15" i="2"/>
  <c r="C15" i="2"/>
  <c r="B15" i="2"/>
  <c r="F14" i="2"/>
  <c r="E14" i="2"/>
  <c r="D14" i="2"/>
  <c r="C14" i="2"/>
  <c r="B14" i="2"/>
  <c r="F13" i="2"/>
  <c r="E13" i="2"/>
  <c r="D13" i="2"/>
  <c r="C13" i="2"/>
  <c r="B13" i="2"/>
  <c r="F12" i="2"/>
  <c r="E12" i="2"/>
  <c r="D12" i="2"/>
  <c r="C12" i="2"/>
  <c r="B12" i="2"/>
  <c r="F11" i="2"/>
  <c r="E11" i="2"/>
  <c r="D11" i="2"/>
  <c r="C11" i="2"/>
  <c r="B11" i="2"/>
  <c r="F10" i="2"/>
  <c r="E10" i="2"/>
  <c r="D10" i="2"/>
  <c r="C10" i="2"/>
  <c r="B10" i="2"/>
  <c r="F9" i="2"/>
  <c r="E9" i="2"/>
  <c r="D9" i="2"/>
  <c r="C9" i="2"/>
  <c r="B9" i="2"/>
  <c r="F8" i="2"/>
  <c r="E8" i="2"/>
  <c r="D8" i="2"/>
  <c r="C8" i="2"/>
  <c r="B8" i="2"/>
  <c r="F7" i="2"/>
  <c r="E7" i="2"/>
  <c r="D7" i="2"/>
  <c r="C7" i="2"/>
  <c r="B7" i="2"/>
  <c r="F6" i="2"/>
  <c r="E6" i="2"/>
  <c r="D6" i="2"/>
  <c r="C6" i="2"/>
  <c r="B6" i="2"/>
  <c r="F5" i="2"/>
  <c r="E5" i="2"/>
  <c r="D5" i="2"/>
  <c r="C5" i="2"/>
  <c r="B5" i="2"/>
  <c r="F4" i="2"/>
  <c r="E4" i="2"/>
  <c r="D4" i="2"/>
  <c r="C4" i="2"/>
  <c r="B4" i="2"/>
  <c r="L2" i="2"/>
  <c r="K2" i="2"/>
  <c r="J2" i="2"/>
  <c r="I2" i="2"/>
  <c r="H2" i="2"/>
  <c r="F2" i="2"/>
  <c r="E2" i="2"/>
  <c r="D2" i="2"/>
  <c r="C2" i="2"/>
  <c r="B2" i="2"/>
  <c r="J2" i="93"/>
  <c r="G40" i="93"/>
  <c r="E39" i="93"/>
  <c r="H53" i="93"/>
  <c r="J35" i="93"/>
  <c r="H9" i="93"/>
  <c r="I44" i="93"/>
  <c r="K32" i="93"/>
  <c r="K22" i="93"/>
  <c r="K27" i="93"/>
  <c r="J19" i="93"/>
  <c r="G61" i="93"/>
  <c r="C40" i="93"/>
  <c r="K67" i="93"/>
  <c r="H39" i="93"/>
  <c r="F26" i="93"/>
  <c r="D63" i="93"/>
  <c r="J33" i="93"/>
  <c r="F65" i="93"/>
  <c r="F16" i="93"/>
  <c r="F28" i="93"/>
  <c r="F21" i="93"/>
  <c r="G38" i="93"/>
  <c r="K7" i="93"/>
  <c r="H30" i="93"/>
  <c r="D4" i="93"/>
  <c r="D20" i="93"/>
  <c r="I11" i="93"/>
  <c r="H8" i="93"/>
  <c r="E47" i="93"/>
  <c r="E17" i="93"/>
  <c r="K65" i="93"/>
  <c r="I49" i="93"/>
  <c r="G12" i="93"/>
  <c r="G59" i="93"/>
  <c r="I30" i="93"/>
  <c r="C36" i="93"/>
  <c r="I16" i="93"/>
  <c r="H60" i="93"/>
  <c r="C6" i="93"/>
  <c r="E13" i="93"/>
  <c r="F40" i="93"/>
  <c r="H35" i="93"/>
  <c r="H71" i="93"/>
  <c r="G44" i="93"/>
  <c r="J54" i="93"/>
  <c r="D66" i="93"/>
  <c r="H55" i="93"/>
  <c r="J32" i="93"/>
  <c r="C43" i="93"/>
  <c r="F39" i="93"/>
  <c r="H52" i="93"/>
  <c r="F54" i="93"/>
  <c r="F6" i="93"/>
  <c r="I34" i="93"/>
  <c r="D55" i="93"/>
  <c r="I37" i="93"/>
  <c r="J52" i="93"/>
  <c r="H46" i="93"/>
  <c r="I3" i="93"/>
  <c r="D32" i="93"/>
  <c r="J15" i="93"/>
  <c r="C13" i="93"/>
  <c r="G32" i="93"/>
  <c r="E43" i="93"/>
  <c r="F68" i="93"/>
  <c r="D16" i="93"/>
  <c r="H57" i="93"/>
  <c r="J10" i="93"/>
  <c r="D12" i="93"/>
  <c r="K29" i="93"/>
  <c r="D73" i="93"/>
  <c r="J6" i="93"/>
  <c r="F24" i="93"/>
  <c r="E22" i="93"/>
  <c r="E16" i="93"/>
  <c r="J27" i="93"/>
  <c r="G60" i="93"/>
  <c r="H21" i="93"/>
  <c r="K21" i="93"/>
  <c r="E8" i="93"/>
  <c r="K9" i="93"/>
  <c r="C30" i="93"/>
  <c r="E21" i="93"/>
  <c r="E9" i="93"/>
  <c r="E50" i="93"/>
  <c r="G18" i="93"/>
  <c r="G47" i="93"/>
  <c r="E33" i="93"/>
  <c r="F29" i="93"/>
  <c r="E26" i="93"/>
  <c r="F57" i="93"/>
  <c r="F2" i="93"/>
  <c r="G14" i="93"/>
  <c r="C16" i="93"/>
  <c r="J20" i="93"/>
  <c r="G73" i="93"/>
  <c r="H23" i="93"/>
  <c r="I47" i="93"/>
  <c r="E67" i="93"/>
  <c r="D38" i="93"/>
  <c r="I64" i="93"/>
  <c r="H13" i="93"/>
  <c r="I28" i="93"/>
  <c r="J47" i="93"/>
  <c r="C33" i="93"/>
  <c r="F59" i="93"/>
  <c r="C3" i="93"/>
  <c r="K18" i="93"/>
  <c r="E32" i="93"/>
  <c r="J44" i="93"/>
  <c r="K45" i="93"/>
  <c r="J62" i="93"/>
  <c r="D30" i="93"/>
  <c r="I12" i="93"/>
  <c r="K44" i="93"/>
  <c r="G29" i="93"/>
  <c r="F51" i="93"/>
  <c r="H11" i="93"/>
  <c r="G2" i="93"/>
  <c r="G21" i="93"/>
  <c r="J11" i="93"/>
  <c r="E61" i="93"/>
  <c r="C62" i="93"/>
  <c r="I13" i="93"/>
  <c r="D21" i="93"/>
  <c r="D50" i="93"/>
  <c r="J22" i="93"/>
  <c r="C11" i="93"/>
  <c r="J50" i="93"/>
  <c r="J24" i="93"/>
  <c r="H42" i="93"/>
  <c r="H31" i="93"/>
  <c r="J12" i="93"/>
  <c r="I71" i="93"/>
  <c r="E27" i="93"/>
  <c r="C8" i="93"/>
  <c r="D42" i="93"/>
  <c r="G65" i="93"/>
  <c r="D65" i="93"/>
  <c r="I46" i="93"/>
  <c r="G33" i="93"/>
  <c r="G17" i="93"/>
  <c r="F14" i="93"/>
  <c r="G46" i="93"/>
  <c r="J66" i="93"/>
  <c r="C51" i="93"/>
  <c r="C37" i="93"/>
  <c r="K37" i="93"/>
  <c r="D29" i="93"/>
  <c r="F48" i="93"/>
  <c r="G35" i="93"/>
  <c r="J39" i="93"/>
  <c r="D36" i="93"/>
  <c r="H66" i="93"/>
  <c r="E4" i="93"/>
  <c r="H37" i="93"/>
  <c r="C10" i="93"/>
  <c r="D26" i="93"/>
  <c r="J17" i="93"/>
  <c r="D49" i="93"/>
  <c r="G43" i="93"/>
  <c r="K62" i="93"/>
  <c r="I9" i="93"/>
  <c r="G41" i="93"/>
  <c r="J28" i="93"/>
  <c r="H41" i="93"/>
  <c r="H70" i="93"/>
  <c r="C73" i="93"/>
  <c r="G31" i="93"/>
  <c r="H10" i="93"/>
  <c r="D72" i="93"/>
  <c r="K43" i="93"/>
  <c r="F38" i="93"/>
  <c r="C58" i="93"/>
  <c r="D64" i="93"/>
  <c r="C66" i="93"/>
  <c r="D24" i="93"/>
  <c r="C57" i="93"/>
  <c r="F13" i="93"/>
  <c r="H24" i="93"/>
  <c r="E40" i="93"/>
  <c r="F73" i="93"/>
  <c r="G64" i="93"/>
  <c r="K30" i="93"/>
  <c r="H64" i="93"/>
  <c r="C7" i="93"/>
  <c r="I59" i="93"/>
  <c r="C21" i="93"/>
  <c r="J49" i="93"/>
  <c r="K39" i="93"/>
  <c r="I36" i="93"/>
  <c r="E73" i="93"/>
  <c r="J18" i="93"/>
  <c r="E35" i="93"/>
  <c r="E59" i="93"/>
  <c r="D13" i="93"/>
  <c r="C17" i="93"/>
  <c r="G45" i="93"/>
  <c r="E72" i="93"/>
  <c r="F60" i="93"/>
  <c r="K41" i="93"/>
  <c r="K66" i="93"/>
  <c r="K13" i="93"/>
  <c r="K51" i="93"/>
  <c r="K20" i="93"/>
  <c r="F72" i="93"/>
  <c r="F66" i="93"/>
  <c r="I57" i="93"/>
  <c r="I66" i="93"/>
  <c r="D28" i="93"/>
  <c r="K19" i="93"/>
  <c r="I45" i="93"/>
  <c r="F44" i="93"/>
  <c r="J64" i="93"/>
  <c r="I58" i="93"/>
  <c r="E12" i="93"/>
  <c r="I8" i="93"/>
  <c r="E45" i="93"/>
  <c r="D39" i="93"/>
  <c r="E7" i="93"/>
  <c r="I14" i="93"/>
  <c r="K40" i="93"/>
  <c r="J72" i="93"/>
  <c r="K15" i="93"/>
  <c r="D7" i="93"/>
  <c r="G22" i="93"/>
  <c r="G39" i="93"/>
  <c r="E57" i="93"/>
  <c r="I15" i="93"/>
  <c r="G15" i="93"/>
  <c r="J59" i="93"/>
  <c r="J29" i="93"/>
  <c r="J45" i="93"/>
  <c r="C72" i="93"/>
  <c r="G54" i="93"/>
  <c r="C59" i="93"/>
  <c r="K33" i="93"/>
  <c r="K16" i="93"/>
  <c r="C50" i="93"/>
  <c r="K23" i="93"/>
  <c r="K4" i="93"/>
  <c r="J46" i="93"/>
  <c r="E68" i="93"/>
  <c r="G16" i="93"/>
  <c r="I65" i="93"/>
  <c r="H14" i="93"/>
  <c r="H38" i="93"/>
  <c r="D18" i="93"/>
  <c r="D11" i="93"/>
  <c r="H62" i="93"/>
  <c r="G63" i="93"/>
  <c r="D45" i="93"/>
  <c r="I4" i="93"/>
  <c r="I38" i="93"/>
  <c r="C56" i="93"/>
  <c r="H65" i="93"/>
  <c r="D10" i="93"/>
  <c r="D22" i="93"/>
  <c r="K73" i="93"/>
  <c r="K61" i="93"/>
  <c r="F10" i="93"/>
  <c r="I2" i="93"/>
  <c r="E62" i="93"/>
  <c r="K48" i="93"/>
  <c r="D41" i="93"/>
  <c r="I35" i="93"/>
  <c r="C61" i="93"/>
  <c r="F55" i="93"/>
  <c r="D2" i="93"/>
  <c r="J65" i="93"/>
  <c r="D62" i="93"/>
  <c r="I52" i="93"/>
  <c r="C2" i="93"/>
  <c r="F43" i="93"/>
  <c r="C18" i="93"/>
  <c r="E55" i="93"/>
  <c r="G70" i="93"/>
  <c r="F30" i="93"/>
  <c r="G53" i="93"/>
  <c r="F22" i="93"/>
  <c r="E28" i="93"/>
  <c r="C22" i="93"/>
  <c r="G57" i="93"/>
  <c r="J40" i="93"/>
  <c r="C26" i="93"/>
  <c r="I61" i="93"/>
  <c r="F42" i="93"/>
  <c r="J16" i="93"/>
  <c r="D54" i="93"/>
  <c r="J58" i="93"/>
  <c r="D6" i="93"/>
  <c r="C49" i="93"/>
  <c r="F5" i="93"/>
  <c r="C54" i="93"/>
  <c r="F45" i="93"/>
  <c r="H28" i="93"/>
  <c r="I29" i="93"/>
  <c r="F4" i="93"/>
  <c r="F11" i="93"/>
  <c r="D51" i="93"/>
  <c r="J51" i="93"/>
  <c r="F53" i="93"/>
  <c r="G9" i="93"/>
  <c r="K38" i="93"/>
  <c r="G28" i="93"/>
  <c r="J14" i="93"/>
  <c r="I31" i="93"/>
  <c r="C29" i="93"/>
  <c r="C23" i="93"/>
  <c r="H40" i="93"/>
  <c r="E6" i="93"/>
  <c r="I67" i="93"/>
  <c r="F8" i="93"/>
  <c r="F34" i="93"/>
  <c r="C9" i="93"/>
  <c r="H72" i="93"/>
  <c r="G8" i="93"/>
  <c r="C63" i="93"/>
  <c r="F36" i="93"/>
  <c r="I62" i="93"/>
  <c r="D33" i="93"/>
  <c r="H67" i="93"/>
  <c r="E37" i="93"/>
  <c r="F15" i="93"/>
  <c r="F12" i="93"/>
  <c r="F17" i="93"/>
  <c r="H59" i="93"/>
  <c r="K31" i="93"/>
  <c r="F52" i="93"/>
  <c r="I48" i="93"/>
  <c r="K35" i="93"/>
  <c r="G10" i="93"/>
  <c r="E10" i="93"/>
  <c r="E42" i="93"/>
  <c r="G23" i="93"/>
  <c r="F61" i="93"/>
  <c r="H54" i="93"/>
  <c r="I68" i="93"/>
  <c r="I6" i="93"/>
  <c r="H18" i="93"/>
  <c r="D59" i="93"/>
  <c r="I32" i="93"/>
  <c r="K42" i="93"/>
  <c r="G56" i="93"/>
  <c r="K52" i="93"/>
  <c r="K53" i="93"/>
  <c r="H22" i="93"/>
  <c r="H68" i="93"/>
  <c r="F62" i="93"/>
  <c r="D43" i="93"/>
  <c r="C27" i="93"/>
  <c r="H26" i="93"/>
  <c r="J34" i="93"/>
  <c r="G48" i="93"/>
  <c r="G49" i="93"/>
  <c r="E54" i="93"/>
  <c r="E65" i="93"/>
  <c r="C28" i="93"/>
  <c r="J5" i="93"/>
  <c r="J8" i="93"/>
  <c r="K46" i="93"/>
  <c r="C60" i="93"/>
  <c r="G27" i="93"/>
  <c r="G36" i="93"/>
  <c r="H50" i="93"/>
  <c r="J63" i="93"/>
  <c r="I63" i="93"/>
  <c r="E31" i="93"/>
  <c r="D5" i="93"/>
  <c r="F19" i="93"/>
  <c r="K5" i="93"/>
  <c r="C52" i="93"/>
  <c r="J3" i="93"/>
  <c r="K8" i="93"/>
  <c r="I21" i="93"/>
  <c r="H15" i="93"/>
  <c r="E52" i="93"/>
  <c r="E34" i="93"/>
  <c r="C35" i="93"/>
  <c r="F49" i="93"/>
  <c r="F37" i="93"/>
  <c r="C14" i="93"/>
  <c r="D23" i="93"/>
  <c r="J71" i="93"/>
  <c r="H12" i="93"/>
  <c r="D58" i="93"/>
  <c r="H5" i="93"/>
  <c r="J31" i="93"/>
  <c r="H19" i="93"/>
  <c r="E23" i="93"/>
  <c r="D3" i="93"/>
  <c r="I17" i="93"/>
  <c r="K36" i="93"/>
  <c r="H73" i="93"/>
  <c r="G13" i="93"/>
  <c r="J55" i="93"/>
  <c r="F20" i="93"/>
  <c r="G42" i="93"/>
  <c r="K14" i="93"/>
  <c r="I19" i="93"/>
  <c r="C68" i="93"/>
  <c r="K72" i="93"/>
  <c r="E38" i="93"/>
  <c r="J38" i="93"/>
  <c r="E71" i="93"/>
  <c r="C48" i="93"/>
  <c r="I60" i="93"/>
  <c r="K17" i="93"/>
  <c r="F71" i="93"/>
  <c r="C67" i="93"/>
  <c r="E56" i="93"/>
  <c r="J9" i="93"/>
  <c r="J73" i="93"/>
  <c r="H3" i="93"/>
  <c r="I50" i="93"/>
  <c r="F50" i="93"/>
  <c r="K54" i="93"/>
  <c r="H27" i="93"/>
  <c r="F9" i="93"/>
  <c r="I23" i="93"/>
  <c r="D35" i="93"/>
  <c r="G11" i="93"/>
  <c r="G72" i="93"/>
  <c r="H4" i="93"/>
  <c r="J4" i="93"/>
  <c r="H58" i="93"/>
  <c r="K24" i="93"/>
  <c r="J23" i="93"/>
  <c r="J37" i="93"/>
  <c r="K71" i="93"/>
  <c r="C20" i="93"/>
  <c r="K12" i="93"/>
  <c r="D68" i="93"/>
  <c r="D52" i="93"/>
  <c r="I41" i="93"/>
  <c r="G4" i="93"/>
  <c r="C24" i="93"/>
  <c r="I72" i="93"/>
  <c r="C44" i="93"/>
  <c r="I43" i="93"/>
  <c r="K55" i="93"/>
  <c r="H48" i="93"/>
  <c r="K6" i="93"/>
  <c r="F47" i="93"/>
  <c r="D57" i="93"/>
  <c r="C47" i="93"/>
  <c r="G68" i="93"/>
  <c r="G24" i="93"/>
  <c r="C70" i="93"/>
  <c r="H6" i="93"/>
  <c r="F56" i="93"/>
  <c r="K50" i="93"/>
  <c r="G50" i="93"/>
  <c r="I51" i="93"/>
  <c r="K11" i="93"/>
  <c r="G30" i="93"/>
  <c r="C15" i="93"/>
  <c r="G3" i="93"/>
  <c r="I20" i="93"/>
  <c r="G5" i="93"/>
  <c r="E63" i="93"/>
  <c r="K70" i="93"/>
  <c r="F31" i="93"/>
  <c r="D46" i="93"/>
  <c r="C55" i="93"/>
  <c r="F46" i="93"/>
  <c r="E15" i="93"/>
  <c r="I18" i="93"/>
  <c r="J61" i="93"/>
  <c r="H49" i="93"/>
  <c r="I53" i="93"/>
  <c r="E20" i="93"/>
  <c r="I27" i="93"/>
  <c r="I39" i="93"/>
  <c r="E51" i="93"/>
  <c r="K68" i="93"/>
  <c r="E58" i="93"/>
  <c r="C34" i="93"/>
  <c r="G71" i="93"/>
  <c r="I26" i="93"/>
  <c r="I10" i="93"/>
  <c r="H20" i="93"/>
  <c r="F70" i="93"/>
  <c r="E29" i="93"/>
  <c r="E2" i="93"/>
  <c r="J36" i="93"/>
  <c r="E64" i="93"/>
  <c r="D48" i="93"/>
  <c r="C12" i="93"/>
  <c r="K57" i="93"/>
  <c r="I5" i="93"/>
  <c r="D31" i="93"/>
  <c r="G26" i="93"/>
  <c r="F58" i="93"/>
  <c r="C42" i="93"/>
  <c r="J30" i="93"/>
  <c r="H29" i="93"/>
  <c r="H47" i="93"/>
  <c r="K63" i="93"/>
  <c r="D47" i="93"/>
  <c r="F33" i="93"/>
  <c r="J53" i="93"/>
  <c r="E60" i="93"/>
  <c r="C4" i="93"/>
  <c r="E24" i="93"/>
  <c r="J57" i="93"/>
  <c r="J26" i="93"/>
  <c r="H33" i="93"/>
  <c r="F41" i="93"/>
  <c r="D37" i="93"/>
  <c r="H36" i="93"/>
  <c r="I24" i="93"/>
  <c r="C65" i="93"/>
  <c r="E36" i="93"/>
  <c r="D53" i="93"/>
  <c r="D9" i="93"/>
  <c r="D60" i="93"/>
  <c r="E70" i="93"/>
  <c r="C46" i="93"/>
  <c r="G62" i="93"/>
  <c r="D15" i="93"/>
  <c r="G51" i="93"/>
  <c r="C19" i="93"/>
  <c r="F32" i="93"/>
  <c r="J41" i="93"/>
  <c r="G20" i="93"/>
  <c r="I40" i="93"/>
  <c r="F18" i="93"/>
  <c r="D56" i="93"/>
  <c r="D40" i="93"/>
  <c r="G6" i="93"/>
  <c r="C41" i="93"/>
  <c r="E46" i="93"/>
  <c r="K34" i="93"/>
  <c r="K26" i="93"/>
  <c r="E3" i="93"/>
  <c r="H61" i="93"/>
  <c r="J67" i="93"/>
  <c r="G66" i="93"/>
  <c r="J68" i="93"/>
  <c r="K2" i="93"/>
  <c r="F64" i="93"/>
  <c r="K60" i="93"/>
  <c r="K58" i="93"/>
  <c r="I42" i="93"/>
  <c r="H44" i="93"/>
  <c r="E30" i="93"/>
  <c r="F27" i="93"/>
  <c r="I33" i="93"/>
  <c r="G55" i="93"/>
  <c r="J43" i="93"/>
  <c r="G52" i="93"/>
  <c r="J7" i="93"/>
  <c r="F35" i="93"/>
  <c r="E5" i="93"/>
  <c r="K10" i="93"/>
  <c r="H32" i="93"/>
  <c r="D67" i="93"/>
  <c r="G19" i="93"/>
  <c r="E11" i="93"/>
  <c r="E18" i="93"/>
  <c r="D61" i="93"/>
  <c r="C38" i="93"/>
  <c r="E53" i="93"/>
  <c r="I55" i="93"/>
  <c r="I56" i="93"/>
  <c r="E44" i="93"/>
  <c r="D70" i="93"/>
  <c r="F67" i="93"/>
  <c r="J48" i="93"/>
  <c r="I54" i="93"/>
  <c r="C71" i="93"/>
  <c r="F7" i="93"/>
  <c r="K3" i="93"/>
  <c r="D44" i="93"/>
  <c r="F63" i="93"/>
  <c r="H7" i="93"/>
  <c r="H2" i="93"/>
  <c r="D71" i="93"/>
  <c r="H45" i="93"/>
  <c r="E41" i="93"/>
  <c r="C39" i="93"/>
  <c r="K49" i="93"/>
  <c r="I7" i="93"/>
  <c r="J60" i="93"/>
  <c r="J21" i="93"/>
  <c r="G67" i="93"/>
  <c r="K56" i="93"/>
  <c r="C5" i="93"/>
  <c r="D14" i="93"/>
  <c r="H63" i="93"/>
  <c r="D19" i="93"/>
  <c r="G7" i="93"/>
  <c r="J42" i="93"/>
  <c r="C45" i="93"/>
  <c r="H51" i="93"/>
  <c r="I70" i="93"/>
  <c r="D17" i="93"/>
  <c r="D27" i="93"/>
  <c r="E66" i="93"/>
  <c r="D34" i="93"/>
  <c r="C53" i="93"/>
  <c r="K28" i="93"/>
  <c r="I22" i="93"/>
  <c r="D8" i="93"/>
  <c r="F23" i="93"/>
  <c r="I73" i="93"/>
  <c r="G58" i="93"/>
  <c r="H16" i="93"/>
  <c r="E49" i="93"/>
  <c r="F3" i="93"/>
  <c r="C64" i="93"/>
  <c r="K64" i="93"/>
  <c r="E48" i="93"/>
  <c r="E19" i="93"/>
  <c r="K59" i="93"/>
  <c r="C31" i="93"/>
  <c r="G34" i="93"/>
  <c r="J70" i="93"/>
  <c r="H17" i="93"/>
  <c r="H43" i="93"/>
  <c r="J56" i="93"/>
  <c r="H56" i="93"/>
  <c r="K47" i="93"/>
  <c r="J13" i="93"/>
  <c r="G37" i="93"/>
  <c r="C32" i="93"/>
  <c r="H34" i="93"/>
  <c r="E14" i="93"/>
  <c r="G2" i="17" l="1"/>
  <c r="O64" i="92"/>
  <c r="P64" i="92" s="1"/>
  <c r="L2" i="36"/>
  <c r="U17" i="17"/>
  <c r="B68" i="92"/>
  <c r="B95" i="2"/>
  <c r="G31" i="41"/>
  <c r="V9" i="92"/>
  <c r="B96" i="54"/>
  <c r="V9" i="18"/>
  <c r="AF9" i="18" s="1"/>
  <c r="G19" i="2"/>
  <c r="G6" i="56"/>
  <c r="E11" i="17"/>
  <c r="G9" i="70"/>
  <c r="B95" i="54"/>
  <c r="C49" i="3"/>
  <c r="C48" i="3" s="1"/>
  <c r="G12" i="3"/>
  <c r="D49" i="3"/>
  <c r="D48" i="3" s="1"/>
  <c r="E49" i="55"/>
  <c r="E48" i="55" s="1"/>
  <c r="I5" i="17"/>
  <c r="M6" i="17"/>
  <c r="Q7" i="17"/>
  <c r="E3" i="17"/>
  <c r="I4" i="17"/>
  <c r="M5" i="17"/>
  <c r="U7" i="17"/>
  <c r="E9" i="17"/>
  <c r="I16" i="17"/>
  <c r="G30" i="41"/>
  <c r="Q2" i="24"/>
  <c r="E3" i="3"/>
  <c r="E9" i="19" s="1"/>
  <c r="V7" i="92"/>
  <c r="AF7" i="92" s="1"/>
  <c r="Z12" i="92"/>
  <c r="G27" i="2"/>
  <c r="AB5" i="92"/>
  <c r="Q11" i="17"/>
  <c r="U12" i="17"/>
  <c r="Q17" i="17"/>
  <c r="C3" i="55"/>
  <c r="D39" i="4"/>
  <c r="D11" i="37" s="1"/>
  <c r="B64" i="92"/>
  <c r="AB8" i="92"/>
  <c r="AI8" i="92" s="1"/>
  <c r="V27" i="92"/>
  <c r="AF27" i="92" s="1"/>
  <c r="G65" i="3"/>
  <c r="E6" i="17"/>
  <c r="E20" i="4"/>
  <c r="E27" i="4" s="1"/>
  <c r="V8" i="18"/>
  <c r="AF8" i="18" s="1"/>
  <c r="F95" i="54"/>
  <c r="D3" i="3"/>
  <c r="G47" i="3"/>
  <c r="G63" i="3"/>
  <c r="G8" i="4"/>
  <c r="E3" i="55"/>
  <c r="G41" i="4"/>
  <c r="G2" i="32"/>
  <c r="G47" i="2"/>
  <c r="G13" i="3"/>
  <c r="D12" i="4"/>
  <c r="D5" i="37" s="1"/>
  <c r="O34" i="18"/>
  <c r="P34" i="18" s="1"/>
  <c r="G25" i="2"/>
  <c r="G37" i="2"/>
  <c r="C96" i="2"/>
  <c r="C98" i="2" s="1"/>
  <c r="G66" i="2"/>
  <c r="G18" i="55"/>
  <c r="G30" i="55"/>
  <c r="H61" i="92"/>
  <c r="H62" i="92" s="1"/>
  <c r="Z9" i="92"/>
  <c r="Z13" i="92"/>
  <c r="C95" i="54"/>
  <c r="G42" i="2"/>
  <c r="G57" i="2"/>
  <c r="G83" i="54"/>
  <c r="F69" i="3"/>
  <c r="C7" i="56"/>
  <c r="E12" i="56"/>
  <c r="G16" i="56"/>
  <c r="G76" i="54"/>
  <c r="G52" i="3"/>
  <c r="G33" i="4"/>
  <c r="U6" i="92"/>
  <c r="U63" i="92" s="1"/>
  <c r="G21" i="2"/>
  <c r="G64" i="2"/>
  <c r="C96" i="54"/>
  <c r="C98" i="54" s="1"/>
  <c r="G28" i="3"/>
  <c r="F48" i="3"/>
  <c r="F48" i="55"/>
  <c r="G25" i="4"/>
  <c r="V7" i="18"/>
  <c r="G6" i="2"/>
  <c r="O67" i="92"/>
  <c r="P67" i="92" s="1"/>
  <c r="G32" i="2"/>
  <c r="G59" i="2"/>
  <c r="G52" i="2"/>
  <c r="G34" i="54"/>
  <c r="G49" i="54"/>
  <c r="G61" i="54"/>
  <c r="C34" i="56"/>
  <c r="M16" i="17"/>
  <c r="G71" i="2"/>
  <c r="F20" i="4"/>
  <c r="E26" i="4"/>
  <c r="E8" i="37" s="1"/>
  <c r="E20" i="56"/>
  <c r="V5" i="18"/>
  <c r="AF5" i="18" s="1"/>
  <c r="G29" i="56"/>
  <c r="Q10" i="17"/>
  <c r="M15" i="17"/>
  <c r="G7" i="2"/>
  <c r="J4" i="94"/>
  <c r="Q3" i="17"/>
  <c r="U4" i="17"/>
  <c r="I7" i="17"/>
  <c r="U10" i="17"/>
  <c r="I13" i="17"/>
  <c r="U16" i="17"/>
  <c r="G12" i="2"/>
  <c r="V11" i="92"/>
  <c r="AF11" i="92" s="1"/>
  <c r="G17" i="2"/>
  <c r="G61" i="3"/>
  <c r="J5" i="94"/>
  <c r="I12" i="17"/>
  <c r="X5" i="18"/>
  <c r="AG5" i="18" s="1"/>
  <c r="X11" i="92"/>
  <c r="G31" i="2"/>
  <c r="G43" i="2"/>
  <c r="G58" i="2"/>
  <c r="G72" i="2"/>
  <c r="D22" i="54"/>
  <c r="G28" i="54"/>
  <c r="G40" i="54"/>
  <c r="F96" i="54"/>
  <c r="G55" i="54"/>
  <c r="B8" i="3"/>
  <c r="G40" i="3"/>
  <c r="G64" i="3"/>
  <c r="C78" i="4"/>
  <c r="F12" i="56"/>
  <c r="G15" i="2"/>
  <c r="G24" i="2"/>
  <c r="G51" i="2"/>
  <c r="G65" i="2"/>
  <c r="G19" i="54"/>
  <c r="G60" i="54"/>
  <c r="G19" i="3"/>
  <c r="G31" i="3"/>
  <c r="G17" i="4"/>
  <c r="F9" i="70"/>
  <c r="F52" i="70" s="1"/>
  <c r="E16" i="17"/>
  <c r="V11" i="18"/>
  <c r="AF11" i="18" s="1"/>
  <c r="E68" i="92"/>
  <c r="F68" i="92" s="1"/>
  <c r="G17" i="56"/>
  <c r="AB6" i="92"/>
  <c r="G11" i="2"/>
  <c r="G20" i="2"/>
  <c r="G36" i="2"/>
  <c r="G6" i="3"/>
  <c r="G44" i="3"/>
  <c r="G59" i="3"/>
  <c r="G43" i="55"/>
  <c r="B69" i="55"/>
  <c r="E12" i="4"/>
  <c r="E5" i="37" s="1"/>
  <c r="C12" i="56"/>
  <c r="G18" i="56"/>
  <c r="G36" i="56"/>
  <c r="M8" i="17"/>
  <c r="Q9" i="17"/>
  <c r="Z6" i="18"/>
  <c r="X6" i="92"/>
  <c r="V12" i="92"/>
  <c r="O2" i="36"/>
  <c r="F8" i="3"/>
  <c r="G4" i="2"/>
  <c r="G18" i="2"/>
  <c r="G29" i="2"/>
  <c r="G41" i="2"/>
  <c r="G56" i="2"/>
  <c r="G70" i="2"/>
  <c r="B3" i="3"/>
  <c r="G57" i="3"/>
  <c r="G62" i="3"/>
  <c r="G28" i="55"/>
  <c r="F12" i="4"/>
  <c r="F5" i="37" s="1"/>
  <c r="D96" i="54"/>
  <c r="G9" i="2"/>
  <c r="F28" i="19" s="1"/>
  <c r="G16" i="2"/>
  <c r="G34" i="2"/>
  <c r="G49" i="2"/>
  <c r="G61" i="2"/>
  <c r="G10" i="3"/>
  <c r="G24" i="3"/>
  <c r="G55" i="3"/>
  <c r="G54" i="55"/>
  <c r="G66" i="55"/>
  <c r="G19" i="4"/>
  <c r="G31" i="56"/>
  <c r="G43" i="56"/>
  <c r="C7" i="94"/>
  <c r="R2" i="36"/>
  <c r="E96" i="54"/>
  <c r="G14" i="2"/>
  <c r="G39" i="2"/>
  <c r="G54" i="2"/>
  <c r="G68" i="2"/>
  <c r="F3" i="3"/>
  <c r="F9" i="19" s="1"/>
  <c r="G29" i="3"/>
  <c r="G44" i="55"/>
  <c r="E9" i="70"/>
  <c r="E52" i="70" s="1"/>
  <c r="E54" i="70" s="1"/>
  <c r="E66" i="70" s="1"/>
  <c r="Q15" i="17"/>
  <c r="V6" i="18"/>
  <c r="AF6" i="18" s="1"/>
  <c r="X7" i="18"/>
  <c r="C86" i="54"/>
  <c r="C88" i="54" s="1"/>
  <c r="G85" i="54"/>
  <c r="G15" i="3"/>
  <c r="G53" i="3"/>
  <c r="G6" i="55"/>
  <c r="D78" i="4"/>
  <c r="G25" i="56"/>
  <c r="G38" i="56"/>
  <c r="J3" i="94"/>
  <c r="G8" i="41"/>
  <c r="U8" i="17"/>
  <c r="M13" i="17"/>
  <c r="U15" i="17"/>
  <c r="O37" i="18"/>
  <c r="P37" i="18" s="1"/>
  <c r="V12" i="18"/>
  <c r="AF12" i="18" s="1"/>
  <c r="V8" i="92"/>
  <c r="AF8" i="92" s="1"/>
  <c r="AB11" i="92"/>
  <c r="AI11" i="92" s="1"/>
  <c r="E2" i="24"/>
  <c r="E8" i="55"/>
  <c r="C49" i="55"/>
  <c r="C48" i="55" s="1"/>
  <c r="Q6" i="17"/>
  <c r="I11" i="17"/>
  <c r="Q13" i="17"/>
  <c r="L39" i="18"/>
  <c r="E66" i="92"/>
  <c r="F66" i="92" s="1"/>
  <c r="G5" i="2"/>
  <c r="G30" i="2"/>
  <c r="G13" i="54"/>
  <c r="G20" i="3"/>
  <c r="G51" i="3"/>
  <c r="B3" i="55"/>
  <c r="F8" i="55"/>
  <c r="G50" i="55"/>
  <c r="G62" i="55"/>
  <c r="G43" i="4"/>
  <c r="F78" i="4"/>
  <c r="Z12" i="18"/>
  <c r="AH12" i="18" s="1"/>
  <c r="N28" i="92"/>
  <c r="B96" i="2"/>
  <c r="G10" i="2"/>
  <c r="G35" i="2"/>
  <c r="G50" i="2"/>
  <c r="G79" i="2"/>
  <c r="G32" i="54"/>
  <c r="G59" i="54"/>
  <c r="G11" i="3"/>
  <c r="G34" i="55"/>
  <c r="B26" i="4"/>
  <c r="B8" i="37" s="1"/>
  <c r="B39" i="4"/>
  <c r="B11" i="37" s="1"/>
  <c r="B78" i="4"/>
  <c r="I5" i="13"/>
  <c r="M11" i="17"/>
  <c r="Q12" i="17"/>
  <c r="U13" i="17"/>
  <c r="Z9" i="18"/>
  <c r="AH9" i="18" s="1"/>
  <c r="P2" i="24"/>
  <c r="G28" i="2"/>
  <c r="G40" i="2"/>
  <c r="G55" i="2"/>
  <c r="G69" i="2"/>
  <c r="G66" i="54"/>
  <c r="G81" i="54"/>
  <c r="G22" i="3"/>
  <c r="D3" i="55"/>
  <c r="G27" i="55"/>
  <c r="G47" i="55"/>
  <c r="G10" i="4"/>
  <c r="C20" i="56"/>
  <c r="E39" i="56"/>
  <c r="G8" i="2"/>
  <c r="G33" i="2"/>
  <c r="G48" i="2"/>
  <c r="G60" i="2"/>
  <c r="G4" i="54"/>
  <c r="G16" i="54"/>
  <c r="G30" i="54"/>
  <c r="G42" i="54"/>
  <c r="G57" i="54"/>
  <c r="G71" i="54"/>
  <c r="G87" i="54"/>
  <c r="D8" i="3"/>
  <c r="G30" i="3"/>
  <c r="G54" i="3"/>
  <c r="G7" i="55"/>
  <c r="G20" i="55"/>
  <c r="G32" i="55"/>
  <c r="G2" i="37"/>
  <c r="D26" i="4"/>
  <c r="D8" i="37" s="1"/>
  <c r="G24" i="4"/>
  <c r="G32" i="56"/>
  <c r="F39" i="56"/>
  <c r="E36" i="18"/>
  <c r="F36" i="18" s="1"/>
  <c r="V13" i="92"/>
  <c r="AF13" i="92" s="1"/>
  <c r="D95" i="54"/>
  <c r="E22" i="2"/>
  <c r="H30" i="22" s="1"/>
  <c r="G13" i="2"/>
  <c r="G26" i="2"/>
  <c r="G38" i="2"/>
  <c r="G53" i="2"/>
  <c r="G67" i="2"/>
  <c r="G9" i="54"/>
  <c r="G21" i="54"/>
  <c r="G50" i="54"/>
  <c r="B73" i="54"/>
  <c r="C8" i="3"/>
  <c r="G21" i="3"/>
  <c r="B48" i="3"/>
  <c r="G38" i="55"/>
  <c r="G58" i="55"/>
  <c r="I8" i="17"/>
  <c r="I15" i="17"/>
  <c r="AB27" i="92"/>
  <c r="AI27" i="92" s="1"/>
  <c r="E95" i="54"/>
  <c r="E44" i="54"/>
  <c r="G68" i="54"/>
  <c r="D86" i="54"/>
  <c r="D88" i="54" s="1"/>
  <c r="G7" i="3"/>
  <c r="G34" i="3"/>
  <c r="G43" i="3"/>
  <c r="B69" i="3"/>
  <c r="E36" i="55"/>
  <c r="E39" i="55" s="1"/>
  <c r="E41" i="55" s="1"/>
  <c r="E46" i="55" s="1"/>
  <c r="E68" i="55" s="1"/>
  <c r="G10" i="55"/>
  <c r="G22" i="55"/>
  <c r="G53" i="55"/>
  <c r="G65" i="55"/>
  <c r="G18" i="4"/>
  <c r="G5" i="56"/>
  <c r="G19" i="56"/>
  <c r="G22" i="56"/>
  <c r="E7" i="17"/>
  <c r="E12" i="17"/>
  <c r="O5" i="92"/>
  <c r="O28" i="92" s="1"/>
  <c r="L63" i="92"/>
  <c r="F2" i="24"/>
  <c r="R2" i="24"/>
  <c r="G11" i="54"/>
  <c r="F44" i="54"/>
  <c r="D73" i="54"/>
  <c r="E86" i="54"/>
  <c r="E88" i="54" s="1"/>
  <c r="G32" i="3"/>
  <c r="C69" i="3"/>
  <c r="F3" i="55"/>
  <c r="F36" i="55" s="1"/>
  <c r="F39" i="55" s="1"/>
  <c r="F41" i="55" s="1"/>
  <c r="F46" i="55" s="1"/>
  <c r="F68" i="55" s="1"/>
  <c r="G15" i="55"/>
  <c r="G60" i="55"/>
  <c r="G11" i="4"/>
  <c r="G16" i="4"/>
  <c r="G21" i="4"/>
  <c r="G38" i="4"/>
  <c r="E78" i="4"/>
  <c r="G11" i="56"/>
  <c r="F20" i="56"/>
  <c r="I10" i="17"/>
  <c r="E14" i="17"/>
  <c r="G2" i="24"/>
  <c r="S2" i="24"/>
  <c r="G25" i="54"/>
  <c r="G37" i="54"/>
  <c r="C62" i="54"/>
  <c r="F86" i="54"/>
  <c r="F88" i="54" s="1"/>
  <c r="G5" i="3"/>
  <c r="D69" i="3"/>
  <c r="G51" i="55"/>
  <c r="G63" i="55"/>
  <c r="G9" i="4"/>
  <c r="F34" i="4"/>
  <c r="D34" i="4"/>
  <c r="F39" i="4"/>
  <c r="F11" i="37" s="1"/>
  <c r="F7" i="56"/>
  <c r="F13" i="56" s="1"/>
  <c r="AE6" i="18"/>
  <c r="H2" i="24"/>
  <c r="T2" i="24"/>
  <c r="G76" i="2"/>
  <c r="G78" i="2"/>
  <c r="G80" i="2"/>
  <c r="G82" i="2"/>
  <c r="G84" i="2"/>
  <c r="C22" i="54"/>
  <c r="G17" i="3"/>
  <c r="E69" i="3"/>
  <c r="G32" i="4"/>
  <c r="G9" i="56"/>
  <c r="G23" i="56"/>
  <c r="C39" i="56"/>
  <c r="E38" i="18"/>
  <c r="F38" i="18" s="1"/>
  <c r="U5" i="92"/>
  <c r="AE5" i="92" s="1"/>
  <c r="I2" i="24"/>
  <c r="U2" i="24"/>
  <c r="D62" i="54"/>
  <c r="G14" i="3"/>
  <c r="G38" i="3"/>
  <c r="G61" i="55"/>
  <c r="F7" i="4"/>
  <c r="G6" i="4"/>
  <c r="B20" i="4"/>
  <c r="B49" i="4"/>
  <c r="M9" i="17"/>
  <c r="J2" i="24"/>
  <c r="V2" i="24"/>
  <c r="C73" i="54"/>
  <c r="G69" i="54"/>
  <c r="G79" i="54"/>
  <c r="G56" i="55"/>
  <c r="G4" i="4"/>
  <c r="B12" i="4"/>
  <c r="C20" i="4"/>
  <c r="C7" i="37" s="1"/>
  <c r="G22" i="4"/>
  <c r="G30" i="4"/>
  <c r="F49" i="4"/>
  <c r="B34" i="56"/>
  <c r="F2" i="32"/>
  <c r="K2" i="24"/>
  <c r="W2" i="24"/>
  <c r="G48" i="54"/>
  <c r="G16" i="55"/>
  <c r="G59" i="55"/>
  <c r="C69" i="55"/>
  <c r="C12" i="4"/>
  <c r="C5" i="37" s="1"/>
  <c r="G5" i="37" s="1"/>
  <c r="H5" i="37" s="1"/>
  <c r="D20" i="4"/>
  <c r="D7" i="37" s="1"/>
  <c r="G10" i="56"/>
  <c r="M3" i="17"/>
  <c r="M17" i="17"/>
  <c r="B62" i="92"/>
  <c r="C62" i="92" s="1"/>
  <c r="Z8" i="92"/>
  <c r="AH8" i="92" s="1"/>
  <c r="E65" i="92"/>
  <c r="F65" i="92" s="1"/>
  <c r="O68" i="92"/>
  <c r="P68" i="92" s="1"/>
  <c r="L2" i="24"/>
  <c r="X2" i="24"/>
  <c r="E96" i="2"/>
  <c r="G5" i="54"/>
  <c r="G17" i="54"/>
  <c r="G26" i="54"/>
  <c r="G38" i="54"/>
  <c r="G53" i="54"/>
  <c r="G77" i="54"/>
  <c r="B8" i="55"/>
  <c r="G21" i="55"/>
  <c r="G33" i="55"/>
  <c r="D26" i="56"/>
  <c r="Z7" i="92"/>
  <c r="AH7" i="92" s="1"/>
  <c r="A2" i="24"/>
  <c r="M2" i="24"/>
  <c r="Y2" i="24"/>
  <c r="G10" i="54"/>
  <c r="G31" i="54"/>
  <c r="G43" i="54"/>
  <c r="G72" i="54"/>
  <c r="G82" i="54"/>
  <c r="G50" i="3"/>
  <c r="C8" i="55"/>
  <c r="C36" i="55" s="1"/>
  <c r="C39" i="55" s="1"/>
  <c r="C41" i="55" s="1"/>
  <c r="G14" i="55"/>
  <c r="G26" i="55"/>
  <c r="G40" i="55"/>
  <c r="G57" i="55"/>
  <c r="E69" i="55"/>
  <c r="G23" i="4"/>
  <c r="E7" i="56"/>
  <c r="E13" i="56" s="1"/>
  <c r="G8" i="56"/>
  <c r="F34" i="56"/>
  <c r="G41" i="56"/>
  <c r="Q14" i="17"/>
  <c r="L34" i="18"/>
  <c r="K42" i="18" s="1"/>
  <c r="U27" i="92"/>
  <c r="B2" i="24"/>
  <c r="N2" i="24"/>
  <c r="Z2" i="24"/>
  <c r="G77" i="2"/>
  <c r="G81" i="2"/>
  <c r="G83" i="2"/>
  <c r="G85" i="2"/>
  <c r="G15" i="54"/>
  <c r="G24" i="54"/>
  <c r="G36" i="54"/>
  <c r="G51" i="54"/>
  <c r="G65" i="54"/>
  <c r="G18" i="3"/>
  <c r="G25" i="3"/>
  <c r="G4" i="55"/>
  <c r="G19" i="55"/>
  <c r="G31" i="55"/>
  <c r="G52" i="55"/>
  <c r="G64" i="55"/>
  <c r="F69" i="55"/>
  <c r="G5" i="4"/>
  <c r="G15" i="4"/>
  <c r="C26" i="4"/>
  <c r="C8" i="37" s="1"/>
  <c r="G8" i="37" s="1"/>
  <c r="H8" i="37" s="1"/>
  <c r="F26" i="56"/>
  <c r="G33" i="56"/>
  <c r="D9" i="70"/>
  <c r="D52" i="70" s="1"/>
  <c r="D54" i="70" s="1"/>
  <c r="D66" i="70" s="1"/>
  <c r="AA2" i="17"/>
  <c r="J2" i="17" s="1"/>
  <c r="E34" i="18"/>
  <c r="F34" i="18" s="1"/>
  <c r="X27" i="92"/>
  <c r="C2" i="24"/>
  <c r="O2" i="24"/>
  <c r="AB2" i="24"/>
  <c r="G8" i="54"/>
  <c r="G20" i="54"/>
  <c r="C44" i="54"/>
  <c r="G29" i="54"/>
  <c r="G41" i="54"/>
  <c r="G56" i="54"/>
  <c r="G70" i="54"/>
  <c r="B86" i="54"/>
  <c r="B88" i="54" s="1"/>
  <c r="G88" i="54" s="1"/>
  <c r="G23" i="3"/>
  <c r="G12" i="55"/>
  <c r="G24" i="55"/>
  <c r="G55" i="55"/>
  <c r="J8" i="37"/>
  <c r="K8" i="37" s="1"/>
  <c r="F26" i="4"/>
  <c r="F8" i="37" s="1"/>
  <c r="D12" i="56"/>
  <c r="G24" i="56"/>
  <c r="J6" i="94"/>
  <c r="B36" i="18"/>
  <c r="C36" i="18" s="1"/>
  <c r="D2" i="24"/>
  <c r="C21" i="19"/>
  <c r="C28" i="19"/>
  <c r="B5" i="64"/>
  <c r="D16" i="18"/>
  <c r="C12" i="40"/>
  <c r="C14" i="40" s="1"/>
  <c r="P12" i="17"/>
  <c r="P15" i="17"/>
  <c r="P11" i="17"/>
  <c r="P17" i="17"/>
  <c r="C3" i="3"/>
  <c r="B7" i="37"/>
  <c r="B66" i="22"/>
  <c r="B13" i="22"/>
  <c r="B74" i="22"/>
  <c r="B21" i="22"/>
  <c r="B78" i="22"/>
  <c r="B25" i="22"/>
  <c r="B3" i="43"/>
  <c r="B85" i="22"/>
  <c r="B37" i="22"/>
  <c r="B87" i="22"/>
  <c r="B39" i="22"/>
  <c r="B43" i="22"/>
  <c r="B91" i="22"/>
  <c r="B49" i="22"/>
  <c r="B97" i="22"/>
  <c r="B99" i="22"/>
  <c r="B51" i="22"/>
  <c r="B101" i="22"/>
  <c r="B53" i="22"/>
  <c r="B103" i="22"/>
  <c r="B55" i="22"/>
  <c r="B44" i="2"/>
  <c r="B52" i="23"/>
  <c r="B13" i="23"/>
  <c r="B12" i="13"/>
  <c r="B4" i="20" s="1"/>
  <c r="B15" i="23"/>
  <c r="B54" i="23"/>
  <c r="B56" i="23"/>
  <c r="B17" i="23"/>
  <c r="B19" i="23"/>
  <c r="B58" i="23"/>
  <c r="B21" i="40"/>
  <c r="B60" i="23"/>
  <c r="B21" i="23"/>
  <c r="B62" i="23"/>
  <c r="B23" i="23"/>
  <c r="B64" i="23"/>
  <c r="B25" i="23"/>
  <c r="B27" i="23"/>
  <c r="B66" i="23"/>
  <c r="B20" i="13"/>
  <c r="B11" i="20" s="1"/>
  <c r="B69" i="23"/>
  <c r="B35" i="23"/>
  <c r="B16" i="13"/>
  <c r="B71" i="23"/>
  <c r="B37" i="23"/>
  <c r="B73" i="23"/>
  <c r="B39" i="23"/>
  <c r="B75" i="23"/>
  <c r="B41" i="23"/>
  <c r="B77" i="23"/>
  <c r="B43" i="23"/>
  <c r="L5" i="36"/>
  <c r="M5" i="36" s="1"/>
  <c r="B7" i="36"/>
  <c r="B21" i="13"/>
  <c r="L9" i="36"/>
  <c r="M9" i="36" s="1"/>
  <c r="L11" i="36"/>
  <c r="M11" i="36" s="1"/>
  <c r="L13" i="36"/>
  <c r="M13" i="36" s="1"/>
  <c r="R15" i="36"/>
  <c r="S15" i="36" s="1"/>
  <c r="H18" i="20"/>
  <c r="F62" i="54"/>
  <c r="D9" i="19"/>
  <c r="I9" i="19" s="1"/>
  <c r="E2" i="37"/>
  <c r="M2" i="37" s="1"/>
  <c r="E49" i="4"/>
  <c r="F4" i="37"/>
  <c r="J11" i="23"/>
  <c r="J33" i="23" s="1"/>
  <c r="J62" i="22"/>
  <c r="J10" i="22"/>
  <c r="J1" i="23"/>
  <c r="J49" i="23" s="1"/>
  <c r="F1" i="19"/>
  <c r="J1" i="22"/>
  <c r="J2" i="20"/>
  <c r="B72" i="22"/>
  <c r="B19" i="22"/>
  <c r="B80" i="22"/>
  <c r="B27" i="22"/>
  <c r="B93" i="22"/>
  <c r="B45" i="22"/>
  <c r="D66" i="22"/>
  <c r="D13" i="22"/>
  <c r="D68" i="22"/>
  <c r="D15" i="22"/>
  <c r="D70" i="22"/>
  <c r="C2" i="19"/>
  <c r="H2" i="19" s="1"/>
  <c r="D17" i="22"/>
  <c r="B16" i="40"/>
  <c r="C15" i="40"/>
  <c r="B3" i="64"/>
  <c r="B2" i="64"/>
  <c r="D72" i="22"/>
  <c r="D19" i="22"/>
  <c r="D74" i="22"/>
  <c r="D21" i="22"/>
  <c r="D76" i="22"/>
  <c r="D23" i="22"/>
  <c r="C3" i="19"/>
  <c r="H3" i="19" s="1"/>
  <c r="B20" i="40"/>
  <c r="C19" i="40"/>
  <c r="D25" i="22"/>
  <c r="D78" i="22"/>
  <c r="C3" i="43"/>
  <c r="D80" i="22"/>
  <c r="D27" i="22"/>
  <c r="D82" i="22"/>
  <c r="D29" i="22"/>
  <c r="D85" i="22"/>
  <c r="D37" i="22"/>
  <c r="D87" i="22"/>
  <c r="D39" i="22"/>
  <c r="D89" i="22"/>
  <c r="D41" i="22"/>
  <c r="D91" i="22"/>
  <c r="D43" i="22"/>
  <c r="D93" i="22"/>
  <c r="D45" i="22"/>
  <c r="D95" i="22"/>
  <c r="D47" i="22"/>
  <c r="D97" i="22"/>
  <c r="D49" i="22"/>
  <c r="D99" i="22"/>
  <c r="D51" i="22"/>
  <c r="D53" i="22"/>
  <c r="D101" i="22"/>
  <c r="D103" i="22"/>
  <c r="D55" i="22"/>
  <c r="C44" i="2"/>
  <c r="D52" i="23"/>
  <c r="D13" i="23"/>
  <c r="C12" i="13"/>
  <c r="D54" i="23"/>
  <c r="D15" i="23"/>
  <c r="D17" i="23"/>
  <c r="D56" i="23"/>
  <c r="C14" i="13"/>
  <c r="D58" i="23"/>
  <c r="D19" i="23"/>
  <c r="B22" i="40"/>
  <c r="C21" i="40"/>
  <c r="D60" i="23"/>
  <c r="D21" i="23"/>
  <c r="D62" i="23"/>
  <c r="D23" i="23"/>
  <c r="D64" i="23"/>
  <c r="D25" i="23"/>
  <c r="D66" i="23"/>
  <c r="D27" i="23"/>
  <c r="C20" i="13"/>
  <c r="D69" i="23"/>
  <c r="D35" i="23"/>
  <c r="C16" i="13"/>
  <c r="D71" i="23"/>
  <c r="D37" i="23"/>
  <c r="D73" i="23"/>
  <c r="D39" i="23"/>
  <c r="D75" i="23"/>
  <c r="D41" i="23"/>
  <c r="D77" i="23"/>
  <c r="D43" i="23"/>
  <c r="O5" i="36"/>
  <c r="P5" i="36" s="1"/>
  <c r="D7" i="36"/>
  <c r="C21" i="13"/>
  <c r="O9" i="36"/>
  <c r="P9" i="36" s="1"/>
  <c r="O11" i="36"/>
  <c r="P11" i="36" s="1"/>
  <c r="O13" i="36"/>
  <c r="P13" i="36" s="1"/>
  <c r="C95" i="2"/>
  <c r="C45" i="54"/>
  <c r="C10" i="57"/>
  <c r="D8" i="55"/>
  <c r="D36" i="55" s="1"/>
  <c r="D39" i="55" s="1"/>
  <c r="D41" i="55" s="1"/>
  <c r="B48" i="55"/>
  <c r="B12" i="56"/>
  <c r="B39" i="56"/>
  <c r="B40" i="56" s="1"/>
  <c r="G35" i="56"/>
  <c r="D11" i="94"/>
  <c r="O15" i="36"/>
  <c r="P15" i="36" s="1"/>
  <c r="B68" i="22"/>
  <c r="B15" i="22"/>
  <c r="B23" i="22"/>
  <c r="B76" i="22"/>
  <c r="B3" i="19"/>
  <c r="B19" i="40"/>
  <c r="B89" i="22"/>
  <c r="B41" i="22"/>
  <c r="F66" i="22"/>
  <c r="F13" i="22"/>
  <c r="F72" i="22"/>
  <c r="F19" i="22"/>
  <c r="F21" i="22"/>
  <c r="F74" i="22"/>
  <c r="F78" i="22"/>
  <c r="F25" i="22"/>
  <c r="D3" i="43"/>
  <c r="F80" i="22"/>
  <c r="F27" i="22"/>
  <c r="F82" i="22"/>
  <c r="F29" i="22"/>
  <c r="F85" i="22"/>
  <c r="F37" i="22"/>
  <c r="F87" i="22"/>
  <c r="F39" i="22"/>
  <c r="F41" i="22"/>
  <c r="F89" i="22"/>
  <c r="F91" i="22"/>
  <c r="F43" i="22"/>
  <c r="F93" i="22"/>
  <c r="F45" i="22"/>
  <c r="F95" i="22"/>
  <c r="F47" i="22"/>
  <c r="F97" i="22"/>
  <c r="F49" i="22"/>
  <c r="F99" i="22"/>
  <c r="F51" i="22"/>
  <c r="F53" i="22"/>
  <c r="F101" i="22"/>
  <c r="F55" i="22"/>
  <c r="F103" i="22"/>
  <c r="D44" i="2"/>
  <c r="F52" i="23"/>
  <c r="F13" i="23"/>
  <c r="D96" i="2"/>
  <c r="D12" i="13"/>
  <c r="F54" i="23"/>
  <c r="F15" i="23"/>
  <c r="F56" i="23"/>
  <c r="F17" i="23"/>
  <c r="D14" i="13"/>
  <c r="F19" i="23"/>
  <c r="F58" i="23"/>
  <c r="C22" i="40"/>
  <c r="D21" i="40"/>
  <c r="F60" i="23"/>
  <c r="F21" i="23"/>
  <c r="F62" i="23"/>
  <c r="F23" i="23"/>
  <c r="F64" i="23"/>
  <c r="F25" i="23"/>
  <c r="F66" i="23"/>
  <c r="F27" i="23"/>
  <c r="D20" i="13"/>
  <c r="F69" i="23"/>
  <c r="F35" i="23"/>
  <c r="F71" i="23"/>
  <c r="F37" i="23"/>
  <c r="F73" i="23"/>
  <c r="F39" i="23"/>
  <c r="F75" i="23"/>
  <c r="F41" i="23"/>
  <c r="F77" i="23"/>
  <c r="F43" i="23"/>
  <c r="R5" i="36"/>
  <c r="S5" i="36" s="1"/>
  <c r="F7" i="36"/>
  <c r="D21" i="13"/>
  <c r="R9" i="36"/>
  <c r="S9" i="36" s="1"/>
  <c r="R11" i="36"/>
  <c r="S11" i="36" s="1"/>
  <c r="R13" i="36"/>
  <c r="S13" i="36" s="1"/>
  <c r="D95" i="2"/>
  <c r="G6" i="54"/>
  <c r="G18" i="54"/>
  <c r="D44" i="54"/>
  <c r="D45" i="54" s="1"/>
  <c r="E49" i="3"/>
  <c r="E48" i="3" s="1"/>
  <c r="G37" i="55"/>
  <c r="E7" i="37"/>
  <c r="B7" i="56"/>
  <c r="G4" i="56"/>
  <c r="B20" i="56"/>
  <c r="G15" i="56"/>
  <c r="B14" i="13"/>
  <c r="B70" i="22"/>
  <c r="B2" i="19"/>
  <c r="B17" i="22"/>
  <c r="B15" i="40"/>
  <c r="B82" i="22"/>
  <c r="B29" i="22"/>
  <c r="B95" i="22"/>
  <c r="B47" i="22"/>
  <c r="F15" i="22"/>
  <c r="F68" i="22"/>
  <c r="F70" i="22"/>
  <c r="D2" i="19"/>
  <c r="I2" i="19" s="1"/>
  <c r="F17" i="22"/>
  <c r="C16" i="40"/>
  <c r="D15" i="40"/>
  <c r="F76" i="22"/>
  <c r="F23" i="22"/>
  <c r="D3" i="19"/>
  <c r="I3" i="19" s="1"/>
  <c r="D19" i="40"/>
  <c r="C20" i="40"/>
  <c r="H66" i="22"/>
  <c r="H13" i="22"/>
  <c r="H68" i="22"/>
  <c r="H15" i="22"/>
  <c r="H17" i="22"/>
  <c r="H70" i="22"/>
  <c r="E2" i="19"/>
  <c r="D16" i="40"/>
  <c r="E15" i="40"/>
  <c r="H72" i="22"/>
  <c r="H19" i="22"/>
  <c r="H74" i="22"/>
  <c r="H21" i="22"/>
  <c r="H76" i="22"/>
  <c r="H23" i="22"/>
  <c r="E3" i="19"/>
  <c r="E19" i="40"/>
  <c r="D20" i="40"/>
  <c r="H78" i="22"/>
  <c r="H25" i="22"/>
  <c r="E3" i="43"/>
  <c r="H80" i="22"/>
  <c r="H27" i="22"/>
  <c r="H29" i="22"/>
  <c r="H82" i="22"/>
  <c r="H85" i="22"/>
  <c r="H37" i="22"/>
  <c r="H87" i="22"/>
  <c r="H39" i="22"/>
  <c r="H89" i="22"/>
  <c r="H41" i="22"/>
  <c r="H91" i="22"/>
  <c r="H43" i="22"/>
  <c r="H93" i="22"/>
  <c r="H45" i="22"/>
  <c r="H95" i="22"/>
  <c r="H47" i="22"/>
  <c r="H49" i="22"/>
  <c r="H97" i="22"/>
  <c r="H99" i="22"/>
  <c r="H51" i="22"/>
  <c r="H53" i="22"/>
  <c r="H101" i="22"/>
  <c r="H55" i="22"/>
  <c r="H103" i="22"/>
  <c r="E44" i="2"/>
  <c r="H13" i="23"/>
  <c r="H52" i="23"/>
  <c r="E12" i="13"/>
  <c r="H4" i="20" s="1"/>
  <c r="H54" i="23"/>
  <c r="H15" i="23"/>
  <c r="H56" i="23"/>
  <c r="H17" i="23"/>
  <c r="E14" i="13"/>
  <c r="H58" i="23"/>
  <c r="H19" i="23"/>
  <c r="D22" i="40"/>
  <c r="E21" i="40"/>
  <c r="H21" i="23"/>
  <c r="H60" i="23"/>
  <c r="H62" i="23"/>
  <c r="H23" i="23"/>
  <c r="H64" i="23"/>
  <c r="H25" i="23"/>
  <c r="H66" i="23"/>
  <c r="H27" i="23"/>
  <c r="E20" i="13"/>
  <c r="H11" i="20" s="1"/>
  <c r="H69" i="23"/>
  <c r="H35" i="23"/>
  <c r="E95" i="2"/>
  <c r="E16" i="13"/>
  <c r="H71" i="23"/>
  <c r="H37" i="23"/>
  <c r="H73" i="23"/>
  <c r="H39" i="23"/>
  <c r="H75" i="23"/>
  <c r="H41" i="23"/>
  <c r="H77" i="23"/>
  <c r="H43" i="23"/>
  <c r="H7" i="36"/>
  <c r="E21" i="13"/>
  <c r="G87" i="2"/>
  <c r="G27" i="54"/>
  <c r="G39" i="54"/>
  <c r="G58" i="54"/>
  <c r="G67" i="54"/>
  <c r="G84" i="54"/>
  <c r="G4" i="3"/>
  <c r="G26" i="3"/>
  <c r="G17" i="55"/>
  <c r="G29" i="55"/>
  <c r="F7" i="37"/>
  <c r="F27" i="4"/>
  <c r="D35" i="41"/>
  <c r="G31" i="4"/>
  <c r="B26" i="56"/>
  <c r="G21" i="56"/>
  <c r="D16" i="13"/>
  <c r="H62" i="22"/>
  <c r="H11" i="23"/>
  <c r="H33" i="23" s="1"/>
  <c r="H1" i="22"/>
  <c r="E1" i="19"/>
  <c r="H10" i="22"/>
  <c r="H1" i="23"/>
  <c r="H49" i="23" s="1"/>
  <c r="H2" i="20"/>
  <c r="J76" i="22"/>
  <c r="F3" i="19"/>
  <c r="J23" i="22"/>
  <c r="E20" i="40"/>
  <c r="J101" i="22"/>
  <c r="J53" i="22"/>
  <c r="J60" i="23"/>
  <c r="J21" i="23"/>
  <c r="J75" i="23"/>
  <c r="J41" i="23"/>
  <c r="B44" i="54"/>
  <c r="H21" i="20"/>
  <c r="F73" i="54"/>
  <c r="C26" i="56"/>
  <c r="C27" i="56" s="1"/>
  <c r="B54" i="70"/>
  <c r="B66" i="70" s="1"/>
  <c r="J70" i="22"/>
  <c r="J17" i="22"/>
  <c r="F2" i="19"/>
  <c r="E16" i="40"/>
  <c r="J78" i="22"/>
  <c r="J25" i="22"/>
  <c r="F3" i="43"/>
  <c r="J89" i="22"/>
  <c r="J41" i="22"/>
  <c r="J55" i="22"/>
  <c r="J103" i="22"/>
  <c r="J23" i="23"/>
  <c r="J62" i="23"/>
  <c r="B34" i="4"/>
  <c r="G29" i="4"/>
  <c r="F54" i="70"/>
  <c r="F66" i="70" s="1"/>
  <c r="J66" i="22"/>
  <c r="J13" i="22"/>
  <c r="J72" i="22"/>
  <c r="J19" i="22"/>
  <c r="J82" i="22"/>
  <c r="J29" i="22"/>
  <c r="J87" i="22"/>
  <c r="J39" i="22"/>
  <c r="J95" i="22"/>
  <c r="J47" i="22"/>
  <c r="J99" i="22"/>
  <c r="J51" i="22"/>
  <c r="J52" i="23"/>
  <c r="J13" i="23"/>
  <c r="F96" i="2"/>
  <c r="F12" i="13"/>
  <c r="J4" i="20" s="1"/>
  <c r="J58" i="23"/>
  <c r="J19" i="23"/>
  <c r="E22" i="40"/>
  <c r="J64" i="23"/>
  <c r="J25" i="23"/>
  <c r="J71" i="23"/>
  <c r="J37" i="23"/>
  <c r="J77" i="23"/>
  <c r="J43" i="23"/>
  <c r="J7" i="36"/>
  <c r="F21" i="13"/>
  <c r="B65" i="22"/>
  <c r="B12" i="22"/>
  <c r="B3" i="40"/>
  <c r="B5" i="40" s="1"/>
  <c r="B67" i="22"/>
  <c r="B14" i="22"/>
  <c r="B69" i="22"/>
  <c r="B16" i="22"/>
  <c r="B17" i="40"/>
  <c r="B71" i="22"/>
  <c r="B18" i="22"/>
  <c r="B73" i="22"/>
  <c r="B20" i="22"/>
  <c r="B75" i="22"/>
  <c r="B22" i="22"/>
  <c r="B77" i="22"/>
  <c r="B24" i="22"/>
  <c r="B79" i="22"/>
  <c r="B26" i="22"/>
  <c r="B81" i="22"/>
  <c r="B28" i="22"/>
  <c r="B22" i="2"/>
  <c r="B86" i="22"/>
  <c r="B38" i="22"/>
  <c r="B88" i="22"/>
  <c r="B40" i="22"/>
  <c r="B90" i="22"/>
  <c r="B42" i="22"/>
  <c r="B92" i="22"/>
  <c r="B44" i="22"/>
  <c r="B94" i="22"/>
  <c r="B46" i="22"/>
  <c r="B48" i="22"/>
  <c r="B96" i="22"/>
  <c r="B98" i="22"/>
  <c r="B50" i="22"/>
  <c r="B100" i="22"/>
  <c r="B52" i="22"/>
  <c r="B54" i="22"/>
  <c r="B102" i="22"/>
  <c r="B104" i="22"/>
  <c r="B56" i="22"/>
  <c r="B53" i="23"/>
  <c r="B14" i="23"/>
  <c r="B13" i="13"/>
  <c r="B55" i="23"/>
  <c r="B16" i="23"/>
  <c r="B57" i="23"/>
  <c r="B18" i="23"/>
  <c r="B59" i="23"/>
  <c r="B20" i="23"/>
  <c r="B61" i="23"/>
  <c r="B22" i="23"/>
  <c r="B63" i="23"/>
  <c r="B24" i="23"/>
  <c r="B65" i="23"/>
  <c r="B26" i="23"/>
  <c r="B15" i="13"/>
  <c r="B6" i="20" s="1"/>
  <c r="B62" i="2"/>
  <c r="B70" i="23"/>
  <c r="B36" i="23"/>
  <c r="B5" i="19"/>
  <c r="B17" i="13"/>
  <c r="B8" i="20" s="1"/>
  <c r="B72" i="23"/>
  <c r="B38" i="23"/>
  <c r="B40" i="23"/>
  <c r="B74" i="23"/>
  <c r="B76" i="23"/>
  <c r="B42" i="23"/>
  <c r="B73" i="2"/>
  <c r="L4" i="36"/>
  <c r="M4" i="36" s="1"/>
  <c r="L6" i="36"/>
  <c r="M6" i="36" s="1"/>
  <c r="L8" i="36"/>
  <c r="M8" i="36" s="1"/>
  <c r="L10" i="36"/>
  <c r="M10" i="36" s="1"/>
  <c r="L12" i="36"/>
  <c r="M12" i="36" s="1"/>
  <c r="B86" i="2"/>
  <c r="G14" i="54"/>
  <c r="G60" i="3"/>
  <c r="G5" i="55"/>
  <c r="M8" i="37"/>
  <c r="N8" i="37" s="1"/>
  <c r="C34" i="4"/>
  <c r="C39" i="4"/>
  <c r="D37" i="41"/>
  <c r="G35" i="4"/>
  <c r="J74" i="22"/>
  <c r="J21" i="22"/>
  <c r="J85" i="22"/>
  <c r="J37" i="22"/>
  <c r="J91" i="22"/>
  <c r="J43" i="22"/>
  <c r="J97" i="22"/>
  <c r="J49" i="22"/>
  <c r="J15" i="23"/>
  <c r="J54" i="23"/>
  <c r="J69" i="23"/>
  <c r="J35" i="23"/>
  <c r="F95" i="2"/>
  <c r="F16" i="13"/>
  <c r="D65" i="22"/>
  <c r="D12" i="22"/>
  <c r="C3" i="40"/>
  <c r="C5" i="40" s="1"/>
  <c r="D67" i="22"/>
  <c r="D14" i="22"/>
  <c r="D69" i="22"/>
  <c r="D16" i="22"/>
  <c r="B18" i="40"/>
  <c r="C17" i="40"/>
  <c r="D71" i="22"/>
  <c r="D18" i="22"/>
  <c r="D73" i="22"/>
  <c r="D20" i="22"/>
  <c r="D75" i="22"/>
  <c r="D22" i="22"/>
  <c r="D77" i="22"/>
  <c r="D24" i="22"/>
  <c r="D79" i="22"/>
  <c r="D26" i="22"/>
  <c r="D81" i="22"/>
  <c r="D28" i="22"/>
  <c r="C22" i="2"/>
  <c r="D38" i="22"/>
  <c r="D86" i="22"/>
  <c r="D88" i="22"/>
  <c r="D40" i="22"/>
  <c r="D90" i="22"/>
  <c r="D42" i="22"/>
  <c r="D92" i="22"/>
  <c r="D44" i="22"/>
  <c r="D94" i="22"/>
  <c r="D46" i="22"/>
  <c r="D96" i="22"/>
  <c r="D48" i="22"/>
  <c r="D98" i="22"/>
  <c r="D50" i="22"/>
  <c r="D100" i="22"/>
  <c r="D52" i="22"/>
  <c r="D102" i="22"/>
  <c r="D54" i="22"/>
  <c r="D56" i="22"/>
  <c r="D104" i="22"/>
  <c r="D53" i="23"/>
  <c r="D14" i="23"/>
  <c r="C13" i="13"/>
  <c r="D55" i="23"/>
  <c r="D16" i="23"/>
  <c r="D57" i="23"/>
  <c r="D18" i="23"/>
  <c r="D59" i="23"/>
  <c r="D20" i="23"/>
  <c r="D61" i="23"/>
  <c r="D22" i="23"/>
  <c r="D63" i="23"/>
  <c r="D24" i="23"/>
  <c r="D65" i="23"/>
  <c r="D26" i="23"/>
  <c r="C15" i="13"/>
  <c r="C62" i="2"/>
  <c r="D70" i="23"/>
  <c r="D36" i="23"/>
  <c r="C5" i="19"/>
  <c r="H5" i="19" s="1"/>
  <c r="C17" i="13"/>
  <c r="D72" i="23"/>
  <c r="D38" i="23"/>
  <c r="D74" i="23"/>
  <c r="D40" i="23"/>
  <c r="D42" i="23"/>
  <c r="D76" i="23"/>
  <c r="C73" i="2"/>
  <c r="O4" i="36"/>
  <c r="P4" i="36" s="1"/>
  <c r="O6" i="36"/>
  <c r="P6" i="36" s="1"/>
  <c r="O8" i="36"/>
  <c r="P8" i="36" s="1"/>
  <c r="O10" i="36"/>
  <c r="P10" i="36" s="1"/>
  <c r="O12" i="36"/>
  <c r="P12" i="36" s="1"/>
  <c r="C86" i="2"/>
  <c r="E22" i="54"/>
  <c r="G7" i="54"/>
  <c r="G35" i="54"/>
  <c r="G54" i="54"/>
  <c r="G58" i="3"/>
  <c r="G13" i="55"/>
  <c r="G25" i="55"/>
  <c r="C9" i="70"/>
  <c r="C52" i="70" s="1"/>
  <c r="C54" i="70" s="1"/>
  <c r="C66" i="70" s="1"/>
  <c r="J68" i="22"/>
  <c r="J15" i="22"/>
  <c r="J80" i="22"/>
  <c r="J27" i="22"/>
  <c r="J93" i="22"/>
  <c r="J45" i="22"/>
  <c r="F44" i="2"/>
  <c r="J56" i="23"/>
  <c r="J17" i="23"/>
  <c r="F14" i="13"/>
  <c r="J66" i="23"/>
  <c r="J27" i="23"/>
  <c r="J73" i="23"/>
  <c r="J39" i="23"/>
  <c r="B1" i="23"/>
  <c r="B49" i="23" s="1"/>
  <c r="B62" i="22"/>
  <c r="B10" i="22"/>
  <c r="B1" i="22"/>
  <c r="B1" i="19"/>
  <c r="B11" i="23"/>
  <c r="B2" i="20"/>
  <c r="D2" i="41" s="1"/>
  <c r="F65" i="22"/>
  <c r="F12" i="22"/>
  <c r="D3" i="40"/>
  <c r="D5" i="40" s="1"/>
  <c r="F67" i="22"/>
  <c r="F14" i="22"/>
  <c r="F69" i="22"/>
  <c r="F16" i="22"/>
  <c r="C18" i="40"/>
  <c r="D17" i="40"/>
  <c r="F71" i="22"/>
  <c r="F18" i="22"/>
  <c r="F73" i="22"/>
  <c r="F20" i="22"/>
  <c r="F75" i="22"/>
  <c r="F22" i="22"/>
  <c r="F77" i="22"/>
  <c r="F24" i="22"/>
  <c r="F79" i="22"/>
  <c r="F26" i="22"/>
  <c r="F28" i="22"/>
  <c r="F81" i="22"/>
  <c r="D22" i="2"/>
  <c r="F86" i="22"/>
  <c r="F38" i="22"/>
  <c r="F40" i="22"/>
  <c r="F88" i="22"/>
  <c r="F90" i="22"/>
  <c r="F42" i="22"/>
  <c r="F92" i="22"/>
  <c r="F44" i="22"/>
  <c r="F94" i="22"/>
  <c r="F46" i="22"/>
  <c r="F96" i="22"/>
  <c r="F48" i="22"/>
  <c r="F98" i="22"/>
  <c r="F50" i="22"/>
  <c r="F52" i="22"/>
  <c r="F100" i="22"/>
  <c r="F102" i="22"/>
  <c r="F54" i="22"/>
  <c r="F104" i="22"/>
  <c r="F56" i="22"/>
  <c r="F53" i="23"/>
  <c r="F14" i="23"/>
  <c r="D13" i="13"/>
  <c r="F55" i="23"/>
  <c r="F16" i="23"/>
  <c r="F57" i="23"/>
  <c r="F18" i="23"/>
  <c r="F59" i="23"/>
  <c r="F20" i="23"/>
  <c r="F61" i="23"/>
  <c r="F22" i="23"/>
  <c r="F63" i="23"/>
  <c r="F24" i="23"/>
  <c r="F65" i="23"/>
  <c r="F26" i="23"/>
  <c r="D15" i="13"/>
  <c r="D62" i="2"/>
  <c r="F70" i="23"/>
  <c r="F36" i="23"/>
  <c r="D5" i="19"/>
  <c r="I5" i="19" s="1"/>
  <c r="D17" i="13"/>
  <c r="F72" i="23"/>
  <c r="F38" i="23"/>
  <c r="F74" i="23"/>
  <c r="F40" i="23"/>
  <c r="F76" i="23"/>
  <c r="F42" i="23"/>
  <c r="D73" i="2"/>
  <c r="R4" i="36"/>
  <c r="S4" i="36" s="1"/>
  <c r="R6" i="36"/>
  <c r="S6" i="36" s="1"/>
  <c r="R8" i="36"/>
  <c r="S8" i="36" s="1"/>
  <c r="R10" i="36"/>
  <c r="S10" i="36" s="1"/>
  <c r="R12" i="36"/>
  <c r="S12" i="36" s="1"/>
  <c r="D86" i="2"/>
  <c r="F22" i="54"/>
  <c r="F45" i="54" s="1"/>
  <c r="G12" i="54"/>
  <c r="B62" i="54"/>
  <c r="G47" i="54"/>
  <c r="G16" i="3"/>
  <c r="G56" i="3"/>
  <c r="H67" i="22"/>
  <c r="H14" i="22"/>
  <c r="H71" i="22"/>
  <c r="H18" i="22"/>
  <c r="H77" i="22"/>
  <c r="H24" i="22"/>
  <c r="H88" i="22"/>
  <c r="H40" i="22"/>
  <c r="H92" i="22"/>
  <c r="H44" i="22"/>
  <c r="H96" i="22"/>
  <c r="H48" i="22"/>
  <c r="H52" i="22"/>
  <c r="H100" i="22"/>
  <c r="H104" i="22"/>
  <c r="H56" i="22"/>
  <c r="H53" i="23"/>
  <c r="H14" i="23"/>
  <c r="E13" i="13"/>
  <c r="H55" i="23"/>
  <c r="H16" i="23"/>
  <c r="H59" i="23"/>
  <c r="H20" i="23"/>
  <c r="H61" i="23"/>
  <c r="H22" i="23"/>
  <c r="H63" i="23"/>
  <c r="H24" i="23"/>
  <c r="H65" i="23"/>
  <c r="H26" i="23"/>
  <c r="E15" i="13"/>
  <c r="H6" i="20" s="1"/>
  <c r="E62" i="2"/>
  <c r="H70" i="23"/>
  <c r="H36" i="23"/>
  <c r="E5" i="19"/>
  <c r="E17" i="13"/>
  <c r="H8" i="20" s="1"/>
  <c r="H72" i="23"/>
  <c r="H38" i="23"/>
  <c r="H74" i="23"/>
  <c r="H40" i="23"/>
  <c r="H76" i="23"/>
  <c r="H42" i="23"/>
  <c r="E73" i="2"/>
  <c r="E86" i="2"/>
  <c r="G33" i="54"/>
  <c r="G52" i="54"/>
  <c r="G78" i="54"/>
  <c r="G11" i="55"/>
  <c r="G23" i="55"/>
  <c r="G35" i="55"/>
  <c r="F10" i="37"/>
  <c r="F40" i="4"/>
  <c r="D10" i="37"/>
  <c r="D11" i="23"/>
  <c r="D62" i="22"/>
  <c r="D1" i="23"/>
  <c r="D49" i="23" s="1"/>
  <c r="D10" i="22"/>
  <c r="D1" i="22"/>
  <c r="C1" i="19"/>
  <c r="B1" i="64"/>
  <c r="D2" i="20"/>
  <c r="F2" i="41" s="1"/>
  <c r="H65" i="22"/>
  <c r="H12" i="22"/>
  <c r="E3" i="40"/>
  <c r="E5" i="40" s="1"/>
  <c r="H69" i="22"/>
  <c r="H16" i="22"/>
  <c r="D18" i="40"/>
  <c r="E17" i="40"/>
  <c r="H73" i="22"/>
  <c r="H20" i="22"/>
  <c r="H75" i="22"/>
  <c r="H22" i="22"/>
  <c r="H79" i="22"/>
  <c r="H26" i="22"/>
  <c r="H81" i="22"/>
  <c r="H28" i="22"/>
  <c r="H86" i="22"/>
  <c r="H38" i="22"/>
  <c r="H90" i="22"/>
  <c r="H42" i="22"/>
  <c r="H94" i="22"/>
  <c r="H46" i="22"/>
  <c r="H98" i="22"/>
  <c r="H50" i="22"/>
  <c r="H54" i="22"/>
  <c r="H102" i="22"/>
  <c r="H57" i="23"/>
  <c r="H18" i="23"/>
  <c r="F1" i="23"/>
  <c r="F49" i="23" s="1"/>
  <c r="R49" i="23" s="1"/>
  <c r="F62" i="22"/>
  <c r="F11" i="23"/>
  <c r="F10" i="22"/>
  <c r="F1" i="22"/>
  <c r="D1" i="19"/>
  <c r="F2" i="20"/>
  <c r="J65" i="22"/>
  <c r="J12" i="22"/>
  <c r="J67" i="22"/>
  <c r="J14" i="22"/>
  <c r="J69" i="22"/>
  <c r="J16" i="22"/>
  <c r="E18" i="40"/>
  <c r="J71" i="22"/>
  <c r="J18" i="22"/>
  <c r="J73" i="22"/>
  <c r="J20" i="22"/>
  <c r="J75" i="22"/>
  <c r="J22" i="22"/>
  <c r="J77" i="22"/>
  <c r="J24" i="22"/>
  <c r="J79" i="22"/>
  <c r="J26" i="22"/>
  <c r="J81" i="22"/>
  <c r="J28" i="22"/>
  <c r="F22" i="2"/>
  <c r="J86" i="22"/>
  <c r="J38" i="22"/>
  <c r="J88" i="22"/>
  <c r="J40" i="22"/>
  <c r="J90" i="22"/>
  <c r="J42" i="22"/>
  <c r="J44" i="22"/>
  <c r="J92" i="22"/>
  <c r="J94" i="22"/>
  <c r="J46" i="22"/>
  <c r="J96" i="22"/>
  <c r="J48" i="22"/>
  <c r="J98" i="22"/>
  <c r="J50" i="22"/>
  <c r="J100" i="22"/>
  <c r="J52" i="22"/>
  <c r="J54" i="22"/>
  <c r="J102" i="22"/>
  <c r="J56" i="22"/>
  <c r="J104" i="22"/>
  <c r="J53" i="23"/>
  <c r="J14" i="23"/>
  <c r="F13" i="13"/>
  <c r="J55" i="23"/>
  <c r="J16" i="23"/>
  <c r="J57" i="23"/>
  <c r="J18" i="23"/>
  <c r="J59" i="23"/>
  <c r="J20" i="23"/>
  <c r="J61" i="23"/>
  <c r="J22" i="23"/>
  <c r="J63" i="23"/>
  <c r="J24" i="23"/>
  <c r="J65" i="23"/>
  <c r="J26" i="23"/>
  <c r="F15" i="13"/>
  <c r="J6" i="20" s="1"/>
  <c r="F62" i="2"/>
  <c r="J36" i="23"/>
  <c r="J70" i="23"/>
  <c r="F5" i="19"/>
  <c r="F17" i="13"/>
  <c r="J8" i="20" s="1"/>
  <c r="J72" i="23"/>
  <c r="J38" i="23"/>
  <c r="J74" i="23"/>
  <c r="J40" i="23"/>
  <c r="J76" i="23"/>
  <c r="J42" i="23"/>
  <c r="F73" i="2"/>
  <c r="J8" i="36"/>
  <c r="F86" i="2"/>
  <c r="L15" i="36"/>
  <c r="M15" i="36" s="1"/>
  <c r="B22" i="54"/>
  <c r="B9" i="19"/>
  <c r="B36" i="3"/>
  <c r="D225" i="87"/>
  <c r="D224" i="87"/>
  <c r="D227" i="87" s="1"/>
  <c r="U3" i="17"/>
  <c r="E62" i="54"/>
  <c r="E73" i="54"/>
  <c r="B29" i="19"/>
  <c r="B38" i="19" s="1"/>
  <c r="L16" i="18"/>
  <c r="B7" i="4"/>
  <c r="D286" i="97"/>
  <c r="E8" i="17"/>
  <c r="AH14" i="18"/>
  <c r="C29" i="19"/>
  <c r="N16" i="18"/>
  <c r="G66" i="3"/>
  <c r="D49" i="55"/>
  <c r="D48" i="55" s="1"/>
  <c r="D69" i="55"/>
  <c r="C7" i="4"/>
  <c r="J2" i="94"/>
  <c r="D12" i="94"/>
  <c r="D7" i="41"/>
  <c r="G7" i="41" s="1"/>
  <c r="E4" i="17"/>
  <c r="E5" i="17"/>
  <c r="E13" i="17"/>
  <c r="G80" i="54"/>
  <c r="B1" i="16"/>
  <c r="B3" i="92"/>
  <c r="B3" i="18"/>
  <c r="D29" i="19"/>
  <c r="D38" i="19" s="1"/>
  <c r="P16" i="18"/>
  <c r="G9" i="55"/>
  <c r="D7" i="4"/>
  <c r="C5" i="12"/>
  <c r="D14" i="41"/>
  <c r="D16" i="41" s="1"/>
  <c r="I9" i="17"/>
  <c r="E15" i="17"/>
  <c r="A9" i="32"/>
  <c r="A36" i="18"/>
  <c r="U9" i="18"/>
  <c r="B60" i="92"/>
  <c r="V60" i="92"/>
  <c r="L60" i="92"/>
  <c r="D3" i="92"/>
  <c r="L31" i="18"/>
  <c r="C1" i="16"/>
  <c r="D3" i="18"/>
  <c r="V31" i="18"/>
  <c r="B31" i="18"/>
  <c r="J4" i="32" s="1"/>
  <c r="E29" i="19"/>
  <c r="R16" i="18"/>
  <c r="E7" i="4"/>
  <c r="I6" i="17"/>
  <c r="M10" i="17"/>
  <c r="E60" i="92"/>
  <c r="Y60" i="92"/>
  <c r="O60" i="92"/>
  <c r="F3" i="18"/>
  <c r="Y31" i="18"/>
  <c r="O31" i="18"/>
  <c r="E31" i="18"/>
  <c r="F3" i="92"/>
  <c r="F29" i="19"/>
  <c r="I3" i="17"/>
  <c r="AG7" i="18"/>
  <c r="F24" i="20"/>
  <c r="H3" i="92"/>
  <c r="H3" i="18"/>
  <c r="G9" i="3"/>
  <c r="G27" i="3"/>
  <c r="G33" i="3"/>
  <c r="G35" i="3"/>
  <c r="G37" i="3"/>
  <c r="M7" i="17"/>
  <c r="E17" i="17"/>
  <c r="G24" i="20"/>
  <c r="B21" i="19"/>
  <c r="B41" i="19" s="1"/>
  <c r="B28" i="19"/>
  <c r="B37" i="19" s="1"/>
  <c r="B16" i="18"/>
  <c r="B12" i="40"/>
  <c r="B14" i="40" s="1"/>
  <c r="B10" i="57"/>
  <c r="B4" i="64"/>
  <c r="M4" i="17"/>
  <c r="P9" i="17"/>
  <c r="E34" i="4"/>
  <c r="D7" i="56"/>
  <c r="D13" i="56" s="1"/>
  <c r="D20" i="56"/>
  <c r="D27" i="56" s="1"/>
  <c r="E26" i="56"/>
  <c r="E27" i="56" s="1"/>
  <c r="D34" i="56"/>
  <c r="B6" i="64"/>
  <c r="P6" i="17"/>
  <c r="Q8" i="17"/>
  <c r="P8" i="17"/>
  <c r="M12" i="17"/>
  <c r="G64" i="54"/>
  <c r="D21" i="19"/>
  <c r="D41" i="19" s="1"/>
  <c r="D28" i="19"/>
  <c r="D37" i="19" s="1"/>
  <c r="F16" i="18"/>
  <c r="D12" i="40"/>
  <c r="D14" i="40" s="1"/>
  <c r="D10" i="57"/>
  <c r="C49" i="4"/>
  <c r="E34" i="56"/>
  <c r="E40" i="56" s="1"/>
  <c r="D11" i="41"/>
  <c r="P3" i="17"/>
  <c r="Q4" i="17"/>
  <c r="Q5" i="17"/>
  <c r="P5" i="17"/>
  <c r="M14" i="17"/>
  <c r="E21" i="19"/>
  <c r="E28" i="19"/>
  <c r="E12" i="40"/>
  <c r="E14" i="40" s="1"/>
  <c r="H16" i="18"/>
  <c r="E8" i="3"/>
  <c r="E10" i="57"/>
  <c r="G36" i="4"/>
  <c r="E39" i="4"/>
  <c r="E11" i="37" s="1"/>
  <c r="M11" i="37" s="1"/>
  <c r="N11" i="37" s="1"/>
  <c r="D49" i="4"/>
  <c r="D39" i="56"/>
  <c r="U9" i="17"/>
  <c r="F21" i="19"/>
  <c r="F10" i="57"/>
  <c r="J2" i="37"/>
  <c r="U5" i="17"/>
  <c r="U6" i="17"/>
  <c r="AB9" i="18"/>
  <c r="Y36" i="18" s="1"/>
  <c r="Z36" i="18" s="1"/>
  <c r="O36" i="18"/>
  <c r="P36" i="18" s="1"/>
  <c r="A67" i="92"/>
  <c r="U11" i="92"/>
  <c r="L15" i="18"/>
  <c r="M8" i="18" s="1"/>
  <c r="AF7" i="18"/>
  <c r="U11" i="18"/>
  <c r="A38" i="18"/>
  <c r="M34" i="18"/>
  <c r="O62" i="92"/>
  <c r="P62" i="92" s="1"/>
  <c r="Z5" i="92"/>
  <c r="AI6" i="92"/>
  <c r="P28" i="92"/>
  <c r="Q12" i="92" s="1"/>
  <c r="B28" i="92"/>
  <c r="V5" i="92"/>
  <c r="L65" i="92"/>
  <c r="X9" i="92"/>
  <c r="O9" i="92"/>
  <c r="AG11" i="92"/>
  <c r="P10" i="17"/>
  <c r="U11" i="17"/>
  <c r="A34" i="18"/>
  <c r="A7" i="32"/>
  <c r="X8" i="18"/>
  <c r="C5" i="92"/>
  <c r="C28" i="92" s="1"/>
  <c r="U62" i="92"/>
  <c r="V6" i="92"/>
  <c r="U8" i="92"/>
  <c r="A64" i="92"/>
  <c r="A11" i="32"/>
  <c r="A6" i="32"/>
  <c r="U5" i="18"/>
  <c r="P15" i="18"/>
  <c r="Q8" i="18" s="1"/>
  <c r="O33" i="18"/>
  <c r="P33" i="18" s="1"/>
  <c r="B7" i="32"/>
  <c r="Z7" i="18"/>
  <c r="B15" i="18"/>
  <c r="C6" i="18" s="1"/>
  <c r="C7" i="32" s="1"/>
  <c r="A33" i="18"/>
  <c r="AB9" i="92"/>
  <c r="Y65" i="92" s="1"/>
  <c r="Z65" i="92" s="1"/>
  <c r="C12" i="92"/>
  <c r="P16" i="17"/>
  <c r="D7" i="32"/>
  <c r="B34" i="18"/>
  <c r="X6" i="18"/>
  <c r="A8" i="32"/>
  <c r="U8" i="18"/>
  <c r="A35" i="18"/>
  <c r="AI5" i="92"/>
  <c r="Q6" i="92"/>
  <c r="AH9" i="92"/>
  <c r="O10" i="92"/>
  <c r="C13" i="92"/>
  <c r="P4" i="17"/>
  <c r="P7" i="17"/>
  <c r="E10" i="17"/>
  <c r="P14" i="17"/>
  <c r="I17" i="17"/>
  <c r="X12" i="18"/>
  <c r="F15" i="18"/>
  <c r="G7" i="18" s="1"/>
  <c r="A39" i="18"/>
  <c r="A65" i="92"/>
  <c r="U9" i="92"/>
  <c r="Q16" i="17"/>
  <c r="D6" i="32"/>
  <c r="D15" i="18"/>
  <c r="E6" i="18" s="1"/>
  <c r="E7" i="32" s="1"/>
  <c r="B33" i="18"/>
  <c r="A10" i="32"/>
  <c r="U10" i="18"/>
  <c r="AB10" i="18"/>
  <c r="AB11" i="18"/>
  <c r="H11" i="32"/>
  <c r="Z13" i="18"/>
  <c r="AJ19" i="18" s="1"/>
  <c r="X14" i="18"/>
  <c r="L33" i="18"/>
  <c r="L35" i="18"/>
  <c r="H28" i="92"/>
  <c r="I6" i="92" s="1"/>
  <c r="AF9" i="92"/>
  <c r="AH12" i="92"/>
  <c r="AH13" i="92"/>
  <c r="H7" i="32"/>
  <c r="AB6" i="18"/>
  <c r="Y34" i="18" s="1"/>
  <c r="Z34" i="18" s="1"/>
  <c r="O35" i="18"/>
  <c r="P35" i="18" s="1"/>
  <c r="L37" i="18"/>
  <c r="K46" i="18"/>
  <c r="M39" i="18"/>
  <c r="X7" i="92"/>
  <c r="O7" i="92"/>
  <c r="AB10" i="92"/>
  <c r="L67" i="92"/>
  <c r="M67" i="92" s="1"/>
  <c r="O11" i="92"/>
  <c r="AI13" i="92"/>
  <c r="AG27" i="92"/>
  <c r="Q7" i="18"/>
  <c r="D10" i="32"/>
  <c r="B37" i="18"/>
  <c r="X10" i="18"/>
  <c r="M11" i="18"/>
  <c r="AB14" i="18"/>
  <c r="Y39" i="18" s="1"/>
  <c r="Z39" i="18" s="1"/>
  <c r="O39" i="18"/>
  <c r="P39" i="18" s="1"/>
  <c r="C10" i="92"/>
  <c r="P13" i="17"/>
  <c r="U14" i="17"/>
  <c r="H6" i="32"/>
  <c r="AB5" i="18"/>
  <c r="H15" i="18"/>
  <c r="I6" i="18" s="1"/>
  <c r="I7" i="32" s="1"/>
  <c r="Z5" i="18"/>
  <c r="AH6" i="18"/>
  <c r="L36" i="18"/>
  <c r="X9" i="18"/>
  <c r="L38" i="18"/>
  <c r="M38" i="18" s="1"/>
  <c r="X11" i="18"/>
  <c r="U14" i="18"/>
  <c r="R15" i="18"/>
  <c r="S11" i="18" s="1"/>
  <c r="A44" i="18"/>
  <c r="J9" i="32" s="1"/>
  <c r="AG6" i="92"/>
  <c r="B66" i="92"/>
  <c r="X10" i="92"/>
  <c r="H8" i="32"/>
  <c r="AB8" i="18"/>
  <c r="Q11" i="18"/>
  <c r="O38" i="18"/>
  <c r="P38" i="18" s="1"/>
  <c r="V13" i="18"/>
  <c r="D44" i="18"/>
  <c r="M9" i="32" s="1"/>
  <c r="B44" i="18"/>
  <c r="K9" i="32" s="1"/>
  <c r="C44" i="18"/>
  <c r="L9" i="32" s="1"/>
  <c r="O13" i="92"/>
  <c r="O27" i="92"/>
  <c r="Z6" i="92"/>
  <c r="V63" i="92" s="1"/>
  <c r="E63" i="92"/>
  <c r="F63" i="92" s="1"/>
  <c r="L64" i="92"/>
  <c r="O8" i="92"/>
  <c r="X8" i="92"/>
  <c r="X12" i="92"/>
  <c r="O12" i="92"/>
  <c r="A75" i="92"/>
  <c r="C68" i="92"/>
  <c r="B35" i="18"/>
  <c r="B39" i="18"/>
  <c r="AF12" i="92"/>
  <c r="X13" i="92"/>
  <c r="D28" i="92"/>
  <c r="E23" i="92" s="1"/>
  <c r="L62" i="92"/>
  <c r="M15" i="91"/>
  <c r="N7" i="91" s="1"/>
  <c r="G10" i="18"/>
  <c r="G10" i="32" s="1"/>
  <c r="C9" i="92"/>
  <c r="O65" i="92"/>
  <c r="P65" i="92" s="1"/>
  <c r="U10" i="92"/>
  <c r="Z27" i="92"/>
  <c r="R28" i="92"/>
  <c r="S5" i="92" s="1"/>
  <c r="S28" i="92" s="1"/>
  <c r="B9" i="32"/>
  <c r="K15" i="91"/>
  <c r="L4" i="91" s="1"/>
  <c r="L15" i="91" s="1"/>
  <c r="G5" i="18"/>
  <c r="Z8" i="18"/>
  <c r="V10" i="18"/>
  <c r="Z11" i="18"/>
  <c r="X13" i="18"/>
  <c r="E35" i="18"/>
  <c r="F35" i="18" s="1"/>
  <c r="E39" i="18"/>
  <c r="F39" i="18" s="1"/>
  <c r="E62" i="92"/>
  <c r="F62" i="92" s="1"/>
  <c r="B65" i="92"/>
  <c r="V10" i="92"/>
  <c r="Z11" i="92"/>
  <c r="L68" i="92"/>
  <c r="F28" i="92"/>
  <c r="G10" i="92" s="1"/>
  <c r="Q15" i="91"/>
  <c r="R4" i="91" s="1"/>
  <c r="R15" i="91" s="1"/>
  <c r="L66" i="92"/>
  <c r="C27" i="92"/>
  <c r="K71" i="92"/>
  <c r="M63" i="92"/>
  <c r="O63" i="92"/>
  <c r="P63" i="92" s="1"/>
  <c r="E2" i="32"/>
  <c r="D2" i="32"/>
  <c r="C2" i="32"/>
  <c r="N2" i="32"/>
  <c r="B2" i="32"/>
  <c r="M2" i="32"/>
  <c r="A2" i="32"/>
  <c r="L2" i="32"/>
  <c r="J2" i="32"/>
  <c r="I2" i="32"/>
  <c r="H2" i="32"/>
  <c r="Z10" i="18"/>
  <c r="V14" i="18"/>
  <c r="N15" i="18"/>
  <c r="O8" i="18" s="1"/>
  <c r="X5" i="92"/>
  <c r="O6" i="92"/>
  <c r="Q8" i="92"/>
  <c r="Z10" i="92"/>
  <c r="B67" i="92"/>
  <c r="C67" i="92" s="1"/>
  <c r="Q11" i="92"/>
  <c r="E67" i="92"/>
  <c r="F67" i="92" s="1"/>
  <c r="K2" i="32"/>
  <c r="L28" i="92"/>
  <c r="A72" i="92"/>
  <c r="C64" i="92"/>
  <c r="E33" i="18"/>
  <c r="F33" i="18" s="1"/>
  <c r="E37" i="18"/>
  <c r="F37" i="18" s="1"/>
  <c r="B63" i="92"/>
  <c r="E64" i="92"/>
  <c r="F64" i="92" s="1"/>
  <c r="G8" i="18"/>
  <c r="G8" i="32" s="1"/>
  <c r="C10" i="18"/>
  <c r="C10" i="32" s="1"/>
  <c r="G11" i="18"/>
  <c r="G11" i="32" s="1"/>
  <c r="B38" i="18"/>
  <c r="C38" i="18" s="1"/>
  <c r="O66" i="92"/>
  <c r="P66" i="92" s="1"/>
  <c r="I15" i="91"/>
  <c r="J6" i="91" s="1"/>
  <c r="O15" i="91"/>
  <c r="P7" i="91" s="1"/>
  <c r="J25" i="93"/>
  <c r="L2" i="93"/>
  <c r="K25" i="93"/>
  <c r="L6" i="93"/>
  <c r="L10" i="93"/>
  <c r="L14" i="93"/>
  <c r="L18" i="93"/>
  <c r="L22" i="93"/>
  <c r="H69" i="93"/>
  <c r="L27" i="93"/>
  <c r="L31" i="93"/>
  <c r="L35" i="93"/>
  <c r="L39" i="93"/>
  <c r="L43" i="93"/>
  <c r="L47" i="93"/>
  <c r="L51" i="93"/>
  <c r="L55" i="93"/>
  <c r="L59" i="93"/>
  <c r="L63" i="93"/>
  <c r="L67" i="93"/>
  <c r="L72" i="93"/>
  <c r="J69" i="93"/>
  <c r="L5" i="93"/>
  <c r="L9" i="93"/>
  <c r="L13" i="93"/>
  <c r="L17" i="93"/>
  <c r="L21" i="93"/>
  <c r="L26" i="93"/>
  <c r="L30" i="93"/>
  <c r="L34" i="93"/>
  <c r="L38" i="93"/>
  <c r="L42" i="93"/>
  <c r="L46" i="93"/>
  <c r="L50" i="93"/>
  <c r="L54" i="93"/>
  <c r="L58" i="93"/>
  <c r="L62" i="93"/>
  <c r="L66" i="93"/>
  <c r="H74" i="93"/>
  <c r="L71" i="93"/>
  <c r="J74" i="93"/>
  <c r="L4" i="93"/>
  <c r="L8" i="93"/>
  <c r="L12" i="93"/>
  <c r="L16" i="93"/>
  <c r="L20" i="93"/>
  <c r="L24" i="93"/>
  <c r="L29" i="93"/>
  <c r="L33" i="93"/>
  <c r="L37" i="93"/>
  <c r="L41" i="93"/>
  <c r="L45" i="93"/>
  <c r="L49" i="93"/>
  <c r="L53" i="93"/>
  <c r="L57" i="93"/>
  <c r="L61" i="93"/>
  <c r="L65" i="93"/>
  <c r="L70" i="93"/>
  <c r="K74" i="93"/>
  <c r="H25" i="93"/>
  <c r="L3" i="93"/>
  <c r="L7" i="93"/>
  <c r="L11" i="93"/>
  <c r="L15" i="93"/>
  <c r="L19" i="93"/>
  <c r="L23" i="93"/>
  <c r="L28" i="93"/>
  <c r="L32" i="93"/>
  <c r="L36" i="93"/>
  <c r="L40" i="93"/>
  <c r="L44" i="93"/>
  <c r="L48" i="93"/>
  <c r="L52" i="93"/>
  <c r="L56" i="93"/>
  <c r="L60" i="93"/>
  <c r="L64" i="93"/>
  <c r="L68" i="93"/>
  <c r="L73" i="93"/>
  <c r="B36" i="55" l="1"/>
  <c r="B27" i="4"/>
  <c r="AF18" i="18"/>
  <c r="A70" i="92"/>
  <c r="E10" i="18"/>
  <c r="E10" i="32" s="1"/>
  <c r="R62" i="22"/>
  <c r="Q9" i="18"/>
  <c r="G3" i="55"/>
  <c r="Y64" i="92"/>
  <c r="Z64" i="92" s="1"/>
  <c r="G22" i="54"/>
  <c r="I24" i="22"/>
  <c r="H3" i="22"/>
  <c r="H31" i="22" s="1"/>
  <c r="G69" i="3"/>
  <c r="G86" i="54"/>
  <c r="G12" i="56"/>
  <c r="I28" i="22"/>
  <c r="M13" i="18"/>
  <c r="G69" i="55"/>
  <c r="C27" i="4"/>
  <c r="Q9" i="92"/>
  <c r="F67" i="55"/>
  <c r="D27" i="4"/>
  <c r="E36" i="3"/>
  <c r="E39" i="3" s="1"/>
  <c r="H83" i="22"/>
  <c r="R14" i="91"/>
  <c r="E27" i="92"/>
  <c r="E67" i="55"/>
  <c r="I29" i="22"/>
  <c r="M5" i="37"/>
  <c r="N5" i="37" s="1"/>
  <c r="I25" i="22"/>
  <c r="I23" i="22"/>
  <c r="I26" i="22"/>
  <c r="AE6" i="92"/>
  <c r="M7" i="18"/>
  <c r="F36" i="3"/>
  <c r="F39" i="3" s="1"/>
  <c r="I27" i="22"/>
  <c r="B62" i="70"/>
  <c r="F40" i="56"/>
  <c r="C13" i="56"/>
  <c r="C42" i="56" s="1"/>
  <c r="C44" i="56" s="1"/>
  <c r="G26" i="4"/>
  <c r="D36" i="3"/>
  <c r="D39" i="3" s="1"/>
  <c r="D10" i="19" s="1"/>
  <c r="I10" i="19" s="1"/>
  <c r="G48" i="3"/>
  <c r="G3" i="3"/>
  <c r="C40" i="56"/>
  <c r="F13" i="4"/>
  <c r="F14" i="19" s="1"/>
  <c r="R1" i="22"/>
  <c r="G73" i="54"/>
  <c r="E45" i="54"/>
  <c r="J5" i="37"/>
  <c r="K5" i="37" s="1"/>
  <c r="D74" i="54"/>
  <c r="D89" i="54" s="1"/>
  <c r="D91" i="54" s="1"/>
  <c r="D40" i="4"/>
  <c r="J3" i="19"/>
  <c r="J2" i="19"/>
  <c r="G8" i="92"/>
  <c r="J5" i="19"/>
  <c r="C37" i="19"/>
  <c r="J28" i="19"/>
  <c r="C38" i="19"/>
  <c r="J29" i="19"/>
  <c r="C41" i="19"/>
  <c r="J21" i="19"/>
  <c r="M10" i="18"/>
  <c r="Q14" i="18"/>
  <c r="Q12" i="18"/>
  <c r="S10" i="92"/>
  <c r="S12" i="18"/>
  <c r="F27" i="56"/>
  <c r="I8" i="92"/>
  <c r="AF32" i="92"/>
  <c r="R10" i="91"/>
  <c r="C74" i="54"/>
  <c r="C89" i="54" s="1"/>
  <c r="C91" i="54" s="1"/>
  <c r="E5" i="92"/>
  <c r="E28" i="92" s="1"/>
  <c r="P8" i="91"/>
  <c r="S8" i="92"/>
  <c r="AF19" i="18"/>
  <c r="B10" i="43"/>
  <c r="B11" i="43" s="1"/>
  <c r="C46" i="55"/>
  <c r="C68" i="55" s="1"/>
  <c r="C67" i="55"/>
  <c r="O12" i="18"/>
  <c r="E6" i="92"/>
  <c r="E42" i="56"/>
  <c r="E44" i="56" s="1"/>
  <c r="F74" i="54"/>
  <c r="F89" i="54" s="1"/>
  <c r="U68" i="92"/>
  <c r="AE27" i="92"/>
  <c r="B5" i="37"/>
  <c r="G12" i="4"/>
  <c r="P14" i="91"/>
  <c r="G20" i="4"/>
  <c r="R12" i="91"/>
  <c r="I13" i="92"/>
  <c r="R11" i="91"/>
  <c r="G27" i="92"/>
  <c r="Q7" i="92"/>
  <c r="J11" i="37"/>
  <c r="K11" i="37" s="1"/>
  <c r="E10" i="43"/>
  <c r="E11" i="43" s="1"/>
  <c r="R9" i="91"/>
  <c r="L69" i="92"/>
  <c r="K76" i="92" s="1"/>
  <c r="AB28" i="92"/>
  <c r="AI28" i="92" s="1"/>
  <c r="E16" i="92"/>
  <c r="H75" i="93"/>
  <c r="E10" i="19"/>
  <c r="E2" i="13"/>
  <c r="E4" i="13" s="1"/>
  <c r="E41" i="3"/>
  <c r="P41" i="3" s="1"/>
  <c r="D46" i="55"/>
  <c r="D68" i="55" s="1"/>
  <c r="D67" i="55"/>
  <c r="AI10" i="18"/>
  <c r="H6" i="24"/>
  <c r="I12" i="22"/>
  <c r="F8" i="20"/>
  <c r="F29" i="41"/>
  <c r="O65" i="23"/>
  <c r="P65" i="23" s="1"/>
  <c r="B43" i="24"/>
  <c r="L22" i="23"/>
  <c r="M22" i="23" s="1"/>
  <c r="F28" i="41"/>
  <c r="F7" i="20"/>
  <c r="D22" i="13"/>
  <c r="D7" i="19" s="1"/>
  <c r="L103" i="22"/>
  <c r="M103" i="22" s="1"/>
  <c r="F6" i="24"/>
  <c r="R12" i="22"/>
  <c r="S12" i="22" s="1"/>
  <c r="O53" i="23"/>
  <c r="P53" i="23" s="1"/>
  <c r="L72" i="23"/>
  <c r="M72" i="23" s="1"/>
  <c r="L77" i="22"/>
  <c r="M77" i="22" s="1"/>
  <c r="H47" i="24"/>
  <c r="H44" i="23"/>
  <c r="H56" i="24" s="1"/>
  <c r="R23" i="22"/>
  <c r="S23" i="22" s="1"/>
  <c r="L82" i="22"/>
  <c r="M82" i="22" s="1"/>
  <c r="F51" i="24"/>
  <c r="R39" i="23"/>
  <c r="S39" i="23" s="1"/>
  <c r="R62" i="23"/>
  <c r="S62" i="23" s="1"/>
  <c r="F26" i="41"/>
  <c r="F4" i="20"/>
  <c r="R97" i="22"/>
  <c r="S97" i="22" s="1"/>
  <c r="R85" i="22"/>
  <c r="S85" i="22" s="1"/>
  <c r="F7" i="24"/>
  <c r="R13" i="22"/>
  <c r="S13" i="22" s="1"/>
  <c r="D32" i="41"/>
  <c r="D11" i="20"/>
  <c r="L80" i="22"/>
  <c r="M80" i="22" s="1"/>
  <c r="G8" i="55"/>
  <c r="F91" i="54"/>
  <c r="L58" i="23"/>
  <c r="M58" i="23" s="1"/>
  <c r="H105" i="22"/>
  <c r="H4" i="22"/>
  <c r="E45" i="2"/>
  <c r="R75" i="23"/>
  <c r="S75" i="23" s="1"/>
  <c r="D40" i="24"/>
  <c r="O19" i="23"/>
  <c r="P19" i="23" s="1"/>
  <c r="R75" i="22"/>
  <c r="S75" i="22" s="1"/>
  <c r="D45" i="24"/>
  <c r="O24" i="23"/>
  <c r="P24" i="23" s="1"/>
  <c r="B47" i="24"/>
  <c r="B44" i="23"/>
  <c r="C41" i="23" s="1"/>
  <c r="C53" i="24" s="1"/>
  <c r="L35" i="23"/>
  <c r="M35" i="23" s="1"/>
  <c r="X28" i="92"/>
  <c r="Y7" i="92" s="1"/>
  <c r="AH31" i="92"/>
  <c r="V62" i="92"/>
  <c r="AG5" i="92"/>
  <c r="AF10" i="92"/>
  <c r="L10" i="91"/>
  <c r="C14" i="18"/>
  <c r="C12" i="32" s="1"/>
  <c r="Y63" i="92"/>
  <c r="Z63" i="92" s="1"/>
  <c r="AH6" i="92"/>
  <c r="AJ18" i="18"/>
  <c r="Y33" i="18"/>
  <c r="Z33" i="18" s="1"/>
  <c r="AH5" i="18"/>
  <c r="Z15" i="18"/>
  <c r="AA10" i="18" s="1"/>
  <c r="AI14" i="18"/>
  <c r="I27" i="92"/>
  <c r="I12" i="92"/>
  <c r="I9" i="92"/>
  <c r="I5" i="92"/>
  <c r="I28" i="92" s="1"/>
  <c r="I11" i="92"/>
  <c r="I10" i="92"/>
  <c r="E13" i="92"/>
  <c r="C34" i="18"/>
  <c r="A42" i="18"/>
  <c r="J7" i="32" s="1"/>
  <c r="O10" i="18"/>
  <c r="K73" i="92"/>
  <c r="M65" i="92"/>
  <c r="D23" i="40"/>
  <c r="D26" i="40" s="1"/>
  <c r="D40" i="56"/>
  <c r="D42" i="56" s="1"/>
  <c r="D44" i="56" s="1"/>
  <c r="B23" i="40"/>
  <c r="B26" i="40" s="1"/>
  <c r="B31" i="92"/>
  <c r="L31" i="92" s="1"/>
  <c r="L3" i="92"/>
  <c r="V3" i="92" s="1"/>
  <c r="AF3" i="92" s="1"/>
  <c r="J21" i="24"/>
  <c r="J6" i="24"/>
  <c r="J30" i="22"/>
  <c r="K22" i="22" s="1"/>
  <c r="K16" i="24" s="1"/>
  <c r="H67" i="23"/>
  <c r="H3" i="23"/>
  <c r="E74" i="2"/>
  <c r="F48" i="24"/>
  <c r="R36" i="23"/>
  <c r="S36" i="23" s="1"/>
  <c r="F39" i="24"/>
  <c r="R18" i="23"/>
  <c r="S18" i="23" s="1"/>
  <c r="F31" i="24"/>
  <c r="R52" i="22"/>
  <c r="S52" i="22" s="1"/>
  <c r="F19" i="24"/>
  <c r="R40" i="22"/>
  <c r="S40" i="22" s="1"/>
  <c r="F14" i="24"/>
  <c r="R20" i="22"/>
  <c r="S20" i="22" s="1"/>
  <c r="R65" i="22"/>
  <c r="S65" i="22" s="1"/>
  <c r="O74" i="23"/>
  <c r="P74" i="23" s="1"/>
  <c r="O63" i="23"/>
  <c r="P63" i="23" s="1"/>
  <c r="O104" i="22"/>
  <c r="P104" i="22" s="1"/>
  <c r="D23" i="24"/>
  <c r="O44" i="22"/>
  <c r="P44" i="22" s="1"/>
  <c r="O79" i="22"/>
  <c r="P79" i="22" s="1"/>
  <c r="O69" i="22"/>
  <c r="P69" i="22" s="1"/>
  <c r="J36" i="24"/>
  <c r="C11" i="37"/>
  <c r="G11" i="37" s="1"/>
  <c r="H11" i="37" s="1"/>
  <c r="B98" i="70"/>
  <c r="C98" i="70" s="1"/>
  <c r="D98" i="70" s="1"/>
  <c r="E98" i="70" s="1"/>
  <c r="F98" i="70" s="1"/>
  <c r="D6" i="41"/>
  <c r="B41" i="24"/>
  <c r="L20" i="23"/>
  <c r="M20" i="23" s="1"/>
  <c r="L54" i="22"/>
  <c r="M54" i="22" s="1"/>
  <c r="L90" i="22"/>
  <c r="M90" i="22" s="1"/>
  <c r="B16" i="24"/>
  <c r="L22" i="22"/>
  <c r="M22" i="22" s="1"/>
  <c r="B6" i="24"/>
  <c r="B30" i="22"/>
  <c r="C12" i="22" s="1"/>
  <c r="C6" i="24" s="1"/>
  <c r="L12" i="22"/>
  <c r="M12" i="22" s="1"/>
  <c r="G26" i="56"/>
  <c r="H40" i="24"/>
  <c r="R76" i="22"/>
  <c r="S76" i="22" s="1"/>
  <c r="E9" i="37"/>
  <c r="E15" i="19"/>
  <c r="R73" i="23"/>
  <c r="S73" i="23" s="1"/>
  <c r="F42" i="24"/>
  <c r="R21" i="23"/>
  <c r="S21" i="23" s="1"/>
  <c r="F26" i="24"/>
  <c r="R47" i="22"/>
  <c r="S47" i="22" s="1"/>
  <c r="R29" i="22"/>
  <c r="S29" i="22" s="1"/>
  <c r="R66" i="22"/>
  <c r="S66" i="22" s="1"/>
  <c r="D55" i="24"/>
  <c r="O43" i="23"/>
  <c r="P43" i="23" s="1"/>
  <c r="O27" i="23"/>
  <c r="P27" i="23" s="1"/>
  <c r="D32" i="24"/>
  <c r="O53" i="22"/>
  <c r="P53" i="22" s="1"/>
  <c r="O89" i="22"/>
  <c r="P89" i="22" s="1"/>
  <c r="B13" i="24"/>
  <c r="L19" i="22"/>
  <c r="M19" i="22" s="1"/>
  <c r="H24" i="20"/>
  <c r="L69" i="23"/>
  <c r="M69" i="23" s="1"/>
  <c r="B40" i="24"/>
  <c r="L19" i="23"/>
  <c r="M19" i="23" s="1"/>
  <c r="L101" i="22"/>
  <c r="M101" i="22" s="1"/>
  <c r="L25" i="22"/>
  <c r="M25" i="22" s="1"/>
  <c r="C9" i="19"/>
  <c r="H9" i="19" s="1"/>
  <c r="J9" i="19" s="1"/>
  <c r="C9" i="12"/>
  <c r="C36" i="3"/>
  <c r="C39" i="3" s="1"/>
  <c r="K44" i="18"/>
  <c r="M36" i="18"/>
  <c r="AG6" i="18"/>
  <c r="V34" i="18"/>
  <c r="F12" i="37"/>
  <c r="F16" i="19"/>
  <c r="D35" i="24"/>
  <c r="O14" i="23"/>
  <c r="P14" i="23" s="1"/>
  <c r="L92" i="22"/>
  <c r="M92" i="22" s="1"/>
  <c r="F28" i="24"/>
  <c r="R49" i="22"/>
  <c r="S49" i="22" s="1"/>
  <c r="O103" i="22"/>
  <c r="P103" i="22" s="1"/>
  <c r="O78" i="22"/>
  <c r="P78" i="22" s="1"/>
  <c r="L7" i="36"/>
  <c r="M7" i="36" s="1"/>
  <c r="M12" i="92"/>
  <c r="M13" i="92"/>
  <c r="M7" i="92"/>
  <c r="M9" i="92"/>
  <c r="J4" i="91"/>
  <c r="J15" i="91" s="1"/>
  <c r="J11" i="91"/>
  <c r="L40" i="18"/>
  <c r="O7" i="18"/>
  <c r="O6" i="18"/>
  <c r="N12" i="91"/>
  <c r="N8" i="91"/>
  <c r="C12" i="18"/>
  <c r="D70" i="92"/>
  <c r="C70" i="92"/>
  <c r="B70" i="92"/>
  <c r="AI8" i="18"/>
  <c r="S7" i="18"/>
  <c r="S13" i="18"/>
  <c r="H13" i="32"/>
  <c r="I11" i="18"/>
  <c r="I11" i="32" s="1"/>
  <c r="I9" i="18"/>
  <c r="I9" i="32" s="1"/>
  <c r="I14" i="18"/>
  <c r="I12" i="32" s="1"/>
  <c r="I12" i="18"/>
  <c r="I10" i="18"/>
  <c r="I10" i="32" s="1"/>
  <c r="I8" i="18"/>
  <c r="I8" i="32" s="1"/>
  <c r="I5" i="18"/>
  <c r="S14" i="18"/>
  <c r="J8" i="91"/>
  <c r="K43" i="18"/>
  <c r="M35" i="18"/>
  <c r="V15" i="18"/>
  <c r="W14" i="18" s="1"/>
  <c r="M27" i="92"/>
  <c r="S6" i="18"/>
  <c r="C7" i="18"/>
  <c r="AH18" i="18"/>
  <c r="C4" i="37"/>
  <c r="C13" i="4"/>
  <c r="J41" i="24"/>
  <c r="J16" i="24"/>
  <c r="H29" i="24"/>
  <c r="H16" i="24"/>
  <c r="I22" i="22"/>
  <c r="I16" i="24" s="1"/>
  <c r="H78" i="23"/>
  <c r="H4" i="23"/>
  <c r="H35" i="24"/>
  <c r="B74" i="54"/>
  <c r="G62" i="54"/>
  <c r="R70" i="23"/>
  <c r="S70" i="23" s="1"/>
  <c r="R57" i="23"/>
  <c r="S57" i="23" s="1"/>
  <c r="F29" i="24"/>
  <c r="R50" i="22"/>
  <c r="S50" i="22" s="1"/>
  <c r="R38" i="22"/>
  <c r="S38" i="22" s="1"/>
  <c r="R73" i="22"/>
  <c r="S73" i="22" s="1"/>
  <c r="J38" i="24"/>
  <c r="D50" i="24"/>
  <c r="O38" i="23"/>
  <c r="P38" i="23" s="1"/>
  <c r="D43" i="24"/>
  <c r="O22" i="23"/>
  <c r="P22" i="23" s="1"/>
  <c r="O56" i="22"/>
  <c r="P56" i="22" s="1"/>
  <c r="O92" i="22"/>
  <c r="P92" i="22" s="1"/>
  <c r="O24" i="22"/>
  <c r="P24" i="22" s="1"/>
  <c r="D8" i="24"/>
  <c r="O14" i="22"/>
  <c r="P14" i="22" s="1"/>
  <c r="J28" i="24"/>
  <c r="C10" i="37"/>
  <c r="G10" i="37" s="1"/>
  <c r="H10" i="37" s="1"/>
  <c r="B97" i="70"/>
  <c r="C40" i="4"/>
  <c r="L59" i="23"/>
  <c r="M59" i="23" s="1"/>
  <c r="B31" i="24"/>
  <c r="L52" i="22"/>
  <c r="M52" i="22" s="1"/>
  <c r="B19" i="24"/>
  <c r="L40" i="22"/>
  <c r="M40" i="22" s="1"/>
  <c r="L75" i="22"/>
  <c r="M75" i="22" s="1"/>
  <c r="L65" i="22"/>
  <c r="M65" i="22" s="1"/>
  <c r="J14" i="20"/>
  <c r="J13" i="24"/>
  <c r="H55" i="24"/>
  <c r="H20" i="24"/>
  <c r="B11" i="24"/>
  <c r="L17" i="22"/>
  <c r="M17" i="22" s="1"/>
  <c r="M7" i="37"/>
  <c r="N7" i="37" s="1"/>
  <c r="F49" i="24"/>
  <c r="R37" i="23"/>
  <c r="S37" i="23" s="1"/>
  <c r="R60" i="23"/>
  <c r="S60" i="23" s="1"/>
  <c r="F34" i="24"/>
  <c r="R13" i="23"/>
  <c r="S13" i="23" s="1"/>
  <c r="F28" i="23"/>
  <c r="R95" i="22"/>
  <c r="S95" i="22" s="1"/>
  <c r="R82" i="22"/>
  <c r="S82" i="22" s="1"/>
  <c r="B20" i="24"/>
  <c r="L41" i="22"/>
  <c r="M41" i="22" s="1"/>
  <c r="O77" i="23"/>
  <c r="P77" i="23" s="1"/>
  <c r="O66" i="23"/>
  <c r="P66" i="23" s="1"/>
  <c r="O56" i="23"/>
  <c r="P56" i="23" s="1"/>
  <c r="D30" i="24"/>
  <c r="O51" i="22"/>
  <c r="P51" i="22" s="1"/>
  <c r="D18" i="24"/>
  <c r="O39" i="22"/>
  <c r="P39" i="22" s="1"/>
  <c r="D11" i="24"/>
  <c r="O17" i="22"/>
  <c r="P17" i="22" s="1"/>
  <c r="L72" i="22"/>
  <c r="M72" i="22" s="1"/>
  <c r="C9" i="37"/>
  <c r="C15" i="19"/>
  <c r="H15" i="19" s="1"/>
  <c r="B55" i="24"/>
  <c r="L43" i="23"/>
  <c r="M43" i="23" s="1"/>
  <c r="D9" i="41"/>
  <c r="B38" i="24"/>
  <c r="L17" i="23"/>
  <c r="M17" i="23" s="1"/>
  <c r="B30" i="24"/>
  <c r="L51" i="22"/>
  <c r="M51" i="22" s="1"/>
  <c r="L78" i="22"/>
  <c r="M78" i="22" s="1"/>
  <c r="J8" i="24"/>
  <c r="F41" i="24"/>
  <c r="R20" i="23"/>
  <c r="S20" i="23" s="1"/>
  <c r="O81" i="22"/>
  <c r="P81" i="22" s="1"/>
  <c r="B10" i="37"/>
  <c r="G34" i="4"/>
  <c r="B40" i="4"/>
  <c r="L29" i="22"/>
  <c r="M29" i="22" s="1"/>
  <c r="R72" i="22"/>
  <c r="S72" i="22" s="1"/>
  <c r="O91" i="22"/>
  <c r="P91" i="22" s="1"/>
  <c r="J43" i="24"/>
  <c r="R100" i="22"/>
  <c r="S100" i="22" s="1"/>
  <c r="O26" i="22"/>
  <c r="P26" i="22" s="1"/>
  <c r="P4" i="91"/>
  <c r="P15" i="91" s="1"/>
  <c r="P5" i="91"/>
  <c r="P6" i="91"/>
  <c r="P11" i="91"/>
  <c r="P13" i="91"/>
  <c r="N5" i="91"/>
  <c r="AF14" i="18"/>
  <c r="P10" i="91"/>
  <c r="A73" i="92"/>
  <c r="C65" i="92"/>
  <c r="N6" i="91"/>
  <c r="C39" i="18"/>
  <c r="A46" i="18"/>
  <c r="J11" i="32" s="1"/>
  <c r="U39" i="18"/>
  <c r="AE14" i="18"/>
  <c r="AB15" i="18"/>
  <c r="AI15" i="18" s="1"/>
  <c r="AI5" i="18"/>
  <c r="I13" i="18"/>
  <c r="AG7" i="92"/>
  <c r="K41" i="18"/>
  <c r="M33" i="18"/>
  <c r="AE9" i="92"/>
  <c r="U65" i="92"/>
  <c r="S5" i="18"/>
  <c r="G11" i="92"/>
  <c r="AF31" i="92"/>
  <c r="V28" i="92"/>
  <c r="W5" i="92" s="1"/>
  <c r="AF5" i="92"/>
  <c r="M6" i="18"/>
  <c r="M9" i="18"/>
  <c r="M14" i="18"/>
  <c r="M12" i="18"/>
  <c r="M5" i="18"/>
  <c r="M15" i="18" s="1"/>
  <c r="D31" i="92"/>
  <c r="N31" i="92" s="1"/>
  <c r="N3" i="92"/>
  <c r="X3" i="92" s="1"/>
  <c r="AG3" i="92" s="1"/>
  <c r="J14" i="36"/>
  <c r="F88" i="2"/>
  <c r="J31" i="24"/>
  <c r="J19" i="24"/>
  <c r="H54" i="24"/>
  <c r="F67" i="23"/>
  <c r="F3" i="23"/>
  <c r="D74" i="2"/>
  <c r="F37" i="24"/>
  <c r="R16" i="23"/>
  <c r="S16" i="23" s="1"/>
  <c r="R98" i="22"/>
  <c r="S98" i="22" s="1"/>
  <c r="R86" i="22"/>
  <c r="S86" i="22" s="1"/>
  <c r="F12" i="24"/>
  <c r="R18" i="22"/>
  <c r="S18" i="22" s="1"/>
  <c r="B33" i="23"/>
  <c r="L11" i="23"/>
  <c r="O72" i="23"/>
  <c r="P72" i="23" s="1"/>
  <c r="O61" i="23"/>
  <c r="P61" i="23" s="1"/>
  <c r="O54" i="22"/>
  <c r="P54" i="22" s="1"/>
  <c r="D21" i="24"/>
  <c r="O42" i="22"/>
  <c r="P42" i="22" s="1"/>
  <c r="O77" i="22"/>
  <c r="P77" i="22" s="1"/>
  <c r="O67" i="22"/>
  <c r="P67" i="22" s="1"/>
  <c r="B48" i="24"/>
  <c r="L36" i="23"/>
  <c r="M36" i="23" s="1"/>
  <c r="B39" i="24"/>
  <c r="L18" i="23"/>
  <c r="M18" i="23" s="1"/>
  <c r="L100" i="22"/>
  <c r="M100" i="22" s="1"/>
  <c r="L88" i="22"/>
  <c r="M88" i="22" s="1"/>
  <c r="B14" i="24"/>
  <c r="L20" i="22"/>
  <c r="M20" i="22" s="1"/>
  <c r="J11" i="24"/>
  <c r="G44" i="54"/>
  <c r="B45" i="54"/>
  <c r="D39" i="41"/>
  <c r="H32" i="24"/>
  <c r="R71" i="23"/>
  <c r="S71" i="23" s="1"/>
  <c r="R52" i="23"/>
  <c r="S52" i="23" s="1"/>
  <c r="F24" i="24"/>
  <c r="R45" i="22"/>
  <c r="S45" i="22" s="1"/>
  <c r="R27" i="22"/>
  <c r="S27" i="22" s="1"/>
  <c r="L89" i="22"/>
  <c r="M89" i="22" s="1"/>
  <c r="G39" i="56"/>
  <c r="D53" i="24"/>
  <c r="O41" i="23"/>
  <c r="P41" i="23" s="1"/>
  <c r="D46" i="24"/>
  <c r="O25" i="23"/>
  <c r="P25" i="23" s="1"/>
  <c r="D38" i="24"/>
  <c r="O17" i="23"/>
  <c r="P17" i="23" s="1"/>
  <c r="O99" i="22"/>
  <c r="P99" i="22" s="1"/>
  <c r="O87" i="22"/>
  <c r="P87" i="22" s="1"/>
  <c r="G7" i="37"/>
  <c r="H7" i="37" s="1"/>
  <c r="L77" i="23"/>
  <c r="M77" i="23" s="1"/>
  <c r="L66" i="23"/>
  <c r="M66" i="23" s="1"/>
  <c r="L56" i="23"/>
  <c r="M56" i="23" s="1"/>
  <c r="L99" i="22"/>
  <c r="M99" i="22" s="1"/>
  <c r="B15" i="24"/>
  <c r="L21" i="22"/>
  <c r="M21" i="22" s="1"/>
  <c r="W63" i="92"/>
  <c r="U71" i="92"/>
  <c r="R102" i="22"/>
  <c r="S102" i="22" s="1"/>
  <c r="L24" i="22"/>
  <c r="M24" i="22" s="1"/>
  <c r="R54" i="23"/>
  <c r="S54" i="23" s="1"/>
  <c r="M5" i="92"/>
  <c r="M28" i="92" s="1"/>
  <c r="O94" i="22"/>
  <c r="P94" i="22" s="1"/>
  <c r="L61" i="23"/>
  <c r="M61" i="23" s="1"/>
  <c r="J40" i="24"/>
  <c r="B32" i="24"/>
  <c r="L53" i="22"/>
  <c r="M53" i="22" s="1"/>
  <c r="Y37" i="18"/>
  <c r="Z37" i="18" s="1"/>
  <c r="AH10" i="18"/>
  <c r="K74" i="92"/>
  <c r="M66" i="92"/>
  <c r="C9" i="18"/>
  <c r="C9" i="32" s="1"/>
  <c r="C35" i="18"/>
  <c r="A43" i="18"/>
  <c r="J8" i="32" s="1"/>
  <c r="O14" i="18"/>
  <c r="A41" i="18"/>
  <c r="J6" i="32" s="1"/>
  <c r="C33" i="18"/>
  <c r="AH7" i="18"/>
  <c r="C6" i="92"/>
  <c r="C11" i="92"/>
  <c r="C8" i="92"/>
  <c r="C7" i="92"/>
  <c r="Q5" i="92"/>
  <c r="F31" i="92"/>
  <c r="P31" i="92" s="1"/>
  <c r="P3" i="92"/>
  <c r="Z3" i="92" s="1"/>
  <c r="AH3" i="92" s="1"/>
  <c r="J39" i="24"/>
  <c r="J14" i="24"/>
  <c r="H25" i="24"/>
  <c r="H14" i="24"/>
  <c r="I20" i="22"/>
  <c r="I14" i="24" s="1"/>
  <c r="O1" i="22"/>
  <c r="H12" i="24"/>
  <c r="I18" i="22"/>
  <c r="I12" i="24" s="1"/>
  <c r="F78" i="23"/>
  <c r="F4" i="23"/>
  <c r="F27" i="41"/>
  <c r="F6" i="20"/>
  <c r="R55" i="23"/>
  <c r="S55" i="23" s="1"/>
  <c r="F27" i="24"/>
  <c r="R48" i="22"/>
  <c r="S48" i="22" s="1"/>
  <c r="F83" i="22"/>
  <c r="F30" i="22"/>
  <c r="G13" i="22" s="1"/>
  <c r="G7" i="24" s="1"/>
  <c r="F3" i="22"/>
  <c r="D17" i="19"/>
  <c r="D32" i="19" s="1"/>
  <c r="D18" i="19"/>
  <c r="D33" i="19" s="1"/>
  <c r="R71" i="22"/>
  <c r="S71" i="22" s="1"/>
  <c r="J105" i="22"/>
  <c r="J4" i="22"/>
  <c r="F45" i="2"/>
  <c r="D29" i="41"/>
  <c r="D8" i="20"/>
  <c r="D41" i="24"/>
  <c r="O20" i="23"/>
  <c r="P20" i="23" s="1"/>
  <c r="O102" i="22"/>
  <c r="P102" i="22" s="1"/>
  <c r="O90" i="22"/>
  <c r="P90" i="22" s="1"/>
  <c r="D16" i="24"/>
  <c r="O22" i="22"/>
  <c r="P22" i="22" s="1"/>
  <c r="J22" i="24"/>
  <c r="L70" i="23"/>
  <c r="M70" i="23" s="1"/>
  <c r="L57" i="23"/>
  <c r="M57" i="23" s="1"/>
  <c r="B29" i="24"/>
  <c r="L50" i="22"/>
  <c r="M50" i="22" s="1"/>
  <c r="L38" i="22"/>
  <c r="M38" i="22" s="1"/>
  <c r="L73" i="22"/>
  <c r="M73" i="22" s="1"/>
  <c r="J34" i="24"/>
  <c r="J28" i="23"/>
  <c r="K19" i="23" s="1"/>
  <c r="K40" i="24" s="1"/>
  <c r="J7" i="24"/>
  <c r="F9" i="37"/>
  <c r="F15" i="19"/>
  <c r="H53" i="24"/>
  <c r="H38" i="24"/>
  <c r="H30" i="24"/>
  <c r="H18" i="24"/>
  <c r="H11" i="24"/>
  <c r="I17" i="22"/>
  <c r="I11" i="24" s="1"/>
  <c r="F11" i="24"/>
  <c r="R17" i="22"/>
  <c r="S17" i="22" s="1"/>
  <c r="L70" i="22"/>
  <c r="M70" i="22" s="1"/>
  <c r="F47" i="24"/>
  <c r="F44" i="23"/>
  <c r="G35" i="23" s="1"/>
  <c r="R35" i="23"/>
  <c r="S35" i="23" s="1"/>
  <c r="F105" i="22"/>
  <c r="F4" i="22"/>
  <c r="D45" i="2"/>
  <c r="R93" i="22"/>
  <c r="S93" i="22" s="1"/>
  <c r="R80" i="22"/>
  <c r="S80" i="22" s="1"/>
  <c r="O75" i="23"/>
  <c r="P75" i="23" s="1"/>
  <c r="O64" i="23"/>
  <c r="P64" i="23" s="1"/>
  <c r="D36" i="24"/>
  <c r="O15" i="23"/>
  <c r="P15" i="23" s="1"/>
  <c r="D28" i="24"/>
  <c r="O49" i="22"/>
  <c r="P49" i="22" s="1"/>
  <c r="O37" i="22"/>
  <c r="P37" i="22" s="1"/>
  <c r="D57" i="22"/>
  <c r="E56" i="22" s="1"/>
  <c r="O23" i="22"/>
  <c r="P23" i="22" s="1"/>
  <c r="O70" i="22"/>
  <c r="P70" i="22" s="1"/>
  <c r="B53" i="24"/>
  <c r="L41" i="23"/>
  <c r="M41" i="23" s="1"/>
  <c r="L27" i="23"/>
  <c r="M27" i="23" s="1"/>
  <c r="L54" i="23"/>
  <c r="M54" i="23" s="1"/>
  <c r="L97" i="22"/>
  <c r="M97" i="22" s="1"/>
  <c r="L74" i="22"/>
  <c r="M74" i="22" s="1"/>
  <c r="K72" i="92"/>
  <c r="M64" i="92"/>
  <c r="H37" i="24"/>
  <c r="R90" i="22"/>
  <c r="S90" i="22" s="1"/>
  <c r="F57" i="22"/>
  <c r="G45" i="22" s="1"/>
  <c r="G24" i="24" s="1"/>
  <c r="R37" i="22"/>
  <c r="S37" i="22" s="1"/>
  <c r="AG12" i="18"/>
  <c r="AH19" i="18"/>
  <c r="R88" i="22"/>
  <c r="S88" i="22" s="1"/>
  <c r="L102" i="22"/>
  <c r="M102" i="22" s="1"/>
  <c r="O58" i="23"/>
  <c r="P58" i="23" s="1"/>
  <c r="AG11" i="18"/>
  <c r="V38" i="18"/>
  <c r="W38" i="18" s="1"/>
  <c r="V37" i="18"/>
  <c r="AG10" i="18"/>
  <c r="AG14" i="18"/>
  <c r="V39" i="18"/>
  <c r="D13" i="32"/>
  <c r="E12" i="18"/>
  <c r="E8" i="18"/>
  <c r="E8" i="32" s="1"/>
  <c r="E5" i="18"/>
  <c r="E11" i="18"/>
  <c r="E11" i="32" s="1"/>
  <c r="E9" i="18"/>
  <c r="E9" i="32" s="1"/>
  <c r="E7" i="18"/>
  <c r="B40" i="18"/>
  <c r="E14" i="18"/>
  <c r="E12" i="32" s="1"/>
  <c r="U64" i="92"/>
  <c r="AE8" i="92"/>
  <c r="O5" i="18"/>
  <c r="O15" i="18" s="1"/>
  <c r="Y62" i="92"/>
  <c r="Z62" i="92" s="1"/>
  <c r="Z28" i="92"/>
  <c r="AA5" i="92" s="1"/>
  <c r="AJ31" i="92"/>
  <c r="AH5" i="92"/>
  <c r="U67" i="92"/>
  <c r="AE11" i="92"/>
  <c r="F10" i="19"/>
  <c r="F2" i="13"/>
  <c r="F4" i="13" s="1"/>
  <c r="F41" i="3"/>
  <c r="E10" i="37"/>
  <c r="M10" i="37" s="1"/>
  <c r="N10" i="37" s="1"/>
  <c r="E40" i="4"/>
  <c r="H4" i="32"/>
  <c r="H18" i="18"/>
  <c r="R18" i="18" s="1"/>
  <c r="R3" i="18"/>
  <c r="AB3" i="18" s="1"/>
  <c r="AI3" i="18" s="1"/>
  <c r="B4" i="37"/>
  <c r="G7" i="4"/>
  <c r="B13" i="4"/>
  <c r="J48" i="24"/>
  <c r="J29" i="24"/>
  <c r="D4" i="24"/>
  <c r="D35" i="22"/>
  <c r="O10" i="22"/>
  <c r="H52" i="24"/>
  <c r="H45" i="24"/>
  <c r="F14" i="36"/>
  <c r="D88" i="2"/>
  <c r="F54" i="24"/>
  <c r="R42" i="23"/>
  <c r="S42" i="23" s="1"/>
  <c r="G42" i="23"/>
  <c r="G54" i="24" s="1"/>
  <c r="R26" i="23"/>
  <c r="S26" i="23" s="1"/>
  <c r="R96" i="22"/>
  <c r="S96" i="22" s="1"/>
  <c r="R81" i="22"/>
  <c r="S81" i="22" s="1"/>
  <c r="L1" i="22"/>
  <c r="J24" i="24"/>
  <c r="O59" i="23"/>
  <c r="P59" i="23" s="1"/>
  <c r="D31" i="24"/>
  <c r="O52" i="22"/>
  <c r="P52" i="22" s="1"/>
  <c r="D19" i="24"/>
  <c r="O40" i="22"/>
  <c r="P40" i="22" s="1"/>
  <c r="O75" i="22"/>
  <c r="P75" i="22" s="1"/>
  <c r="D6" i="24"/>
  <c r="O12" i="22"/>
  <c r="P12" i="22" s="1"/>
  <c r="B6" i="38"/>
  <c r="C6" i="38" s="1"/>
  <c r="B67" i="23"/>
  <c r="B3" i="23"/>
  <c r="G62" i="2"/>
  <c r="B74" i="2"/>
  <c r="B37" i="24"/>
  <c r="L16" i="23"/>
  <c r="M16" i="23" s="1"/>
  <c r="L98" i="22"/>
  <c r="M98" i="22" s="1"/>
  <c r="L86" i="22"/>
  <c r="M86" i="22" s="1"/>
  <c r="B12" i="24"/>
  <c r="L18" i="22"/>
  <c r="M18" i="22" s="1"/>
  <c r="J55" i="24"/>
  <c r="J44" i="24"/>
  <c r="H46" i="24"/>
  <c r="H9" i="24"/>
  <c r="I15" i="22"/>
  <c r="I9" i="24" s="1"/>
  <c r="R7" i="36"/>
  <c r="S7" i="36" s="1"/>
  <c r="R69" i="23"/>
  <c r="S69" i="23" s="1"/>
  <c r="R58" i="23"/>
  <c r="S58" i="23" s="1"/>
  <c r="R103" i="22"/>
  <c r="S103" i="22" s="1"/>
  <c r="F22" i="24"/>
  <c r="R43" i="22"/>
  <c r="S43" i="22" s="1"/>
  <c r="G43" i="22"/>
  <c r="G22" i="24" s="1"/>
  <c r="D10" i="43"/>
  <c r="D11" i="43" s="1"/>
  <c r="D9" i="37"/>
  <c r="D15" i="19"/>
  <c r="I15" i="19" s="1"/>
  <c r="D51" i="24"/>
  <c r="O39" i="23"/>
  <c r="P39" i="23" s="1"/>
  <c r="D44" i="24"/>
  <c r="O23" i="23"/>
  <c r="P23" i="23" s="1"/>
  <c r="O54" i="23"/>
  <c r="P54" i="23" s="1"/>
  <c r="O97" i="22"/>
  <c r="P97" i="22" s="1"/>
  <c r="O85" i="22"/>
  <c r="P85" i="22" s="1"/>
  <c r="O76" i="22"/>
  <c r="P76" i="22" s="1"/>
  <c r="D9" i="24"/>
  <c r="O15" i="22"/>
  <c r="P15" i="22" s="1"/>
  <c r="L75" i="23"/>
  <c r="M75" i="23" s="1"/>
  <c r="B46" i="24"/>
  <c r="L25" i="23"/>
  <c r="M25" i="23" s="1"/>
  <c r="B36" i="24"/>
  <c r="L15" i="23"/>
  <c r="M15" i="23" s="1"/>
  <c r="B28" i="24"/>
  <c r="L49" i="22"/>
  <c r="M49" i="22" s="1"/>
  <c r="B7" i="24"/>
  <c r="L13" i="22"/>
  <c r="M13" i="22" s="1"/>
  <c r="G8" i="3"/>
  <c r="G6" i="32"/>
  <c r="D54" i="24"/>
  <c r="O42" i="23"/>
  <c r="P42" i="23" s="1"/>
  <c r="L104" i="22"/>
  <c r="M104" i="22" s="1"/>
  <c r="Y67" i="92"/>
  <c r="Z67" i="92" s="1"/>
  <c r="AH11" i="92"/>
  <c r="AE10" i="18"/>
  <c r="U37" i="18"/>
  <c r="V65" i="92"/>
  <c r="Y9" i="92"/>
  <c r="AG9" i="92"/>
  <c r="J50" i="24"/>
  <c r="D20" i="24"/>
  <c r="O41" i="22"/>
  <c r="P41" i="22" s="1"/>
  <c r="J10" i="91"/>
  <c r="J12" i="91"/>
  <c r="J5" i="91"/>
  <c r="J7" i="91"/>
  <c r="J9" i="91"/>
  <c r="C63" i="92"/>
  <c r="A71" i="92"/>
  <c r="J14" i="91"/>
  <c r="S13" i="92"/>
  <c r="S27" i="92"/>
  <c r="S12" i="92"/>
  <c r="S7" i="92"/>
  <c r="S6" i="92"/>
  <c r="L8" i="91"/>
  <c r="D75" i="92"/>
  <c r="C75" i="92"/>
  <c r="B75" i="92"/>
  <c r="P9" i="91"/>
  <c r="N10" i="91"/>
  <c r="AH27" i="92"/>
  <c r="Y68" i="92"/>
  <c r="Z68" i="92" s="1"/>
  <c r="L6" i="91"/>
  <c r="S11" i="92"/>
  <c r="C37" i="18"/>
  <c r="A45" i="18"/>
  <c r="J10" i="32" s="1"/>
  <c r="V68" i="92"/>
  <c r="N46" i="18"/>
  <c r="M46" i="18"/>
  <c r="L46" i="18"/>
  <c r="AH13" i="18"/>
  <c r="S8" i="18"/>
  <c r="M10" i="92"/>
  <c r="AF6" i="92"/>
  <c r="H31" i="92"/>
  <c r="R31" i="92" s="1"/>
  <c r="R3" i="92"/>
  <c r="AB3" i="92" s="1"/>
  <c r="AI3" i="92" s="1"/>
  <c r="G39" i="4"/>
  <c r="J67" i="23"/>
  <c r="J3" i="23"/>
  <c r="F74" i="2"/>
  <c r="J37" i="24"/>
  <c r="J12" i="24"/>
  <c r="F4" i="24"/>
  <c r="F35" i="22"/>
  <c r="R10" i="22"/>
  <c r="H21" i="24"/>
  <c r="O49" i="23"/>
  <c r="H8" i="24"/>
  <c r="I14" i="22"/>
  <c r="I8" i="24" s="1"/>
  <c r="R76" i="23"/>
  <c r="S76" i="23" s="1"/>
  <c r="R65" i="23"/>
  <c r="S65" i="23" s="1"/>
  <c r="F35" i="24"/>
  <c r="R14" i="23"/>
  <c r="S14" i="23" s="1"/>
  <c r="F25" i="24"/>
  <c r="G46" i="22"/>
  <c r="G25" i="24" s="1"/>
  <c r="R46" i="22"/>
  <c r="S46" i="22" s="1"/>
  <c r="R28" i="22"/>
  <c r="S28" i="22" s="1"/>
  <c r="B4" i="24"/>
  <c r="L10" i="22"/>
  <c r="B35" i="22"/>
  <c r="D48" i="24"/>
  <c r="O36" i="23"/>
  <c r="P36" i="23" s="1"/>
  <c r="D39" i="24"/>
  <c r="O18" i="23"/>
  <c r="P18" i="23" s="1"/>
  <c r="O100" i="22"/>
  <c r="P100" i="22" s="1"/>
  <c r="O88" i="22"/>
  <c r="P88" i="22" s="1"/>
  <c r="D14" i="24"/>
  <c r="O20" i="22"/>
  <c r="P20" i="22" s="1"/>
  <c r="O65" i="22"/>
  <c r="P65" i="22" s="1"/>
  <c r="J57" i="22"/>
  <c r="J33" i="24" s="1"/>
  <c r="B7" i="38"/>
  <c r="C7" i="38" s="1"/>
  <c r="D7" i="38" s="1"/>
  <c r="B78" i="23"/>
  <c r="B4" i="23"/>
  <c r="G73" i="2"/>
  <c r="D4" i="41"/>
  <c r="L55" i="23"/>
  <c r="M55" i="23" s="1"/>
  <c r="L96" i="22"/>
  <c r="M96" i="22" s="1"/>
  <c r="B3" i="38"/>
  <c r="B83" i="22"/>
  <c r="B18" i="19"/>
  <c r="B33" i="19" s="1"/>
  <c r="B17" i="19"/>
  <c r="B32" i="19" s="1"/>
  <c r="B3" i="22"/>
  <c r="G22" i="2"/>
  <c r="L71" i="22"/>
  <c r="M71" i="22" s="1"/>
  <c r="J30" i="24"/>
  <c r="J53" i="24"/>
  <c r="H4" i="24"/>
  <c r="H35" i="22"/>
  <c r="H51" i="24"/>
  <c r="H36" i="24"/>
  <c r="H57" i="22"/>
  <c r="H33" i="24" s="1"/>
  <c r="R70" i="22"/>
  <c r="S70" i="22" s="1"/>
  <c r="F11" i="20"/>
  <c r="F32" i="41"/>
  <c r="F40" i="24"/>
  <c r="R19" i="23"/>
  <c r="S19" i="23" s="1"/>
  <c r="R55" i="22"/>
  <c r="S55" i="22" s="1"/>
  <c r="R91" i="22"/>
  <c r="S91" i="22" s="1"/>
  <c r="R25" i="22"/>
  <c r="S25" i="22" s="1"/>
  <c r="L76" i="22"/>
  <c r="M76" i="22" s="1"/>
  <c r="J7" i="37"/>
  <c r="K7" i="37" s="1"/>
  <c r="O73" i="23"/>
  <c r="P73" i="23" s="1"/>
  <c r="O62" i="23"/>
  <c r="P62" i="23" s="1"/>
  <c r="D4" i="20"/>
  <c r="D26" i="41"/>
  <c r="D26" i="24"/>
  <c r="O47" i="22"/>
  <c r="P47" i="22" s="1"/>
  <c r="O29" i="22"/>
  <c r="P29" i="22" s="1"/>
  <c r="D15" i="24"/>
  <c r="O21" i="22"/>
  <c r="P21" i="22" s="1"/>
  <c r="O68" i="22"/>
  <c r="P68" i="22" s="1"/>
  <c r="B51" i="24"/>
  <c r="L39" i="23"/>
  <c r="M39" i="23" s="1"/>
  <c r="L64" i="23"/>
  <c r="M64" i="23" s="1"/>
  <c r="B14" i="20"/>
  <c r="D3" i="41"/>
  <c r="L91" i="22"/>
  <c r="M91" i="22" s="1"/>
  <c r="L66" i="22"/>
  <c r="M66" i="22" s="1"/>
  <c r="C23" i="40"/>
  <c r="C26" i="40" s="1"/>
  <c r="E18" i="19"/>
  <c r="V66" i="92"/>
  <c r="Y10" i="92"/>
  <c r="AG10" i="92"/>
  <c r="O11" i="18"/>
  <c r="U35" i="18"/>
  <c r="AE8" i="18"/>
  <c r="AI9" i="92"/>
  <c r="AC9" i="92"/>
  <c r="M6" i="92"/>
  <c r="N42" i="18"/>
  <c r="M42" i="18"/>
  <c r="L42" i="18"/>
  <c r="E4" i="37"/>
  <c r="M4" i="37" s="1"/>
  <c r="N4" i="37" s="1"/>
  <c r="E13" i="4"/>
  <c r="AE9" i="18"/>
  <c r="U36" i="18"/>
  <c r="D4" i="37"/>
  <c r="D13" i="4"/>
  <c r="B39" i="55"/>
  <c r="G36" i="55"/>
  <c r="J78" i="23"/>
  <c r="J4" i="23"/>
  <c r="J27" i="24"/>
  <c r="J83" i="22"/>
  <c r="J3" i="22"/>
  <c r="F17" i="19"/>
  <c r="F18" i="19"/>
  <c r="F33" i="23"/>
  <c r="R33" i="23" s="1"/>
  <c r="R11" i="23"/>
  <c r="O62" i="22"/>
  <c r="H50" i="24"/>
  <c r="H43" i="24"/>
  <c r="H31" i="24"/>
  <c r="F52" i="24"/>
  <c r="R40" i="23"/>
  <c r="S40" i="23" s="1"/>
  <c r="F45" i="24"/>
  <c r="R24" i="23"/>
  <c r="S24" i="23" s="1"/>
  <c r="R53" i="23"/>
  <c r="S53" i="23" s="1"/>
  <c r="R94" i="22"/>
  <c r="S94" i="22" s="1"/>
  <c r="R26" i="22"/>
  <c r="S26" i="22" s="1"/>
  <c r="F10" i="24"/>
  <c r="R16" i="22"/>
  <c r="S16" i="22" s="1"/>
  <c r="L62" i="22"/>
  <c r="O70" i="23"/>
  <c r="P70" i="23" s="1"/>
  <c r="O57" i="23"/>
  <c r="P57" i="23" s="1"/>
  <c r="D29" i="24"/>
  <c r="E50" i="22"/>
  <c r="E29" i="24" s="1"/>
  <c r="O50" i="22"/>
  <c r="P50" i="22" s="1"/>
  <c r="O86" i="22"/>
  <c r="P86" i="22" s="1"/>
  <c r="O73" i="22"/>
  <c r="P73" i="22" s="1"/>
  <c r="B14" i="36"/>
  <c r="B88" i="2"/>
  <c r="G86" i="2"/>
  <c r="B54" i="24"/>
  <c r="L42" i="23"/>
  <c r="M42" i="23" s="1"/>
  <c r="L26" i="23"/>
  <c r="M26" i="23" s="1"/>
  <c r="B27" i="24"/>
  <c r="L48" i="22"/>
  <c r="M48" i="22" s="1"/>
  <c r="L28" i="22"/>
  <c r="M28" i="22" s="1"/>
  <c r="J49" i="24"/>
  <c r="G34" i="56"/>
  <c r="H44" i="24"/>
  <c r="H28" i="24"/>
  <c r="I49" i="22"/>
  <c r="I28" i="24" s="1"/>
  <c r="H7" i="24"/>
  <c r="I13" i="22"/>
  <c r="I7" i="24" s="1"/>
  <c r="R68" i="22"/>
  <c r="S68" i="22" s="1"/>
  <c r="R27" i="23"/>
  <c r="S27" i="23" s="1"/>
  <c r="R101" i="22"/>
  <c r="S101" i="22" s="1"/>
  <c r="R89" i="22"/>
  <c r="S89" i="22" s="1"/>
  <c r="R78" i="22"/>
  <c r="S78" i="22" s="1"/>
  <c r="L23" i="22"/>
  <c r="M23" i="22" s="1"/>
  <c r="B68" i="70"/>
  <c r="B69" i="70" s="1"/>
  <c r="B86" i="70" s="1"/>
  <c r="C62" i="70"/>
  <c r="D49" i="24"/>
  <c r="O37" i="23"/>
  <c r="P37" i="23" s="1"/>
  <c r="D42" i="24"/>
  <c r="O21" i="23"/>
  <c r="P21" i="23" s="1"/>
  <c r="D34" i="24"/>
  <c r="D28" i="23"/>
  <c r="E17" i="23" s="1"/>
  <c r="E38" i="24" s="1"/>
  <c r="O13" i="23"/>
  <c r="P13" i="23" s="1"/>
  <c r="O95" i="22"/>
  <c r="P95" i="22" s="1"/>
  <c r="O82" i="22"/>
  <c r="P82" i="22" s="1"/>
  <c r="O74" i="22"/>
  <c r="P74" i="22" s="1"/>
  <c r="D7" i="24"/>
  <c r="O13" i="22"/>
  <c r="P13" i="22" s="1"/>
  <c r="J4" i="24"/>
  <c r="J35" i="22"/>
  <c r="G49" i="3"/>
  <c r="L73" i="23"/>
  <c r="M73" i="23" s="1"/>
  <c r="B44" i="24"/>
  <c r="L23" i="23"/>
  <c r="M23" i="23" s="1"/>
  <c r="B34" i="24"/>
  <c r="B28" i="23"/>
  <c r="C23" i="23" s="1"/>
  <c r="C44" i="24" s="1"/>
  <c r="L13" i="23"/>
  <c r="M13" i="23" s="1"/>
  <c r="B22" i="24"/>
  <c r="L43" i="22"/>
  <c r="M43" i="22" s="1"/>
  <c r="E17" i="19"/>
  <c r="K75" i="92"/>
  <c r="M68" i="92"/>
  <c r="U38" i="18"/>
  <c r="AE11" i="18"/>
  <c r="F16" i="24"/>
  <c r="R22" i="22"/>
  <c r="S22" i="22" s="1"/>
  <c r="D25" i="24"/>
  <c r="O46" i="22"/>
  <c r="P46" i="22" s="1"/>
  <c r="E46" i="22"/>
  <c r="E25" i="24" s="1"/>
  <c r="L67" i="22"/>
  <c r="M67" i="22" s="1"/>
  <c r="L85" i="22"/>
  <c r="M85" i="22" s="1"/>
  <c r="L12" i="91"/>
  <c r="L13" i="91"/>
  <c r="L14" i="91"/>
  <c r="L7" i="91"/>
  <c r="L9" i="91"/>
  <c r="L11" i="91"/>
  <c r="B4" i="32"/>
  <c r="B18" i="18"/>
  <c r="L18" i="18" s="1"/>
  <c r="L3" i="18"/>
  <c r="V3" i="18" s="1"/>
  <c r="AF3" i="18" s="1"/>
  <c r="J23" i="24"/>
  <c r="H19" i="24"/>
  <c r="AG13" i="18"/>
  <c r="J13" i="91"/>
  <c r="L71" i="92"/>
  <c r="M71" i="92"/>
  <c r="N71" i="92"/>
  <c r="Y38" i="18"/>
  <c r="Z38" i="18" s="1"/>
  <c r="AH11" i="18"/>
  <c r="AA11" i="18"/>
  <c r="K70" i="92"/>
  <c r="M62" i="92"/>
  <c r="AH32" i="92"/>
  <c r="AG12" i="92"/>
  <c r="AF13" i="18"/>
  <c r="C66" i="92"/>
  <c r="A74" i="92"/>
  <c r="E24" i="92"/>
  <c r="K45" i="18"/>
  <c r="M37" i="18"/>
  <c r="AJ32" i="92"/>
  <c r="S9" i="92"/>
  <c r="Q10" i="18"/>
  <c r="Q5" i="18"/>
  <c r="O40" i="18"/>
  <c r="P40" i="18" s="1"/>
  <c r="Q6" i="18"/>
  <c r="O69" i="92"/>
  <c r="P69" i="92" s="1"/>
  <c r="Q13" i="92"/>
  <c r="Q27" i="92"/>
  <c r="Q10" i="92"/>
  <c r="X15" i="18"/>
  <c r="Y11" i="18" s="1"/>
  <c r="AI9" i="18"/>
  <c r="O13" i="18"/>
  <c r="F4" i="32"/>
  <c r="F18" i="18"/>
  <c r="P18" i="18" s="1"/>
  <c r="P3" i="18"/>
  <c r="Z3" i="18" s="1"/>
  <c r="AH3" i="18" s="1"/>
  <c r="J54" i="24"/>
  <c r="K28" i="22"/>
  <c r="H10" i="24"/>
  <c r="I16" i="22"/>
  <c r="I10" i="24" s="1"/>
  <c r="D33" i="23"/>
  <c r="O11" i="23"/>
  <c r="H14" i="36"/>
  <c r="E88" i="2"/>
  <c r="H27" i="24"/>
  <c r="R74" i="23"/>
  <c r="S74" i="23" s="1"/>
  <c r="R63" i="23"/>
  <c r="S63" i="23" s="1"/>
  <c r="R56" i="22"/>
  <c r="S56" i="22" s="1"/>
  <c r="F23" i="24"/>
  <c r="R44" i="22"/>
  <c r="S44" i="22" s="1"/>
  <c r="G44" i="22"/>
  <c r="G23" i="24" s="1"/>
  <c r="R79" i="22"/>
  <c r="S79" i="22" s="1"/>
  <c r="R69" i="22"/>
  <c r="S69" i="22" s="1"/>
  <c r="L49" i="23"/>
  <c r="D67" i="23"/>
  <c r="D3" i="23"/>
  <c r="C74" i="2"/>
  <c r="D37" i="24"/>
  <c r="O16" i="23"/>
  <c r="P16" i="23" s="1"/>
  <c r="O98" i="22"/>
  <c r="P98" i="22" s="1"/>
  <c r="O38" i="22"/>
  <c r="P38" i="22" s="1"/>
  <c r="D12" i="24"/>
  <c r="O18" i="22"/>
  <c r="P18" i="22" s="1"/>
  <c r="J7" i="20"/>
  <c r="J12" i="20" s="1"/>
  <c r="K8" i="20" s="1"/>
  <c r="F22" i="13"/>
  <c r="F7" i="19" s="1"/>
  <c r="J15" i="24"/>
  <c r="K21" i="22"/>
  <c r="K15" i="24" s="1"/>
  <c r="L76" i="23"/>
  <c r="M76" i="23" s="1"/>
  <c r="L65" i="23"/>
  <c r="M65" i="23" s="1"/>
  <c r="B35" i="24"/>
  <c r="L14" i="23"/>
  <c r="M14" i="23" s="1"/>
  <c r="B25" i="24"/>
  <c r="L46" i="22"/>
  <c r="M46" i="22" s="1"/>
  <c r="L81" i="22"/>
  <c r="M81" i="22" s="1"/>
  <c r="B10" i="24"/>
  <c r="L16" i="22"/>
  <c r="M16" i="22" s="1"/>
  <c r="J26" i="24"/>
  <c r="J20" i="24"/>
  <c r="J42" i="24"/>
  <c r="H49" i="24"/>
  <c r="H14" i="20"/>
  <c r="H26" i="24"/>
  <c r="H15" i="24"/>
  <c r="I21" i="22"/>
  <c r="I15" i="24" s="1"/>
  <c r="F9" i="24"/>
  <c r="R15" i="22"/>
  <c r="S15" i="22" s="1"/>
  <c r="B27" i="56"/>
  <c r="G27" i="56" s="1"/>
  <c r="G20" i="56"/>
  <c r="F55" i="24"/>
  <c r="R43" i="23"/>
  <c r="S43" i="23" s="1"/>
  <c r="R66" i="23"/>
  <c r="S66" i="23" s="1"/>
  <c r="F38" i="24"/>
  <c r="R17" i="23"/>
  <c r="S17" i="23" s="1"/>
  <c r="F32" i="24"/>
  <c r="R53" i="22"/>
  <c r="S53" i="22" s="1"/>
  <c r="F20" i="24"/>
  <c r="R41" i="22"/>
  <c r="S41" i="22" s="1"/>
  <c r="R74" i="22"/>
  <c r="S74" i="22" s="1"/>
  <c r="B9" i="24"/>
  <c r="L15" i="22"/>
  <c r="M15" i="22" s="1"/>
  <c r="O71" i="23"/>
  <c r="P71" i="23" s="1"/>
  <c r="O60" i="23"/>
  <c r="P60" i="23" s="1"/>
  <c r="O52" i="23"/>
  <c r="P52" i="23" s="1"/>
  <c r="D24" i="24"/>
  <c r="O45" i="22"/>
  <c r="P45" i="22" s="1"/>
  <c r="O27" i="22"/>
  <c r="P27" i="22" s="1"/>
  <c r="D13" i="24"/>
  <c r="O19" i="22"/>
  <c r="P19" i="22" s="1"/>
  <c r="O66" i="22"/>
  <c r="P66" i="22" s="1"/>
  <c r="B49" i="24"/>
  <c r="C37" i="23"/>
  <c r="C49" i="24" s="1"/>
  <c r="L37" i="23"/>
  <c r="M37" i="23" s="1"/>
  <c r="L62" i="23"/>
  <c r="M62" i="23" s="1"/>
  <c r="L52" i="23"/>
  <c r="M52" i="23" s="1"/>
  <c r="B18" i="24"/>
  <c r="L39" i="22"/>
  <c r="M39" i="22" s="1"/>
  <c r="B7" i="64"/>
  <c r="B50" i="24"/>
  <c r="L38" i="23"/>
  <c r="M38" i="23" s="1"/>
  <c r="F44" i="24"/>
  <c r="R23" i="23"/>
  <c r="S23" i="23" s="1"/>
  <c r="L27" i="22"/>
  <c r="M27" i="22" s="1"/>
  <c r="AI6" i="18"/>
  <c r="B13" i="32"/>
  <c r="C8" i="18"/>
  <c r="C8" i="32" s="1"/>
  <c r="C5" i="18"/>
  <c r="C13" i="18"/>
  <c r="C11" i="18"/>
  <c r="C11" i="32" s="1"/>
  <c r="O25" i="22"/>
  <c r="P25" i="22" s="1"/>
  <c r="U66" i="92"/>
  <c r="AE10" i="92"/>
  <c r="R6" i="91"/>
  <c r="R7" i="91"/>
  <c r="R8" i="91"/>
  <c r="R13" i="91"/>
  <c r="R5" i="91"/>
  <c r="AF10" i="18"/>
  <c r="B69" i="92"/>
  <c r="E21" i="92"/>
  <c r="E18" i="92"/>
  <c r="E11" i="92"/>
  <c r="E8" i="92"/>
  <c r="E20" i="92"/>
  <c r="E7" i="92"/>
  <c r="E22" i="92"/>
  <c r="E10" i="92"/>
  <c r="E9" i="92"/>
  <c r="E26" i="92"/>
  <c r="E12" i="92"/>
  <c r="E14" i="92"/>
  <c r="V64" i="92"/>
  <c r="AG8" i="92"/>
  <c r="M8" i="92"/>
  <c r="O9" i="18"/>
  <c r="E15" i="92"/>
  <c r="M11" i="92"/>
  <c r="AI11" i="18"/>
  <c r="AC11" i="18"/>
  <c r="F13" i="32"/>
  <c r="G13" i="18"/>
  <c r="G6" i="18"/>
  <c r="G7" i="32" s="1"/>
  <c r="G9" i="18"/>
  <c r="G9" i="32" s="1"/>
  <c r="E40" i="18"/>
  <c r="F40" i="18" s="1"/>
  <c r="G14" i="18"/>
  <c r="G12" i="32" s="1"/>
  <c r="G12" i="18"/>
  <c r="E17" i="92"/>
  <c r="U33" i="18"/>
  <c r="AE5" i="18"/>
  <c r="E25" i="92"/>
  <c r="Q13" i="18"/>
  <c r="S9" i="18"/>
  <c r="E74" i="54"/>
  <c r="E89" i="54" s="1"/>
  <c r="B39" i="3"/>
  <c r="G36" i="3"/>
  <c r="J35" i="24"/>
  <c r="J25" i="24"/>
  <c r="J10" i="24"/>
  <c r="K16" i="22"/>
  <c r="K10" i="24" s="1"/>
  <c r="D12" i="37"/>
  <c r="D16" i="19"/>
  <c r="I16" i="19" s="1"/>
  <c r="H41" i="24"/>
  <c r="F50" i="24"/>
  <c r="R38" i="23"/>
  <c r="S38" i="23" s="1"/>
  <c r="F43" i="24"/>
  <c r="R22" i="23"/>
  <c r="S22" i="23" s="1"/>
  <c r="R104" i="22"/>
  <c r="S104" i="22" s="1"/>
  <c r="R92" i="22"/>
  <c r="S92" i="22" s="1"/>
  <c r="R24" i="22"/>
  <c r="S24" i="22" s="1"/>
  <c r="F8" i="24"/>
  <c r="R14" i="22"/>
  <c r="S14" i="22" s="1"/>
  <c r="J51" i="24"/>
  <c r="J9" i="24"/>
  <c r="K15" i="22"/>
  <c r="K9" i="24" s="1"/>
  <c r="D78" i="23"/>
  <c r="D4" i="23"/>
  <c r="D6" i="20"/>
  <c r="D27" i="41"/>
  <c r="O55" i="23"/>
  <c r="P55" i="23" s="1"/>
  <c r="D27" i="24"/>
  <c r="E48" i="22"/>
  <c r="E27" i="24" s="1"/>
  <c r="O48" i="22"/>
  <c r="P48" i="22" s="1"/>
  <c r="D83" i="22"/>
  <c r="D30" i="22"/>
  <c r="E23" i="22" s="1"/>
  <c r="C18" i="19"/>
  <c r="D3" i="22"/>
  <c r="C17" i="19"/>
  <c r="O71" i="22"/>
  <c r="P71" i="22" s="1"/>
  <c r="L74" i="23"/>
  <c r="M74" i="23" s="1"/>
  <c r="B45" i="24"/>
  <c r="C24" i="23"/>
  <c r="C45" i="24" s="1"/>
  <c r="L24" i="23"/>
  <c r="M24" i="23" s="1"/>
  <c r="L53" i="23"/>
  <c r="M53" i="23" s="1"/>
  <c r="L94" i="22"/>
  <c r="M94" i="22" s="1"/>
  <c r="L26" i="22"/>
  <c r="M26" i="22" s="1"/>
  <c r="L69" i="22"/>
  <c r="M69" i="22" s="1"/>
  <c r="J46" i="24"/>
  <c r="B26" i="24"/>
  <c r="L47" i="22"/>
  <c r="M47" i="22" s="1"/>
  <c r="R77" i="23"/>
  <c r="S77" i="23" s="1"/>
  <c r="F46" i="24"/>
  <c r="R25" i="23"/>
  <c r="S25" i="23" s="1"/>
  <c r="R56" i="23"/>
  <c r="S56" i="23" s="1"/>
  <c r="F30" i="24"/>
  <c r="G51" i="22"/>
  <c r="G30" i="24" s="1"/>
  <c r="R51" i="22"/>
  <c r="S51" i="22" s="1"/>
  <c r="F18" i="24"/>
  <c r="G39" i="22"/>
  <c r="G18" i="24" s="1"/>
  <c r="R39" i="22"/>
  <c r="S39" i="22" s="1"/>
  <c r="F15" i="24"/>
  <c r="G21" i="22"/>
  <c r="G15" i="24" s="1"/>
  <c r="R21" i="22"/>
  <c r="S21" i="22" s="1"/>
  <c r="L68" i="22"/>
  <c r="M68" i="22" s="1"/>
  <c r="G49" i="55"/>
  <c r="D7" i="20"/>
  <c r="D28" i="41"/>
  <c r="C22" i="13"/>
  <c r="C7" i="19" s="1"/>
  <c r="D105" i="22"/>
  <c r="D4" i="22"/>
  <c r="C45" i="2"/>
  <c r="O93" i="22"/>
  <c r="P93" i="22" s="1"/>
  <c r="O80" i="22"/>
  <c r="P80" i="22" s="1"/>
  <c r="O72" i="22"/>
  <c r="P72" i="22" s="1"/>
  <c r="B24" i="24"/>
  <c r="L45" i="22"/>
  <c r="M45" i="22" s="1"/>
  <c r="L71" i="23"/>
  <c r="M71" i="23" s="1"/>
  <c r="B42" i="24"/>
  <c r="L21" i="23"/>
  <c r="M21" i="23" s="1"/>
  <c r="B4" i="38"/>
  <c r="C4" i="38" s="1"/>
  <c r="D4" i="38" s="1"/>
  <c r="B4" i="22"/>
  <c r="B105" i="22"/>
  <c r="G44" i="2"/>
  <c r="B45" i="2"/>
  <c r="L87" i="22"/>
  <c r="M87" i="22" s="1"/>
  <c r="B9" i="37"/>
  <c r="B15" i="19"/>
  <c r="G27" i="4"/>
  <c r="H17" i="24"/>
  <c r="H48" i="24"/>
  <c r="O69" i="23"/>
  <c r="P69" i="23" s="1"/>
  <c r="B7" i="20"/>
  <c r="B22" i="13"/>
  <c r="B7" i="19" s="1"/>
  <c r="AC10" i="92"/>
  <c r="AI10" i="92"/>
  <c r="AG8" i="18"/>
  <c r="Y8" i="18"/>
  <c r="V35" i="18"/>
  <c r="D4" i="32"/>
  <c r="N3" i="18"/>
  <c r="X3" i="18" s="1"/>
  <c r="AG3" i="18" s="1"/>
  <c r="D18" i="18"/>
  <c r="N18" i="18" s="1"/>
  <c r="R59" i="23"/>
  <c r="S59" i="23" s="1"/>
  <c r="D52" i="24"/>
  <c r="O40" i="23"/>
  <c r="P40" i="23" s="1"/>
  <c r="D10" i="24"/>
  <c r="O16" i="22"/>
  <c r="P16" i="22" s="1"/>
  <c r="B21" i="24"/>
  <c r="L42" i="22"/>
  <c r="M42" i="22" s="1"/>
  <c r="H22" i="24"/>
  <c r="O101" i="22"/>
  <c r="P101" i="22" s="1"/>
  <c r="L5" i="91"/>
  <c r="N14" i="91"/>
  <c r="N4" i="91"/>
  <c r="N15" i="91" s="1"/>
  <c r="N9" i="91"/>
  <c r="N11" i="91"/>
  <c r="N13" i="91"/>
  <c r="D72" i="92"/>
  <c r="C72" i="92"/>
  <c r="B72" i="92"/>
  <c r="Y66" i="92"/>
  <c r="Z66" i="92" s="1"/>
  <c r="AH10" i="92"/>
  <c r="P12" i="91"/>
  <c r="E69" i="92"/>
  <c r="F69" i="92" s="1"/>
  <c r="G13" i="92"/>
  <c r="G7" i="92"/>
  <c r="G12" i="92"/>
  <c r="G9" i="92"/>
  <c r="G5" i="92"/>
  <c r="G6" i="92"/>
  <c r="AH8" i="18"/>
  <c r="Y35" i="18"/>
  <c r="Z35" i="18" s="1"/>
  <c r="AG13" i="92"/>
  <c r="AG9" i="18"/>
  <c r="V36" i="18"/>
  <c r="V33" i="18"/>
  <c r="S10" i="18"/>
  <c r="E13" i="18"/>
  <c r="V67" i="92"/>
  <c r="W67" i="92" s="1"/>
  <c r="E19" i="92"/>
  <c r="E23" i="40"/>
  <c r="E26" i="40" s="1"/>
  <c r="J52" i="24"/>
  <c r="J45" i="24"/>
  <c r="K26" i="22"/>
  <c r="H39" i="24"/>
  <c r="H23" i="24"/>
  <c r="R72" i="23"/>
  <c r="S72" i="23" s="1"/>
  <c r="R61" i="23"/>
  <c r="S61" i="23" s="1"/>
  <c r="R54" i="22"/>
  <c r="S54" i="22" s="1"/>
  <c r="F21" i="24"/>
  <c r="G42" i="22"/>
  <c r="G21" i="24" s="1"/>
  <c r="R42" i="22"/>
  <c r="S42" i="22" s="1"/>
  <c r="R77" i="22"/>
  <c r="S77" i="22" s="1"/>
  <c r="R67" i="22"/>
  <c r="S67" i="22" s="1"/>
  <c r="D14" i="36"/>
  <c r="C88" i="2"/>
  <c r="O76" i="23"/>
  <c r="P76" i="23" s="1"/>
  <c r="O26" i="23"/>
  <c r="P26" i="23" s="1"/>
  <c r="O96" i="22"/>
  <c r="P96" i="22" s="1"/>
  <c r="O28" i="22"/>
  <c r="P28" i="22" s="1"/>
  <c r="J47" i="24"/>
  <c r="J44" i="23"/>
  <c r="J56" i="24" s="1"/>
  <c r="B52" i="24"/>
  <c r="L40" i="23"/>
  <c r="M40" i="23" s="1"/>
  <c r="L63" i="23"/>
  <c r="M63" i="23" s="1"/>
  <c r="L56" i="22"/>
  <c r="M56" i="22" s="1"/>
  <c r="B23" i="24"/>
  <c r="L44" i="22"/>
  <c r="M44" i="22" s="1"/>
  <c r="L79" i="22"/>
  <c r="M79" i="22" s="1"/>
  <c r="B8" i="24"/>
  <c r="L14" i="22"/>
  <c r="M14" i="22" s="1"/>
  <c r="J18" i="24"/>
  <c r="J32" i="24"/>
  <c r="H7" i="20"/>
  <c r="E22" i="13"/>
  <c r="E7" i="19" s="1"/>
  <c r="H42" i="24"/>
  <c r="H34" i="24"/>
  <c r="H28" i="23"/>
  <c r="I27" i="23" s="1"/>
  <c r="H24" i="24"/>
  <c r="H13" i="24"/>
  <c r="I19" i="22"/>
  <c r="I13" i="24" s="1"/>
  <c r="L95" i="22"/>
  <c r="M95" i="22" s="1"/>
  <c r="G7" i="56"/>
  <c r="B13" i="56"/>
  <c r="F53" i="24"/>
  <c r="G41" i="23"/>
  <c r="G53" i="24" s="1"/>
  <c r="R41" i="23"/>
  <c r="S41" i="23" s="1"/>
  <c r="R64" i="23"/>
  <c r="S64" i="23" s="1"/>
  <c r="F36" i="24"/>
  <c r="R15" i="23"/>
  <c r="S15" i="23" s="1"/>
  <c r="R99" i="22"/>
  <c r="S99" i="22" s="1"/>
  <c r="R87" i="22"/>
  <c r="S87" i="22" s="1"/>
  <c r="F13" i="24"/>
  <c r="R19" i="22"/>
  <c r="S19" i="22" s="1"/>
  <c r="G48" i="55"/>
  <c r="O7" i="36"/>
  <c r="P7" i="36" s="1"/>
  <c r="D47" i="24"/>
  <c r="O35" i="23"/>
  <c r="P35" i="23" s="1"/>
  <c r="D44" i="23"/>
  <c r="E36" i="23" s="1"/>
  <c r="E48" i="24" s="1"/>
  <c r="O55" i="22"/>
  <c r="P55" i="22" s="1"/>
  <c r="D22" i="24"/>
  <c r="E43" i="22"/>
  <c r="E22" i="24" s="1"/>
  <c r="O43" i="22"/>
  <c r="P43" i="22" s="1"/>
  <c r="C10" i="43"/>
  <c r="C11" i="43" s="1"/>
  <c r="L93" i="22"/>
  <c r="M93" i="22" s="1"/>
  <c r="F6" i="37"/>
  <c r="L60" i="23"/>
  <c r="M60" i="23" s="1"/>
  <c r="L55" i="22"/>
  <c r="M55" i="22" s="1"/>
  <c r="L37" i="22"/>
  <c r="M37" i="22" s="1"/>
  <c r="B57" i="22"/>
  <c r="K75" i="93"/>
  <c r="J75" i="93"/>
  <c r="G45" i="54" l="1"/>
  <c r="K24" i="22"/>
  <c r="I45" i="22"/>
  <c r="I24" i="24" s="1"/>
  <c r="C42" i="23"/>
  <c r="C54" i="24" s="1"/>
  <c r="K19" i="22"/>
  <c r="K13" i="24" s="1"/>
  <c r="I43" i="22"/>
  <c r="I22" i="24" s="1"/>
  <c r="K27" i="22"/>
  <c r="Y9" i="18"/>
  <c r="D2" i="13"/>
  <c r="D4" i="13" s="1"/>
  <c r="W10" i="18"/>
  <c r="E38" i="22"/>
  <c r="E41" i="22"/>
  <c r="E20" i="24" s="1"/>
  <c r="C40" i="23"/>
  <c r="C52" i="24" s="1"/>
  <c r="G38" i="23"/>
  <c r="G50" i="24" s="1"/>
  <c r="AC6" i="18"/>
  <c r="Y12" i="92"/>
  <c r="AA13" i="18"/>
  <c r="E40" i="22"/>
  <c r="E19" i="24" s="1"/>
  <c r="E91" i="54"/>
  <c r="K29" i="22"/>
  <c r="D41" i="3"/>
  <c r="Y8" i="92"/>
  <c r="W13" i="18"/>
  <c r="F42" i="4"/>
  <c r="Y13" i="92"/>
  <c r="F2" i="16"/>
  <c r="F5" i="16" s="1"/>
  <c r="C36" i="23"/>
  <c r="C48" i="24" s="1"/>
  <c r="C43" i="23"/>
  <c r="C55" i="24" s="1"/>
  <c r="F42" i="56"/>
  <c r="F44" i="56" s="1"/>
  <c r="C39" i="23"/>
  <c r="C51" i="24" s="1"/>
  <c r="AA10" i="92"/>
  <c r="J10" i="37"/>
  <c r="K10" i="37" s="1"/>
  <c r="AA8" i="18"/>
  <c r="C38" i="23"/>
  <c r="C50" i="24" s="1"/>
  <c r="E45" i="22"/>
  <c r="E24" i="24" s="1"/>
  <c r="K25" i="23"/>
  <c r="K46" i="24" s="1"/>
  <c r="K44" i="22"/>
  <c r="K23" i="24" s="1"/>
  <c r="G26" i="22"/>
  <c r="K24" i="23"/>
  <c r="K45" i="24" s="1"/>
  <c r="K56" i="22"/>
  <c r="K27" i="23"/>
  <c r="K55" i="22"/>
  <c r="G29" i="41"/>
  <c r="K53" i="22"/>
  <c r="K32" i="24" s="1"/>
  <c r="G14" i="22"/>
  <c r="G8" i="24" s="1"/>
  <c r="K41" i="22"/>
  <c r="K20" i="24" s="1"/>
  <c r="G19" i="22"/>
  <c r="G13" i="24" s="1"/>
  <c r="K39" i="22"/>
  <c r="K18" i="24" s="1"/>
  <c r="G22" i="22"/>
  <c r="G16" i="24" s="1"/>
  <c r="G25" i="22"/>
  <c r="K48" i="22"/>
  <c r="K27" i="24" s="1"/>
  <c r="G24" i="22"/>
  <c r="I13" i="23"/>
  <c r="I36" i="23"/>
  <c r="I48" i="24" s="1"/>
  <c r="C20" i="22"/>
  <c r="C14" i="24" s="1"/>
  <c r="C26" i="22"/>
  <c r="I40" i="23"/>
  <c r="I52" i="24" s="1"/>
  <c r="C24" i="22"/>
  <c r="I37" i="23"/>
  <c r="I49" i="24" s="1"/>
  <c r="Z19" i="18"/>
  <c r="O41" i="3"/>
  <c r="C14" i="22"/>
  <c r="C8" i="24" s="1"/>
  <c r="C27" i="22"/>
  <c r="C15" i="22"/>
  <c r="C9" i="24" s="1"/>
  <c r="C23" i="22"/>
  <c r="C25" i="22"/>
  <c r="C18" i="22"/>
  <c r="C12" i="24" s="1"/>
  <c r="C13" i="22"/>
  <c r="C7" i="24" s="1"/>
  <c r="C21" i="22"/>
  <c r="C15" i="24" s="1"/>
  <c r="C16" i="22"/>
  <c r="C10" i="24" s="1"/>
  <c r="C28" i="22"/>
  <c r="I39" i="23"/>
  <c r="I51" i="24" s="1"/>
  <c r="AA5" i="18"/>
  <c r="AC8" i="92"/>
  <c r="M69" i="92"/>
  <c r="L76" i="92" s="1"/>
  <c r="E35" i="23"/>
  <c r="E47" i="24" s="1"/>
  <c r="W6" i="92"/>
  <c r="C13" i="23"/>
  <c r="I42" i="23"/>
  <c r="I54" i="24" s="1"/>
  <c r="G53" i="22"/>
  <c r="G32" i="24" s="1"/>
  <c r="G15" i="22"/>
  <c r="G9" i="24" s="1"/>
  <c r="K47" i="22"/>
  <c r="K26" i="24" s="1"/>
  <c r="AC9" i="18"/>
  <c r="I38" i="23"/>
  <c r="I50" i="24" s="1"/>
  <c r="E47" i="22"/>
  <c r="E26" i="24" s="1"/>
  <c r="G40" i="56"/>
  <c r="J15" i="19"/>
  <c r="E55" i="22"/>
  <c r="G54" i="22"/>
  <c r="E52" i="22"/>
  <c r="E31" i="24" s="1"/>
  <c r="I43" i="23"/>
  <c r="I55" i="24" s="1"/>
  <c r="K46" i="22"/>
  <c r="K25" i="24" s="1"/>
  <c r="G43" i="23"/>
  <c r="G55" i="24" s="1"/>
  <c r="K25" i="22"/>
  <c r="K14" i="23"/>
  <c r="K35" i="24" s="1"/>
  <c r="K21" i="23"/>
  <c r="K42" i="24" s="1"/>
  <c r="G40" i="23"/>
  <c r="G52" i="24" s="1"/>
  <c r="C32" i="19"/>
  <c r="J17" i="19"/>
  <c r="K16" i="23"/>
  <c r="K37" i="24" s="1"/>
  <c r="C33" i="19"/>
  <c r="J18" i="19"/>
  <c r="G16" i="22"/>
  <c r="G10" i="24" s="1"/>
  <c r="G55" i="22"/>
  <c r="AA27" i="92"/>
  <c r="K20" i="22"/>
  <c r="K14" i="24" s="1"/>
  <c r="K23" i="22"/>
  <c r="K12" i="22"/>
  <c r="K6" i="24" s="1"/>
  <c r="AC6" i="92"/>
  <c r="C19" i="22"/>
  <c r="C13" i="24" s="1"/>
  <c r="K17" i="22"/>
  <c r="K11" i="24" s="1"/>
  <c r="C21" i="23"/>
  <c r="C42" i="24" s="1"/>
  <c r="G41" i="22"/>
  <c r="G20" i="24" s="1"/>
  <c r="C14" i="23"/>
  <c r="C35" i="24" s="1"/>
  <c r="G56" i="22"/>
  <c r="K26" i="23"/>
  <c r="AA11" i="92"/>
  <c r="K14" i="22"/>
  <c r="K8" i="24" s="1"/>
  <c r="G36" i="23"/>
  <c r="G48" i="24" s="1"/>
  <c r="G28" i="22"/>
  <c r="K13" i="22"/>
  <c r="K7" i="24" s="1"/>
  <c r="K18" i="22"/>
  <c r="K12" i="24" s="1"/>
  <c r="K23" i="23"/>
  <c r="K44" i="24" s="1"/>
  <c r="AA7" i="18"/>
  <c r="C29" i="22"/>
  <c r="E16" i="23"/>
  <c r="E37" i="24" s="1"/>
  <c r="I38" i="22"/>
  <c r="B1" i="24"/>
  <c r="G37" i="22"/>
  <c r="I21" i="23"/>
  <c r="I42" i="24" s="1"/>
  <c r="E26" i="23"/>
  <c r="I42" i="22"/>
  <c r="I21" i="24" s="1"/>
  <c r="E23" i="23"/>
  <c r="E44" i="24" s="1"/>
  <c r="K50" i="22"/>
  <c r="K29" i="24" s="1"/>
  <c r="I44" i="22"/>
  <c r="I23" i="24" s="1"/>
  <c r="E13" i="23"/>
  <c r="E34" i="24" s="1"/>
  <c r="AC27" i="92"/>
  <c r="K41" i="23"/>
  <c r="K53" i="24" s="1"/>
  <c r="I48" i="22"/>
  <c r="I27" i="24" s="1"/>
  <c r="I41" i="23"/>
  <c r="I53" i="24" s="1"/>
  <c r="E25" i="23"/>
  <c r="E46" i="24" s="1"/>
  <c r="W10" i="92"/>
  <c r="I35" i="23"/>
  <c r="AC11" i="92"/>
  <c r="I18" i="23"/>
  <c r="I39" i="24" s="1"/>
  <c r="I47" i="22"/>
  <c r="I26" i="24" s="1"/>
  <c r="I40" i="22"/>
  <c r="I19" i="24" s="1"/>
  <c r="E21" i="23"/>
  <c r="E42" i="24" s="1"/>
  <c r="L33" i="23"/>
  <c r="R28" i="23"/>
  <c r="S28" i="23" s="1"/>
  <c r="M9" i="37"/>
  <c r="N9" i="37" s="1"/>
  <c r="AC5" i="92"/>
  <c r="AC28" i="92" s="1"/>
  <c r="B1" i="32"/>
  <c r="K51" i="22"/>
  <c r="K30" i="24" s="1"/>
  <c r="E18" i="23"/>
  <c r="E39" i="24" s="1"/>
  <c r="K52" i="22"/>
  <c r="K31" i="24" s="1"/>
  <c r="AC5" i="18"/>
  <c r="Q28" i="92"/>
  <c r="I37" i="22"/>
  <c r="K45" i="22"/>
  <c r="K24" i="24" s="1"/>
  <c r="L28" i="23"/>
  <c r="M28" i="23" s="1"/>
  <c r="I52" i="22"/>
  <c r="I31" i="24" s="1"/>
  <c r="K37" i="22"/>
  <c r="O35" i="22"/>
  <c r="G27" i="22"/>
  <c r="G47" i="24"/>
  <c r="B33" i="24"/>
  <c r="L57" i="22"/>
  <c r="M57" i="22" s="1"/>
  <c r="G28" i="92"/>
  <c r="B15" i="20"/>
  <c r="D5" i="41"/>
  <c r="O83" i="22"/>
  <c r="P83" i="22" s="1"/>
  <c r="K39" i="23"/>
  <c r="K51" i="24" s="1"/>
  <c r="G22" i="23"/>
  <c r="G43" i="24" s="1"/>
  <c r="C46" i="22"/>
  <c r="C25" i="24" s="1"/>
  <c r="J15" i="20"/>
  <c r="K7" i="20"/>
  <c r="D29" i="23"/>
  <c r="O33" i="23"/>
  <c r="L70" i="92"/>
  <c r="N70" i="92"/>
  <c r="M70" i="92"/>
  <c r="L14" i="36"/>
  <c r="M14" i="36" s="1"/>
  <c r="G24" i="23"/>
  <c r="G45" i="24" s="1"/>
  <c r="L83" i="22"/>
  <c r="M83" i="22" s="1"/>
  <c r="K38" i="23"/>
  <c r="K50" i="24" s="1"/>
  <c r="E42" i="23"/>
  <c r="E54" i="24" s="1"/>
  <c r="E39" i="23"/>
  <c r="E51" i="24" s="1"/>
  <c r="E6" i="32"/>
  <c r="E15" i="18"/>
  <c r="E13" i="32" s="1"/>
  <c r="I51" i="22"/>
  <c r="I30" i="24" s="1"/>
  <c r="F45" i="23"/>
  <c r="D43" i="18"/>
  <c r="M8" i="32" s="1"/>
  <c r="B43" i="18"/>
  <c r="K8" i="32" s="1"/>
  <c r="C43" i="18"/>
  <c r="L8" i="32" s="1"/>
  <c r="E42" i="22"/>
  <c r="E21" i="24" s="1"/>
  <c r="G18" i="22"/>
  <c r="G12" i="24" s="1"/>
  <c r="R67" i="23"/>
  <c r="S67" i="23" s="1"/>
  <c r="I41" i="22"/>
  <c r="I20" i="24" s="1"/>
  <c r="I14" i="23"/>
  <c r="I35" i="24" s="1"/>
  <c r="W15" i="18"/>
  <c r="W5" i="18"/>
  <c r="W8" i="18"/>
  <c r="AF15" i="18"/>
  <c r="W11" i="18"/>
  <c r="W6" i="18"/>
  <c r="W12" i="18"/>
  <c r="W9" i="18"/>
  <c r="W7" i="18"/>
  <c r="E44" i="22"/>
  <c r="E23" i="24" s="1"/>
  <c r="G20" i="22"/>
  <c r="G14" i="24" s="1"/>
  <c r="K42" i="22"/>
  <c r="K21" i="24" s="1"/>
  <c r="AH15" i="18"/>
  <c r="AA6" i="18"/>
  <c r="Y40" i="18"/>
  <c r="Z40" i="18" s="1"/>
  <c r="AA9" i="18"/>
  <c r="AA12" i="18"/>
  <c r="AA14" i="18"/>
  <c r="G32" i="41"/>
  <c r="B10" i="19"/>
  <c r="G39" i="3"/>
  <c r="B2" i="13"/>
  <c r="B4" i="13" s="1"/>
  <c r="B41" i="3"/>
  <c r="M41" i="3" s="1"/>
  <c r="C34" i="24"/>
  <c r="D16" i="36"/>
  <c r="E14" i="36" s="1"/>
  <c r="C8" i="19"/>
  <c r="C20" i="19" s="1"/>
  <c r="L13" i="17"/>
  <c r="L16" i="17"/>
  <c r="L7" i="17"/>
  <c r="L9" i="17"/>
  <c r="L15" i="17"/>
  <c r="L4" i="17"/>
  <c r="L12" i="17"/>
  <c r="L3" i="17"/>
  <c r="L17" i="17"/>
  <c r="L11" i="17"/>
  <c r="L5" i="17"/>
  <c r="L14" i="17"/>
  <c r="L6" i="17"/>
  <c r="L8" i="17"/>
  <c r="L10" i="17"/>
  <c r="D106" i="22"/>
  <c r="E105" i="22" s="1"/>
  <c r="D5" i="22"/>
  <c r="E4" i="22" s="1"/>
  <c r="C4" i="19"/>
  <c r="H4" i="19" s="1"/>
  <c r="B13" i="94"/>
  <c r="C13" i="94" s="1"/>
  <c r="E12" i="94"/>
  <c r="D11" i="17"/>
  <c r="D14" i="17"/>
  <c r="D3" i="17"/>
  <c r="D17" i="17"/>
  <c r="D12" i="17"/>
  <c r="D5" i="17"/>
  <c r="D4" i="17"/>
  <c r="C39" i="19"/>
  <c r="D13" i="17"/>
  <c r="D16" i="17"/>
  <c r="D6" i="17"/>
  <c r="D15" i="17"/>
  <c r="D9" i="17"/>
  <c r="E11" i="94"/>
  <c r="D8" i="17"/>
  <c r="D7" i="17"/>
  <c r="D10" i="17"/>
  <c r="O67" i="23"/>
  <c r="P67" i="23" s="1"/>
  <c r="K6" i="20"/>
  <c r="G26" i="41"/>
  <c r="D33" i="41"/>
  <c r="B10" i="38"/>
  <c r="C3" i="38"/>
  <c r="C15" i="23"/>
  <c r="C36" i="24" s="1"/>
  <c r="E12" i="22"/>
  <c r="E6" i="24" s="1"/>
  <c r="F16" i="36"/>
  <c r="G14" i="36" s="1"/>
  <c r="D8" i="19"/>
  <c r="D20" i="19" s="1"/>
  <c r="Z32" i="92"/>
  <c r="F56" i="24"/>
  <c r="R44" i="23"/>
  <c r="S44" i="23" s="1"/>
  <c r="R78" i="23"/>
  <c r="S78" i="23" s="1"/>
  <c r="E41" i="23"/>
  <c r="E53" i="24" s="1"/>
  <c r="AF28" i="92"/>
  <c r="W28" i="92"/>
  <c r="W8" i="92"/>
  <c r="W13" i="92"/>
  <c r="W11" i="92"/>
  <c r="W12" i="92"/>
  <c r="W7" i="92"/>
  <c r="W27" i="92"/>
  <c r="W9" i="92"/>
  <c r="K22" i="23"/>
  <c r="K43" i="24" s="1"/>
  <c r="C17" i="23"/>
  <c r="C38" i="24" s="1"/>
  <c r="E17" i="22"/>
  <c r="E11" i="24" s="1"/>
  <c r="C12" i="37"/>
  <c r="G12" i="37" s="1"/>
  <c r="H12" i="37" s="1"/>
  <c r="C16" i="19"/>
  <c r="H16" i="19" s="1"/>
  <c r="J16" i="19" s="1"/>
  <c r="N43" i="18"/>
  <c r="M43" i="18"/>
  <c r="L43" i="18"/>
  <c r="K47" i="18"/>
  <c r="M40" i="18"/>
  <c r="G29" i="22"/>
  <c r="B17" i="24"/>
  <c r="B31" i="22"/>
  <c r="C30" i="22"/>
  <c r="C17" i="24" s="1"/>
  <c r="L30" i="22"/>
  <c r="M30" i="22" s="1"/>
  <c r="H106" i="22"/>
  <c r="I105" i="22" s="1"/>
  <c r="H5" i="22"/>
  <c r="I4" i="22" s="1"/>
  <c r="E4" i="19"/>
  <c r="G39" i="23"/>
  <c r="G51" i="24" s="1"/>
  <c r="C22" i="23"/>
  <c r="C43" i="24" s="1"/>
  <c r="C55" i="22"/>
  <c r="K35" i="23"/>
  <c r="O14" i="36"/>
  <c r="P14" i="36" s="1"/>
  <c r="U41" i="18"/>
  <c r="W33" i="18"/>
  <c r="C42" i="22"/>
  <c r="C21" i="24" s="1"/>
  <c r="D10" i="13"/>
  <c r="D8" i="13"/>
  <c r="O4" i="22"/>
  <c r="P4" i="22" s="1"/>
  <c r="C6" i="32"/>
  <c r="C15" i="18"/>
  <c r="C13" i="32" s="1"/>
  <c r="E18" i="22"/>
  <c r="E12" i="24" s="1"/>
  <c r="N45" i="18"/>
  <c r="M45" i="18"/>
  <c r="L45" i="18"/>
  <c r="I23" i="23"/>
  <c r="I44" i="24" s="1"/>
  <c r="J45" i="23"/>
  <c r="D14" i="20"/>
  <c r="D12" i="20"/>
  <c r="E7" i="20" s="1"/>
  <c r="F3" i="41"/>
  <c r="G3" i="41" s="1"/>
  <c r="R14" i="36"/>
  <c r="S14" i="36" s="1"/>
  <c r="Y69" i="92"/>
  <c r="Z69" i="92" s="1"/>
  <c r="AH28" i="92"/>
  <c r="AA8" i="92"/>
  <c r="AA12" i="92"/>
  <c r="AA13" i="92"/>
  <c r="AA9" i="92"/>
  <c r="AA7" i="92"/>
  <c r="F33" i="24"/>
  <c r="R57" i="22"/>
  <c r="S57" i="22" s="1"/>
  <c r="I17" i="23"/>
  <c r="I38" i="24" s="1"/>
  <c r="K13" i="23"/>
  <c r="R3" i="22"/>
  <c r="S3" i="22" s="1"/>
  <c r="L74" i="92"/>
  <c r="N74" i="92"/>
  <c r="M74" i="92"/>
  <c r="W71" i="92"/>
  <c r="V71" i="92"/>
  <c r="X71" i="92"/>
  <c r="C18" i="23"/>
  <c r="C39" i="24" s="1"/>
  <c r="J16" i="36"/>
  <c r="K14" i="36" s="1"/>
  <c r="F8" i="19"/>
  <c r="F20" i="19" s="1"/>
  <c r="C97" i="70"/>
  <c r="B99" i="70"/>
  <c r="B88" i="70" s="1"/>
  <c r="B90" i="70" s="1"/>
  <c r="G38" i="22"/>
  <c r="K54" i="22"/>
  <c r="D42" i="18"/>
  <c r="M7" i="32" s="1"/>
  <c r="B42" i="18"/>
  <c r="K7" i="32" s="1"/>
  <c r="C42" i="18"/>
  <c r="L7" i="32" s="1"/>
  <c r="W62" i="92"/>
  <c r="U70" i="92"/>
  <c r="E24" i="23"/>
  <c r="E45" i="24" s="1"/>
  <c r="H58" i="22"/>
  <c r="D17" i="24"/>
  <c r="E30" i="22"/>
  <c r="E17" i="24" s="1"/>
  <c r="O30" i="22"/>
  <c r="P30" i="22" s="1"/>
  <c r="D31" i="22"/>
  <c r="G13" i="56"/>
  <c r="B42" i="56"/>
  <c r="W36" i="18"/>
  <c r="U44" i="18"/>
  <c r="B5" i="38"/>
  <c r="B106" i="22"/>
  <c r="B107" i="22" s="1"/>
  <c r="B4" i="19"/>
  <c r="B5" i="22"/>
  <c r="C4" i="22" s="1"/>
  <c r="G45" i="2"/>
  <c r="F22" i="19" s="1"/>
  <c r="B39" i="19"/>
  <c r="O105" i="22"/>
  <c r="P105" i="22" s="1"/>
  <c r="C47" i="22"/>
  <c r="C26" i="24" s="1"/>
  <c r="V40" i="18"/>
  <c r="AG15" i="18"/>
  <c r="Y7" i="18"/>
  <c r="Y5" i="18"/>
  <c r="Y15" i="18" s="1"/>
  <c r="E37" i="23"/>
  <c r="E49" i="24" s="1"/>
  <c r="C48" i="22"/>
  <c r="C27" i="24" s="1"/>
  <c r="G14" i="23"/>
  <c r="G35" i="24" s="1"/>
  <c r="J79" i="23"/>
  <c r="K67" i="23" s="1"/>
  <c r="J5" i="23"/>
  <c r="K5" i="23" s="1"/>
  <c r="F19" i="19"/>
  <c r="F6" i="19"/>
  <c r="F89" i="2"/>
  <c r="F91" i="2" s="1"/>
  <c r="D71" i="92"/>
  <c r="C71" i="92"/>
  <c r="B71" i="92"/>
  <c r="J9" i="37"/>
  <c r="K9" i="37" s="1"/>
  <c r="K38" i="22"/>
  <c r="E12" i="37"/>
  <c r="M12" i="37" s="1"/>
  <c r="N12" i="37" s="1"/>
  <c r="E16" i="19"/>
  <c r="D33" i="24"/>
  <c r="O57" i="22"/>
  <c r="P57" i="22" s="1"/>
  <c r="E20" i="23"/>
  <c r="E41" i="24" s="1"/>
  <c r="F17" i="24"/>
  <c r="R30" i="22"/>
  <c r="S30" i="22" s="1"/>
  <c r="F31" i="22"/>
  <c r="G30" i="22"/>
  <c r="G17" i="24" s="1"/>
  <c r="E54" i="22"/>
  <c r="I26" i="23"/>
  <c r="G20" i="23"/>
  <c r="G41" i="24" s="1"/>
  <c r="E39" i="22"/>
  <c r="E18" i="24" s="1"/>
  <c r="E22" i="23"/>
  <c r="E43" i="24" s="1"/>
  <c r="H45" i="23"/>
  <c r="K20" i="23"/>
  <c r="K41" i="24" s="1"/>
  <c r="AC8" i="18"/>
  <c r="W34" i="18"/>
  <c r="U42" i="18"/>
  <c r="C19" i="23"/>
  <c r="C40" i="24" s="1"/>
  <c r="E53" i="22"/>
  <c r="E32" i="24" s="1"/>
  <c r="G47" i="22"/>
  <c r="G26" i="24" s="1"/>
  <c r="I55" i="22"/>
  <c r="C22" i="22"/>
  <c r="C16" i="24" s="1"/>
  <c r="G40" i="22"/>
  <c r="G19" i="24" s="1"/>
  <c r="H79" i="23"/>
  <c r="H5" i="23"/>
  <c r="I5" i="23" s="1"/>
  <c r="E19" i="19"/>
  <c r="E6" i="19"/>
  <c r="E89" i="2"/>
  <c r="E91" i="2" s="1"/>
  <c r="E27" i="22"/>
  <c r="F29" i="23"/>
  <c r="G74" i="54"/>
  <c r="B89" i="54"/>
  <c r="F9" i="41"/>
  <c r="G9" i="41" s="1"/>
  <c r="L75" i="92"/>
  <c r="M75" i="92"/>
  <c r="N75" i="92"/>
  <c r="G27" i="23"/>
  <c r="G19" i="23"/>
  <c r="G40" i="24" s="1"/>
  <c r="I15" i="23"/>
  <c r="I36" i="24" s="1"/>
  <c r="J29" i="23"/>
  <c r="W65" i="92"/>
  <c r="U73" i="92"/>
  <c r="G15" i="18"/>
  <c r="G13" i="32" s="1"/>
  <c r="C25" i="23"/>
  <c r="C46" i="24" s="1"/>
  <c r="C16" i="23"/>
  <c r="C37" i="24" s="1"/>
  <c r="U46" i="18"/>
  <c r="W39" i="18"/>
  <c r="K43" i="22"/>
  <c r="K22" i="24" s="1"/>
  <c r="R83" i="22"/>
  <c r="S83" i="22" s="1"/>
  <c r="I56" i="22"/>
  <c r="K18" i="23"/>
  <c r="K39" i="24" s="1"/>
  <c r="S15" i="18"/>
  <c r="C41" i="22"/>
  <c r="C20" i="24" s="1"/>
  <c r="G37" i="23"/>
  <c r="G49" i="24" s="1"/>
  <c r="K49" i="22"/>
  <c r="K28" i="24" s="1"/>
  <c r="G50" i="22"/>
  <c r="G29" i="24" s="1"/>
  <c r="G49" i="22"/>
  <c r="G28" i="24" s="1"/>
  <c r="Y6" i="18"/>
  <c r="I19" i="23"/>
  <c r="I40" i="24" s="1"/>
  <c r="H29" i="23"/>
  <c r="V69" i="92"/>
  <c r="Y6" i="92"/>
  <c r="AG28" i="92"/>
  <c r="Y11" i="92"/>
  <c r="Y27" i="92"/>
  <c r="H7" i="19"/>
  <c r="F13" i="37"/>
  <c r="F44" i="4"/>
  <c r="F14" i="37" s="1"/>
  <c r="F80" i="4"/>
  <c r="H15" i="20"/>
  <c r="E28" i="22"/>
  <c r="L105" i="22"/>
  <c r="M105" i="22" s="1"/>
  <c r="C45" i="22"/>
  <c r="C24" i="24" s="1"/>
  <c r="G28" i="41"/>
  <c r="C68" i="70"/>
  <c r="C69" i="70" s="1"/>
  <c r="C86" i="70" s="1"/>
  <c r="D62" i="70"/>
  <c r="C26" i="23"/>
  <c r="B41" i="55"/>
  <c r="G39" i="55"/>
  <c r="E21" i="22"/>
  <c r="E15" i="24" s="1"/>
  <c r="I24" i="23"/>
  <c r="I45" i="24" s="1"/>
  <c r="F11" i="19"/>
  <c r="F12" i="19" s="1"/>
  <c r="F67" i="3"/>
  <c r="F51" i="4"/>
  <c r="F68" i="4" s="1"/>
  <c r="F79" i="4" s="1"/>
  <c r="F46" i="3"/>
  <c r="E37" i="22"/>
  <c r="F6" i="41"/>
  <c r="G6" i="41" s="1"/>
  <c r="G48" i="22"/>
  <c r="G27" i="24" s="1"/>
  <c r="C40" i="22"/>
  <c r="C19" i="24" s="1"/>
  <c r="I6" i="32"/>
  <c r="I15" i="18"/>
  <c r="I13" i="32" s="1"/>
  <c r="E27" i="23"/>
  <c r="K15" i="23"/>
  <c r="K36" i="24" s="1"/>
  <c r="Y5" i="92"/>
  <c r="Y28" i="92" s="1"/>
  <c r="G23" i="22"/>
  <c r="G12" i="22"/>
  <c r="G6" i="24" s="1"/>
  <c r="A76" i="92"/>
  <c r="C69" i="92"/>
  <c r="B16" i="36"/>
  <c r="B8" i="19"/>
  <c r="B20" i="19" s="1"/>
  <c r="B7" i="12"/>
  <c r="G88" i="2"/>
  <c r="F23" i="19" s="1"/>
  <c r="D22" i="19"/>
  <c r="D23" i="19"/>
  <c r="D43" i="19" s="1"/>
  <c r="D11" i="19"/>
  <c r="D44" i="19"/>
  <c r="D46" i="3"/>
  <c r="D67" i="3"/>
  <c r="D51" i="4"/>
  <c r="D68" i="4" s="1"/>
  <c r="D79" i="4" s="1"/>
  <c r="D56" i="24"/>
  <c r="O44" i="23"/>
  <c r="P44" i="23" s="1"/>
  <c r="U43" i="18"/>
  <c r="W35" i="18"/>
  <c r="B58" i="22"/>
  <c r="L4" i="22"/>
  <c r="M4" i="22" s="1"/>
  <c r="D15" i="20"/>
  <c r="F5" i="41"/>
  <c r="G27" i="41"/>
  <c r="I20" i="23"/>
  <c r="I41" i="24" s="1"/>
  <c r="H12" i="20"/>
  <c r="D74" i="92"/>
  <c r="C74" i="92"/>
  <c r="B74" i="92"/>
  <c r="D6" i="37"/>
  <c r="D14" i="19"/>
  <c r="I14" i="19" s="1"/>
  <c r="D2" i="16"/>
  <c r="D5" i="16" s="1"/>
  <c r="D42" i="4"/>
  <c r="E20" i="22"/>
  <c r="E14" i="24" s="1"/>
  <c r="U75" i="92"/>
  <c r="W68" i="92"/>
  <c r="K43" i="23"/>
  <c r="K55" i="24" s="1"/>
  <c r="B8" i="38"/>
  <c r="B79" i="23"/>
  <c r="C67" i="23" s="1"/>
  <c r="B5" i="23"/>
  <c r="C5" i="23" s="1"/>
  <c r="B19" i="19"/>
  <c r="B34" i="19" s="1"/>
  <c r="B6" i="19"/>
  <c r="B3" i="12"/>
  <c r="B89" i="2"/>
  <c r="G74" i="2"/>
  <c r="F10" i="13"/>
  <c r="F8" i="13"/>
  <c r="Y14" i="18"/>
  <c r="C27" i="23"/>
  <c r="G17" i="22"/>
  <c r="G11" i="24" s="1"/>
  <c r="D41" i="18"/>
  <c r="M6" i="32" s="1"/>
  <c r="B41" i="18"/>
  <c r="K6" i="32" s="1"/>
  <c r="C41" i="18"/>
  <c r="L6" i="32" s="1"/>
  <c r="D46" i="18"/>
  <c r="M11" i="32" s="1"/>
  <c r="B46" i="18"/>
  <c r="K11" i="32" s="1"/>
  <c r="C46" i="18"/>
  <c r="L11" i="32" s="1"/>
  <c r="E51" i="22"/>
  <c r="E30" i="24" s="1"/>
  <c r="C6" i="37"/>
  <c r="C14" i="19"/>
  <c r="H14" i="19" s="1"/>
  <c r="C2" i="16"/>
  <c r="C5" i="16" s="1"/>
  <c r="C6" i="12"/>
  <c r="C42" i="4"/>
  <c r="N44" i="18"/>
  <c r="M44" i="18"/>
  <c r="L44" i="18"/>
  <c r="G21" i="23"/>
  <c r="G42" i="24" s="1"/>
  <c r="G52" i="22"/>
  <c r="G31" i="24" s="1"/>
  <c r="I34" i="24"/>
  <c r="C44" i="22"/>
  <c r="C23" i="24" s="1"/>
  <c r="E16" i="22"/>
  <c r="E10" i="24" s="1"/>
  <c r="C56" i="22"/>
  <c r="K40" i="23"/>
  <c r="K52" i="24" s="1"/>
  <c r="E40" i="23"/>
  <c r="E52" i="24" s="1"/>
  <c r="F4" i="41"/>
  <c r="G4" i="41" s="1"/>
  <c r="C39" i="22"/>
  <c r="C18" i="24" s="1"/>
  <c r="K42" i="23"/>
  <c r="K54" i="24" s="1"/>
  <c r="J4" i="37"/>
  <c r="K4" i="37" s="1"/>
  <c r="B12" i="20"/>
  <c r="L35" i="22"/>
  <c r="R35" i="22"/>
  <c r="K36" i="23"/>
  <c r="K48" i="24" s="1"/>
  <c r="Y10" i="18"/>
  <c r="I16" i="23"/>
  <c r="I37" i="24" s="1"/>
  <c r="E49" i="22"/>
  <c r="E28" i="24" s="1"/>
  <c r="J106" i="22"/>
  <c r="K83" i="22" s="1"/>
  <c r="J5" i="22"/>
  <c r="K5" i="22" s="1"/>
  <c r="F4" i="19"/>
  <c r="I53" i="22"/>
  <c r="I32" i="24" s="1"/>
  <c r="G16" i="23"/>
  <c r="G37" i="24" s="1"/>
  <c r="N41" i="18"/>
  <c r="M41" i="18"/>
  <c r="L41" i="18"/>
  <c r="E26" i="22"/>
  <c r="E14" i="22"/>
  <c r="E8" i="24" s="1"/>
  <c r="E38" i="23"/>
  <c r="E50" i="24" s="1"/>
  <c r="I50" i="22"/>
  <c r="I29" i="24" s="1"/>
  <c r="G4" i="37"/>
  <c r="H4" i="37" s="1"/>
  <c r="I54" i="22"/>
  <c r="AA6" i="92"/>
  <c r="I6" i="24"/>
  <c r="I30" i="22"/>
  <c r="I17" i="24" s="1"/>
  <c r="G15" i="23"/>
  <c r="G36" i="24" s="1"/>
  <c r="D45" i="23"/>
  <c r="C43" i="22"/>
  <c r="C22" i="24" s="1"/>
  <c r="E29" i="22"/>
  <c r="D45" i="18"/>
  <c r="M10" i="32" s="1"/>
  <c r="B45" i="18"/>
  <c r="K10" i="32" s="1"/>
  <c r="C45" i="18"/>
  <c r="L10" i="32" s="1"/>
  <c r="B29" i="23"/>
  <c r="C40" i="18"/>
  <c r="A47" i="18"/>
  <c r="J12" i="32" s="1"/>
  <c r="F5" i="22"/>
  <c r="G3" i="22" s="1"/>
  <c r="F106" i="22"/>
  <c r="G83" i="22" s="1"/>
  <c r="D4" i="19"/>
  <c r="I4" i="19" s="1"/>
  <c r="D39" i="19"/>
  <c r="C38" i="22"/>
  <c r="E22" i="22"/>
  <c r="E16" i="24" s="1"/>
  <c r="J58" i="22"/>
  <c r="C53" i="22"/>
  <c r="C32" i="24" s="1"/>
  <c r="D73" i="92"/>
  <c r="C73" i="92"/>
  <c r="B73" i="92"/>
  <c r="C52" i="22"/>
  <c r="C31" i="24" s="1"/>
  <c r="C10" i="19"/>
  <c r="H10" i="19" s="1"/>
  <c r="J10" i="19" s="1"/>
  <c r="C2" i="13"/>
  <c r="C4" i="13" s="1"/>
  <c r="C10" i="13" s="1"/>
  <c r="C41" i="3"/>
  <c r="N41" i="3" s="1"/>
  <c r="E43" i="23"/>
  <c r="E55" i="24" s="1"/>
  <c r="G18" i="23"/>
  <c r="G39" i="24" s="1"/>
  <c r="B56" i="24"/>
  <c r="L44" i="23"/>
  <c r="M44" i="23" s="1"/>
  <c r="F14" i="20"/>
  <c r="B17" i="20" s="1"/>
  <c r="F12" i="20"/>
  <c r="G8" i="20" s="1"/>
  <c r="I47" i="24"/>
  <c r="E22" i="19"/>
  <c r="E23" i="19"/>
  <c r="E11" i="19"/>
  <c r="E12" i="19" s="1"/>
  <c r="E24" i="19" s="1"/>
  <c r="E67" i="3"/>
  <c r="E51" i="4"/>
  <c r="E68" i="4" s="1"/>
  <c r="E79" i="4" s="1"/>
  <c r="E46" i="3"/>
  <c r="J13" i="20"/>
  <c r="K9" i="20"/>
  <c r="K11" i="20"/>
  <c r="K10" i="20"/>
  <c r="G25" i="23"/>
  <c r="G46" i="24" s="1"/>
  <c r="E3" i="22"/>
  <c r="O3" i="22"/>
  <c r="P3" i="22" s="1"/>
  <c r="O78" i="23"/>
  <c r="P78" i="23" s="1"/>
  <c r="G23" i="23"/>
  <c r="G44" i="24" s="1"/>
  <c r="E19" i="22"/>
  <c r="E13" i="24" s="1"/>
  <c r="H16" i="36"/>
  <c r="I14" i="36" s="1"/>
  <c r="E8" i="19"/>
  <c r="E20" i="19" s="1"/>
  <c r="Y13" i="18"/>
  <c r="O28" i="23"/>
  <c r="P28" i="23" s="1"/>
  <c r="I22" i="23"/>
  <c r="I43" i="24" s="1"/>
  <c r="L3" i="22"/>
  <c r="M3" i="22" s="1"/>
  <c r="B45" i="23"/>
  <c r="E15" i="22"/>
  <c r="E9" i="24" s="1"/>
  <c r="I25" i="23"/>
  <c r="I46" i="24" s="1"/>
  <c r="L67" i="23"/>
  <c r="M67" i="23" s="1"/>
  <c r="G26" i="23"/>
  <c r="B6" i="37"/>
  <c r="B14" i="19"/>
  <c r="B2" i="16"/>
  <c r="B5" i="16" s="1"/>
  <c r="G13" i="4"/>
  <c r="B42" i="4"/>
  <c r="U45" i="18"/>
  <c r="W37" i="18"/>
  <c r="E15" i="23"/>
  <c r="E36" i="24" s="1"/>
  <c r="F58" i="22"/>
  <c r="R4" i="22"/>
  <c r="S4" i="22" s="1"/>
  <c r="K40" i="22"/>
  <c r="K19" i="24" s="1"/>
  <c r="B12" i="37"/>
  <c r="B16" i="19"/>
  <c r="G40" i="4"/>
  <c r="C51" i="22"/>
  <c r="C30" i="24" s="1"/>
  <c r="G9" i="37"/>
  <c r="H9" i="37" s="1"/>
  <c r="C17" i="22"/>
  <c r="C11" i="24" s="1"/>
  <c r="K4" i="20"/>
  <c r="E24" i="22"/>
  <c r="K17" i="23"/>
  <c r="K38" i="24" s="1"/>
  <c r="E14" i="23"/>
  <c r="E35" i="24" s="1"/>
  <c r="C54" i="22"/>
  <c r="J17" i="24"/>
  <c r="K30" i="22"/>
  <c r="K17" i="24" s="1"/>
  <c r="J31" i="22"/>
  <c r="C35" i="23"/>
  <c r="E19" i="23"/>
  <c r="E40" i="24" s="1"/>
  <c r="F33" i="41"/>
  <c r="I7" i="19"/>
  <c r="E10" i="13"/>
  <c r="E8" i="13"/>
  <c r="D79" i="23"/>
  <c r="E78" i="23" s="1"/>
  <c r="D5" i="23"/>
  <c r="E5" i="23" s="1"/>
  <c r="C19" i="19"/>
  <c r="C6" i="19"/>
  <c r="H6" i="19" s="1"/>
  <c r="H10" i="17"/>
  <c r="H15" i="17"/>
  <c r="H13" i="17"/>
  <c r="H16" i="17"/>
  <c r="C3" i="12"/>
  <c r="C89" i="2"/>
  <c r="C91" i="2" s="1"/>
  <c r="H12" i="17"/>
  <c r="H17" i="17"/>
  <c r="H11" i="17"/>
  <c r="H4" i="17"/>
  <c r="H5" i="17"/>
  <c r="H7" i="17"/>
  <c r="H6" i="17"/>
  <c r="H8" i="17"/>
  <c r="H9" i="17"/>
  <c r="H3" i="17"/>
  <c r="H14" i="17"/>
  <c r="E13" i="22"/>
  <c r="E7" i="24" s="1"/>
  <c r="W66" i="92"/>
  <c r="U74" i="92"/>
  <c r="C37" i="22"/>
  <c r="U72" i="92"/>
  <c r="W64" i="92"/>
  <c r="E25" i="22"/>
  <c r="G17" i="23"/>
  <c r="G38" i="24" s="1"/>
  <c r="Q15" i="18"/>
  <c r="K37" i="23"/>
  <c r="K49" i="24" s="1"/>
  <c r="E6" i="37"/>
  <c r="M6" i="37" s="1"/>
  <c r="N6" i="37" s="1"/>
  <c r="E14" i="19"/>
  <c r="E42" i="4"/>
  <c r="E2" i="16"/>
  <c r="E5" i="16" s="1"/>
  <c r="L78" i="23"/>
  <c r="M78" i="23" s="1"/>
  <c r="C49" i="22"/>
  <c r="C28" i="24" s="1"/>
  <c r="D6" i="38"/>
  <c r="C8" i="38"/>
  <c r="Y12" i="18"/>
  <c r="L72" i="92"/>
  <c r="N72" i="92"/>
  <c r="M72" i="92"/>
  <c r="R105" i="22"/>
  <c r="S105" i="22" s="1"/>
  <c r="I39" i="22"/>
  <c r="I18" i="24" s="1"/>
  <c r="C50" i="22"/>
  <c r="C29" i="24" s="1"/>
  <c r="I46" i="22"/>
  <c r="I25" i="24" s="1"/>
  <c r="F79" i="23"/>
  <c r="G67" i="23" s="1"/>
  <c r="F5" i="23"/>
  <c r="G5" i="23" s="1"/>
  <c r="D19" i="19"/>
  <c r="D34" i="19" s="1"/>
  <c r="D6" i="19"/>
  <c r="I6" i="19" s="1"/>
  <c r="D89" i="2"/>
  <c r="D91" i="2" s="1"/>
  <c r="G13" i="23"/>
  <c r="C20" i="23"/>
  <c r="C41" i="24" s="1"/>
  <c r="L73" i="92"/>
  <c r="N73" i="92"/>
  <c r="M73" i="92"/>
  <c r="AC14" i="18"/>
  <c r="F15" i="20"/>
  <c r="AC10" i="18"/>
  <c r="M76" i="92" l="1"/>
  <c r="N76" i="92"/>
  <c r="F107" i="22"/>
  <c r="C105" i="22"/>
  <c r="B9" i="38"/>
  <c r="G6" i="20"/>
  <c r="J7" i="19"/>
  <c r="K105" i="22"/>
  <c r="E8" i="20"/>
  <c r="J107" i="22"/>
  <c r="AA28" i="92"/>
  <c r="E6" i="20"/>
  <c r="E4" i="20"/>
  <c r="J4" i="19"/>
  <c r="AA15" i="18"/>
  <c r="J14" i="19"/>
  <c r="J6" i="19"/>
  <c r="G6" i="37"/>
  <c r="H6" i="37" s="1"/>
  <c r="C34" i="19"/>
  <c r="J19" i="19"/>
  <c r="J20" i="19"/>
  <c r="E4" i="23"/>
  <c r="E11" i="20"/>
  <c r="E83" i="22"/>
  <c r="C4" i="23"/>
  <c r="D107" i="22"/>
  <c r="O107" i="22" s="1"/>
  <c r="P107" i="22" s="1"/>
  <c r="I44" i="23"/>
  <c r="I56" i="24" s="1"/>
  <c r="C3" i="22"/>
  <c r="J12" i="37"/>
  <c r="K12" i="37" s="1"/>
  <c r="AC15" i="18"/>
  <c r="C57" i="22"/>
  <c r="C33" i="24" s="1"/>
  <c r="C3" i="23"/>
  <c r="G57" i="22"/>
  <c r="G33" i="24" s="1"/>
  <c r="K4" i="22"/>
  <c r="G4" i="22"/>
  <c r="K3" i="22"/>
  <c r="K57" i="22"/>
  <c r="K33" i="24" s="1"/>
  <c r="E25" i="19"/>
  <c r="E23" i="13"/>
  <c r="E26" i="19" s="1"/>
  <c r="E11" i="13"/>
  <c r="E27" i="19" s="1"/>
  <c r="D47" i="18"/>
  <c r="M12" i="32" s="1"/>
  <c r="B47" i="18"/>
  <c r="K12" i="32" s="1"/>
  <c r="C47" i="18"/>
  <c r="L12" i="32" s="1"/>
  <c r="H13" i="20"/>
  <c r="I10" i="20"/>
  <c r="I9" i="20"/>
  <c r="I8" i="20"/>
  <c r="I4" i="20"/>
  <c r="I11" i="20"/>
  <c r="I6" i="20"/>
  <c r="I79" i="23"/>
  <c r="I77" i="23"/>
  <c r="I71" i="23"/>
  <c r="I60" i="23"/>
  <c r="I52" i="23"/>
  <c r="I56" i="23"/>
  <c r="I72" i="23"/>
  <c r="I62" i="23"/>
  <c r="I59" i="23"/>
  <c r="I61" i="23"/>
  <c r="H80" i="23"/>
  <c r="I80" i="23" s="1"/>
  <c r="I70" i="23"/>
  <c r="I55" i="23"/>
  <c r="I69" i="23"/>
  <c r="I76" i="23"/>
  <c r="I64" i="23"/>
  <c r="I65" i="23"/>
  <c r="I57" i="23"/>
  <c r="I66" i="23"/>
  <c r="I73" i="23"/>
  <c r="I58" i="23"/>
  <c r="I53" i="23"/>
  <c r="I74" i="23"/>
  <c r="I75" i="23"/>
  <c r="I63" i="23"/>
  <c r="I54" i="23"/>
  <c r="C10" i="38"/>
  <c r="D10" i="38" s="1"/>
  <c r="C5" i="38"/>
  <c r="D5" i="38" s="1"/>
  <c r="D3" i="38"/>
  <c r="G105" i="22"/>
  <c r="W74" i="92"/>
  <c r="V74" i="92"/>
  <c r="X74" i="92"/>
  <c r="G4" i="20"/>
  <c r="F25" i="19"/>
  <c r="F23" i="13"/>
  <c r="F26" i="19" s="1"/>
  <c r="F11" i="13"/>
  <c r="F27" i="19" s="1"/>
  <c r="D80" i="23"/>
  <c r="D76" i="92"/>
  <c r="C76" i="92"/>
  <c r="B76" i="92"/>
  <c r="E44" i="23"/>
  <c r="E56" i="24" s="1"/>
  <c r="W69" i="92"/>
  <c r="U76" i="92"/>
  <c r="G78" i="23"/>
  <c r="B23" i="19"/>
  <c r="B43" i="19" s="1"/>
  <c r="B11" i="19"/>
  <c r="B12" i="19" s="1"/>
  <c r="B24" i="19" s="1"/>
  <c r="B44" i="19"/>
  <c r="B22" i="19"/>
  <c r="B46" i="3"/>
  <c r="G41" i="3"/>
  <c r="B67" i="3"/>
  <c r="B51" i="4"/>
  <c r="B68" i="4" s="1"/>
  <c r="B79" i="4" s="1"/>
  <c r="G5" i="41"/>
  <c r="C16" i="36"/>
  <c r="L16" i="36"/>
  <c r="M16" i="36" s="1"/>
  <c r="C10" i="36"/>
  <c r="C9" i="36"/>
  <c r="C12" i="36"/>
  <c r="C11" i="36"/>
  <c r="C8" i="36"/>
  <c r="C13" i="36"/>
  <c r="C4" i="36"/>
  <c r="C6" i="36"/>
  <c r="C15" i="36"/>
  <c r="C5" i="36"/>
  <c r="C7" i="36"/>
  <c r="I57" i="22"/>
  <c r="I33" i="24" s="1"/>
  <c r="B8" i="13"/>
  <c r="B10" i="13"/>
  <c r="E13" i="37"/>
  <c r="M13" i="37" s="1"/>
  <c r="N13" i="37" s="1"/>
  <c r="E44" i="4"/>
  <c r="E80" i="4"/>
  <c r="W73" i="92"/>
  <c r="V73" i="92"/>
  <c r="X73" i="92"/>
  <c r="K12" i="20"/>
  <c r="K14" i="20"/>
  <c r="D10" i="41"/>
  <c r="C10" i="20"/>
  <c r="B13" i="20"/>
  <c r="B16" i="20"/>
  <c r="C9" i="20"/>
  <c r="C4" i="20"/>
  <c r="C6" i="20"/>
  <c r="C11" i="20"/>
  <c r="C8" i="20"/>
  <c r="E57" i="22"/>
  <c r="E33" i="24" s="1"/>
  <c r="I3" i="23"/>
  <c r="K3" i="23"/>
  <c r="K47" i="24"/>
  <c r="K44" i="23"/>
  <c r="K56" i="24" s="1"/>
  <c r="E51" i="41"/>
  <c r="E47" i="41"/>
  <c r="E52" i="41"/>
  <c r="E50" i="41"/>
  <c r="E49" i="41"/>
  <c r="G33" i="41"/>
  <c r="E48" i="41"/>
  <c r="C7" i="20"/>
  <c r="B91" i="54"/>
  <c r="G89" i="54"/>
  <c r="K79" i="23"/>
  <c r="K58" i="23"/>
  <c r="K62" i="23"/>
  <c r="K66" i="23"/>
  <c r="K64" i="23"/>
  <c r="K56" i="23"/>
  <c r="K69" i="23"/>
  <c r="K76" i="23"/>
  <c r="K65" i="23"/>
  <c r="K63" i="23"/>
  <c r="K53" i="23"/>
  <c r="K73" i="23"/>
  <c r="K70" i="23"/>
  <c r="K57" i="23"/>
  <c r="K60" i="23"/>
  <c r="K52" i="23"/>
  <c r="K77" i="23"/>
  <c r="K75" i="23"/>
  <c r="K71" i="23"/>
  <c r="K54" i="23"/>
  <c r="K72" i="23"/>
  <c r="K61" i="23"/>
  <c r="K59" i="23"/>
  <c r="K74" i="23"/>
  <c r="K55" i="23"/>
  <c r="E6" i="94"/>
  <c r="E3" i="94"/>
  <c r="E5" i="94"/>
  <c r="E2" i="94"/>
  <c r="E4" i="94"/>
  <c r="G51" i="41"/>
  <c r="G47" i="41"/>
  <c r="G50" i="41"/>
  <c r="G49" i="41"/>
  <c r="G52" i="41"/>
  <c r="G48" i="41"/>
  <c r="I16" i="36"/>
  <c r="I9" i="36"/>
  <c r="I10" i="36"/>
  <c r="I6" i="36"/>
  <c r="I11" i="36"/>
  <c r="I12" i="36"/>
  <c r="I13" i="36"/>
  <c r="I15" i="36"/>
  <c r="I8" i="36"/>
  <c r="I5" i="36"/>
  <c r="I4" i="36"/>
  <c r="I7" i="36"/>
  <c r="E13" i="19"/>
  <c r="E68" i="3"/>
  <c r="B91" i="2"/>
  <c r="G89" i="2"/>
  <c r="D13" i="19"/>
  <c r="I13" i="19" s="1"/>
  <c r="D68" i="3"/>
  <c r="F13" i="19"/>
  <c r="F68" i="3"/>
  <c r="D68" i="70"/>
  <c r="D69" i="70" s="1"/>
  <c r="D86" i="70" s="1"/>
  <c r="E62" i="70"/>
  <c r="G3" i="23"/>
  <c r="K78" i="23"/>
  <c r="C5" i="22"/>
  <c r="L5" i="22"/>
  <c r="M5" i="22" s="1"/>
  <c r="D97" i="70"/>
  <c r="C99" i="70"/>
  <c r="C88" i="70" s="1"/>
  <c r="C90" i="70" s="1"/>
  <c r="K34" i="24"/>
  <c r="K28" i="23"/>
  <c r="D58" i="22"/>
  <c r="E5" i="22"/>
  <c r="O5" i="22"/>
  <c r="P5" i="22" s="1"/>
  <c r="E3" i="23"/>
  <c r="W75" i="92"/>
  <c r="V75" i="92"/>
  <c r="X75" i="92"/>
  <c r="N47" i="18"/>
  <c r="M47" i="18"/>
  <c r="L47" i="18"/>
  <c r="O106" i="22"/>
  <c r="P106" i="22" s="1"/>
  <c r="E106" i="22"/>
  <c r="E90" i="22"/>
  <c r="E100" i="22"/>
  <c r="E79" i="22"/>
  <c r="E80" i="22"/>
  <c r="E101" i="22"/>
  <c r="E69" i="22"/>
  <c r="E67" i="22"/>
  <c r="E88" i="22"/>
  <c r="E96" i="22"/>
  <c r="E70" i="22"/>
  <c r="E98" i="22"/>
  <c r="E66" i="22"/>
  <c r="E71" i="22"/>
  <c r="E72" i="22"/>
  <c r="E95" i="22"/>
  <c r="E92" i="22"/>
  <c r="E99" i="22"/>
  <c r="E97" i="22"/>
  <c r="E86" i="22"/>
  <c r="E77" i="22"/>
  <c r="E91" i="22"/>
  <c r="E75" i="22"/>
  <c r="E93" i="22"/>
  <c r="E87" i="22"/>
  <c r="E85" i="22"/>
  <c r="E65" i="22"/>
  <c r="E68" i="22"/>
  <c r="E82" i="22"/>
  <c r="E104" i="22"/>
  <c r="E103" i="22"/>
  <c r="E94" i="22"/>
  <c r="E73" i="22"/>
  <c r="E89" i="22"/>
  <c r="E81" i="22"/>
  <c r="E76" i="22"/>
  <c r="E74" i="22"/>
  <c r="E78" i="22"/>
  <c r="E102" i="22"/>
  <c r="F13" i="20"/>
  <c r="G9" i="20"/>
  <c r="G10" i="20"/>
  <c r="G11" i="20"/>
  <c r="D12" i="19"/>
  <c r="I11" i="19"/>
  <c r="I67" i="23"/>
  <c r="C106" i="22"/>
  <c r="L106" i="22"/>
  <c r="M106" i="22" s="1"/>
  <c r="C77" i="22"/>
  <c r="C80" i="22"/>
  <c r="C72" i="22"/>
  <c r="C104" i="22"/>
  <c r="C81" i="22"/>
  <c r="C93" i="22"/>
  <c r="C88" i="22"/>
  <c r="C76" i="22"/>
  <c r="C94" i="22"/>
  <c r="C68" i="22"/>
  <c r="C103" i="22"/>
  <c r="C92" i="22"/>
  <c r="C78" i="22"/>
  <c r="C99" i="22"/>
  <c r="C86" i="22"/>
  <c r="C90" i="22"/>
  <c r="C89" i="22"/>
  <c r="C73" i="22"/>
  <c r="C71" i="22"/>
  <c r="C95" i="22"/>
  <c r="C67" i="22"/>
  <c r="C69" i="22"/>
  <c r="C75" i="22"/>
  <c r="C91" i="22"/>
  <c r="C82" i="22"/>
  <c r="C70" i="22"/>
  <c r="C102" i="22"/>
  <c r="C96" i="22"/>
  <c r="C79" i="22"/>
  <c r="C101" i="22"/>
  <c r="C97" i="22"/>
  <c r="C66" i="22"/>
  <c r="C87" i="22"/>
  <c r="C100" i="22"/>
  <c r="C65" i="22"/>
  <c r="C74" i="22"/>
  <c r="C98" i="22"/>
  <c r="C85" i="22"/>
  <c r="K16" i="36"/>
  <c r="K12" i="36"/>
  <c r="K15" i="36"/>
  <c r="K9" i="36"/>
  <c r="K4" i="36"/>
  <c r="K11" i="36"/>
  <c r="K6" i="36"/>
  <c r="K13" i="36"/>
  <c r="K5" i="36"/>
  <c r="K10" i="36"/>
  <c r="K8" i="36"/>
  <c r="K7" i="36"/>
  <c r="K15" i="20"/>
  <c r="G34" i="24"/>
  <c r="G28" i="23"/>
  <c r="I28" i="23"/>
  <c r="G7" i="20"/>
  <c r="G79" i="23"/>
  <c r="G58" i="23"/>
  <c r="G53" i="23"/>
  <c r="G70" i="23"/>
  <c r="G55" i="23"/>
  <c r="G76" i="23"/>
  <c r="G73" i="23"/>
  <c r="G56" i="23"/>
  <c r="G57" i="23"/>
  <c r="G54" i="23"/>
  <c r="G65" i="23"/>
  <c r="G72" i="23"/>
  <c r="G62" i="23"/>
  <c r="G74" i="23"/>
  <c r="G64" i="23"/>
  <c r="G60" i="23"/>
  <c r="G71" i="23"/>
  <c r="G61" i="23"/>
  <c r="G52" i="23"/>
  <c r="G66" i="23"/>
  <c r="G69" i="23"/>
  <c r="G63" i="23"/>
  <c r="G77" i="23"/>
  <c r="G75" i="23"/>
  <c r="G59" i="23"/>
  <c r="X45" i="18"/>
  <c r="V45" i="18"/>
  <c r="W45" i="18"/>
  <c r="C44" i="19"/>
  <c r="C22" i="19"/>
  <c r="J22" i="19" s="1"/>
  <c r="C23" i="19"/>
  <c r="C11" i="19"/>
  <c r="T12" i="17"/>
  <c r="T10" i="17"/>
  <c r="T15" i="17"/>
  <c r="C46" i="3"/>
  <c r="C10" i="12"/>
  <c r="C8" i="12"/>
  <c r="C67" i="3"/>
  <c r="C51" i="4"/>
  <c r="C68" i="4" s="1"/>
  <c r="C79" i="4" s="1"/>
  <c r="T16" i="17"/>
  <c r="T6" i="17"/>
  <c r="T8" i="17"/>
  <c r="T9" i="17"/>
  <c r="T3" i="17"/>
  <c r="T17" i="17"/>
  <c r="T11" i="17"/>
  <c r="T5" i="17"/>
  <c r="T14" i="17"/>
  <c r="X19" i="18"/>
  <c r="T7" i="17"/>
  <c r="T4" i="17"/>
  <c r="T13" i="17"/>
  <c r="X32" i="92"/>
  <c r="F24" i="19"/>
  <c r="X46" i="18"/>
  <c r="V46" i="18"/>
  <c r="W46" i="18"/>
  <c r="F10" i="41"/>
  <c r="E9" i="20"/>
  <c r="D13" i="20"/>
  <c r="E10" i="20"/>
  <c r="I8" i="19"/>
  <c r="D49" i="19"/>
  <c r="D47" i="19"/>
  <c r="E67" i="23"/>
  <c r="C83" i="22"/>
  <c r="B46" i="55"/>
  <c r="G41" i="55"/>
  <c r="B67" i="55"/>
  <c r="G67" i="55" s="1"/>
  <c r="D13" i="37"/>
  <c r="D44" i="4"/>
  <c r="D80" i="4"/>
  <c r="D8" i="38"/>
  <c r="C47" i="24"/>
  <c r="C44" i="23"/>
  <c r="C56" i="24" s="1"/>
  <c r="W72" i="92"/>
  <c r="V72" i="92"/>
  <c r="X72" i="92"/>
  <c r="C8" i="13"/>
  <c r="K106" i="22"/>
  <c r="K65" i="22"/>
  <c r="K82" i="22"/>
  <c r="K70" i="22"/>
  <c r="K79" i="22"/>
  <c r="K99" i="22"/>
  <c r="K75" i="22"/>
  <c r="K77" i="22"/>
  <c r="K86" i="22"/>
  <c r="K67" i="22"/>
  <c r="K97" i="22"/>
  <c r="K101" i="22"/>
  <c r="K93" i="22"/>
  <c r="K72" i="22"/>
  <c r="K71" i="22"/>
  <c r="K96" i="22"/>
  <c r="K74" i="22"/>
  <c r="K69" i="22"/>
  <c r="K91" i="22"/>
  <c r="K78" i="22"/>
  <c r="K100" i="22"/>
  <c r="K66" i="22"/>
  <c r="K104" i="22"/>
  <c r="K81" i="22"/>
  <c r="K87" i="22"/>
  <c r="K94" i="22"/>
  <c r="K68" i="22"/>
  <c r="K102" i="22"/>
  <c r="K88" i="22"/>
  <c r="K73" i="22"/>
  <c r="K103" i="22"/>
  <c r="K80" i="22"/>
  <c r="K95" i="22"/>
  <c r="K90" i="22"/>
  <c r="K85" i="22"/>
  <c r="K92" i="22"/>
  <c r="K76" i="22"/>
  <c r="K98" i="22"/>
  <c r="K89" i="22"/>
  <c r="J6" i="37"/>
  <c r="K6" i="37" s="1"/>
  <c r="I78" i="23"/>
  <c r="X42" i="18"/>
  <c r="V42" i="18"/>
  <c r="W42" i="18"/>
  <c r="D25" i="19"/>
  <c r="D11" i="13"/>
  <c r="D27" i="19" s="1"/>
  <c r="D23" i="13"/>
  <c r="D26" i="19" s="1"/>
  <c r="G16" i="36"/>
  <c r="R16" i="36"/>
  <c r="S16" i="36" s="1"/>
  <c r="G13" i="36"/>
  <c r="G10" i="36"/>
  <c r="G8" i="36"/>
  <c r="G5" i="36"/>
  <c r="G12" i="36"/>
  <c r="G15" i="36"/>
  <c r="G9" i="36"/>
  <c r="G4" i="36"/>
  <c r="G11" i="36"/>
  <c r="G6" i="36"/>
  <c r="G7" i="36"/>
  <c r="F80" i="23"/>
  <c r="E79" i="23"/>
  <c r="E57" i="23"/>
  <c r="E76" i="23"/>
  <c r="E56" i="23"/>
  <c r="E71" i="23"/>
  <c r="E72" i="23"/>
  <c r="E60" i="23"/>
  <c r="E74" i="23"/>
  <c r="E54" i="23"/>
  <c r="E69" i="23"/>
  <c r="E73" i="23"/>
  <c r="E61" i="23"/>
  <c r="E52" i="23"/>
  <c r="E65" i="23"/>
  <c r="E63" i="23"/>
  <c r="E62" i="23"/>
  <c r="E55" i="23"/>
  <c r="E53" i="23"/>
  <c r="E75" i="23"/>
  <c r="E77" i="23"/>
  <c r="E58" i="23"/>
  <c r="E64" i="23"/>
  <c r="E66" i="23"/>
  <c r="E59" i="23"/>
  <c r="E70" i="23"/>
  <c r="B13" i="37"/>
  <c r="G42" i="4"/>
  <c r="B44" i="4"/>
  <c r="B80" i="4"/>
  <c r="C79" i="23"/>
  <c r="C66" i="23"/>
  <c r="C53" i="23"/>
  <c r="C63" i="23"/>
  <c r="C56" i="23"/>
  <c r="C75" i="23"/>
  <c r="C76" i="23"/>
  <c r="C58" i="23"/>
  <c r="C69" i="23"/>
  <c r="C73" i="23"/>
  <c r="C65" i="23"/>
  <c r="C60" i="23"/>
  <c r="C64" i="23"/>
  <c r="C55" i="23"/>
  <c r="C54" i="23"/>
  <c r="C70" i="23"/>
  <c r="C74" i="23"/>
  <c r="C62" i="23"/>
  <c r="C72" i="23"/>
  <c r="C77" i="23"/>
  <c r="C57" i="23"/>
  <c r="C61" i="23"/>
  <c r="B80" i="23"/>
  <c r="C71" i="23"/>
  <c r="C59" i="23"/>
  <c r="C52" i="23"/>
  <c r="W70" i="92"/>
  <c r="V70" i="92"/>
  <c r="X70" i="92"/>
  <c r="H8" i="19"/>
  <c r="C49" i="19"/>
  <c r="C47" i="19"/>
  <c r="G44" i="23"/>
  <c r="G56" i="24" s="1"/>
  <c r="R106" i="22"/>
  <c r="S106" i="22" s="1"/>
  <c r="G106" i="22"/>
  <c r="G100" i="22"/>
  <c r="G102" i="22"/>
  <c r="G70" i="22"/>
  <c r="G78" i="22"/>
  <c r="G104" i="22"/>
  <c r="G65" i="22"/>
  <c r="G103" i="22"/>
  <c r="G77" i="22"/>
  <c r="G95" i="22"/>
  <c r="G94" i="22"/>
  <c r="G66" i="22"/>
  <c r="G97" i="22"/>
  <c r="G93" i="22"/>
  <c r="G79" i="22"/>
  <c r="G92" i="22"/>
  <c r="G87" i="22"/>
  <c r="G82" i="22"/>
  <c r="G72" i="22"/>
  <c r="G98" i="22"/>
  <c r="G88" i="22"/>
  <c r="G96" i="22"/>
  <c r="G68" i="22"/>
  <c r="G67" i="22"/>
  <c r="G99" i="22"/>
  <c r="G85" i="22"/>
  <c r="G75" i="22"/>
  <c r="G80" i="22"/>
  <c r="G90" i="22"/>
  <c r="G86" i="22"/>
  <c r="G81" i="22"/>
  <c r="G69" i="22"/>
  <c r="G71" i="22"/>
  <c r="G74" i="22"/>
  <c r="G91" i="22"/>
  <c r="G101" i="22"/>
  <c r="G76" i="22"/>
  <c r="G73" i="22"/>
  <c r="G89" i="22"/>
  <c r="X44" i="18"/>
  <c r="V44" i="18"/>
  <c r="W44" i="18"/>
  <c r="I5" i="22"/>
  <c r="I3" i="22"/>
  <c r="C78" i="23"/>
  <c r="R5" i="22"/>
  <c r="S5" i="22" s="1"/>
  <c r="G5" i="22"/>
  <c r="E28" i="23"/>
  <c r="C13" i="37"/>
  <c r="C44" i="4"/>
  <c r="C80" i="4"/>
  <c r="X43" i="18"/>
  <c r="V43" i="18"/>
  <c r="W43" i="18"/>
  <c r="J80" i="23"/>
  <c r="K80" i="23" s="1"/>
  <c r="W40" i="18"/>
  <c r="U47" i="18"/>
  <c r="G42" i="56"/>
  <c r="B44" i="56"/>
  <c r="G44" i="56" s="1"/>
  <c r="K4" i="23"/>
  <c r="I106" i="22"/>
  <c r="I85" i="22"/>
  <c r="I65" i="22"/>
  <c r="I76" i="22"/>
  <c r="I83" i="22"/>
  <c r="I98" i="22"/>
  <c r="I99" i="22"/>
  <c r="I79" i="22"/>
  <c r="I75" i="22"/>
  <c r="I89" i="22"/>
  <c r="I87" i="22"/>
  <c r="I67" i="22"/>
  <c r="I95" i="22"/>
  <c r="I70" i="22"/>
  <c r="I96" i="22"/>
  <c r="I74" i="22"/>
  <c r="I66" i="22"/>
  <c r="I104" i="22"/>
  <c r="I81" i="22"/>
  <c r="I69" i="22"/>
  <c r="I93" i="22"/>
  <c r="I71" i="22"/>
  <c r="I97" i="22"/>
  <c r="I72" i="22"/>
  <c r="I88" i="22"/>
  <c r="I91" i="22"/>
  <c r="I101" i="22"/>
  <c r="I90" i="22"/>
  <c r="I82" i="22"/>
  <c r="I103" i="22"/>
  <c r="I78" i="22"/>
  <c r="I77" i="22"/>
  <c r="I94" i="22"/>
  <c r="I102" i="22"/>
  <c r="H107" i="22"/>
  <c r="R107" i="22" s="1"/>
  <c r="S107" i="22" s="1"/>
  <c r="I73" i="22"/>
  <c r="I100" i="22"/>
  <c r="I68" i="22"/>
  <c r="I92" i="22"/>
  <c r="I80" i="22"/>
  <c r="I86" i="22"/>
  <c r="E16" i="36"/>
  <c r="O16" i="36"/>
  <c r="P16" i="36" s="1"/>
  <c r="E5" i="36"/>
  <c r="E12" i="36"/>
  <c r="E9" i="36"/>
  <c r="E4" i="36"/>
  <c r="E11" i="36"/>
  <c r="E6" i="36"/>
  <c r="E13" i="36"/>
  <c r="E8" i="36"/>
  <c r="E15" i="36"/>
  <c r="E10" i="36"/>
  <c r="E7" i="36"/>
  <c r="I7" i="20"/>
  <c r="I4" i="23"/>
  <c r="X41" i="18"/>
  <c r="V41" i="18"/>
  <c r="W41" i="18"/>
  <c r="C28" i="23"/>
  <c r="G4" i="23"/>
  <c r="C14" i="36"/>
  <c r="L107" i="22" l="1"/>
  <c r="M107" i="22" s="1"/>
  <c r="J8" i="19"/>
  <c r="I15" i="20"/>
  <c r="C43" i="19"/>
  <c r="J23" i="19"/>
  <c r="G13" i="37"/>
  <c r="H13" i="37" s="1"/>
  <c r="E14" i="20"/>
  <c r="C107" i="22"/>
  <c r="C9" i="38"/>
  <c r="D9" i="38" s="1"/>
  <c r="E7" i="94"/>
  <c r="E12" i="20"/>
  <c r="G15" i="20"/>
  <c r="C13" i="19"/>
  <c r="H13" i="19" s="1"/>
  <c r="J13" i="19" s="1"/>
  <c r="C68" i="3"/>
  <c r="X47" i="18"/>
  <c r="V47" i="18"/>
  <c r="W47" i="18"/>
  <c r="C25" i="19"/>
  <c r="J25" i="19" s="1"/>
  <c r="C11" i="13"/>
  <c r="C27" i="19" s="1"/>
  <c r="J27" i="19" s="1"/>
  <c r="C23" i="13"/>
  <c r="C26" i="19" s="1"/>
  <c r="J26" i="19" s="1"/>
  <c r="J13" i="37"/>
  <c r="K13" i="37" s="1"/>
  <c r="G14" i="20"/>
  <c r="G12" i="20"/>
  <c r="I12" i="20"/>
  <c r="I14" i="20"/>
  <c r="R80" i="23"/>
  <c r="S80" i="23" s="1"/>
  <c r="G80" i="23"/>
  <c r="D14" i="37"/>
  <c r="D7" i="40"/>
  <c r="D8" i="40" s="1"/>
  <c r="E97" i="70"/>
  <c r="D99" i="70"/>
  <c r="D88" i="70" s="1"/>
  <c r="D90" i="70" s="1"/>
  <c r="B25" i="19"/>
  <c r="B23" i="13"/>
  <c r="B26" i="19" s="1"/>
  <c r="B11" i="13"/>
  <c r="B27" i="19" s="1"/>
  <c r="D24" i="19"/>
  <c r="I12" i="19"/>
  <c r="G46" i="55"/>
  <c r="B68" i="55"/>
  <c r="G68" i="55" s="1"/>
  <c r="C12" i="19"/>
  <c r="H11" i="19"/>
  <c r="J11" i="19" s="1"/>
  <c r="E15" i="20"/>
  <c r="C52" i="41"/>
  <c r="C48" i="41"/>
  <c r="G10" i="41"/>
  <c r="C51" i="41"/>
  <c r="C47" i="41"/>
  <c r="C50" i="41"/>
  <c r="C49" i="41"/>
  <c r="W76" i="92"/>
  <c r="V76" i="92"/>
  <c r="X76" i="92"/>
  <c r="I107" i="22"/>
  <c r="G107" i="22"/>
  <c r="C14" i="37"/>
  <c r="C7" i="40"/>
  <c r="C8" i="40" s="1"/>
  <c r="B89" i="70"/>
  <c r="B91" i="70" s="1"/>
  <c r="C89" i="70" s="1"/>
  <c r="C91" i="70" s="1"/>
  <c r="D89" i="70" s="1"/>
  <c r="E68" i="70"/>
  <c r="E69" i="70" s="1"/>
  <c r="E86" i="70" s="1"/>
  <c r="F62" i="70"/>
  <c r="F68" i="70" s="1"/>
  <c r="F69" i="70" s="1"/>
  <c r="F86" i="70" s="1"/>
  <c r="C15" i="20"/>
  <c r="G67" i="3"/>
  <c r="L80" i="23"/>
  <c r="M80" i="23" s="1"/>
  <c r="C80" i="23"/>
  <c r="B14" i="37"/>
  <c r="B7" i="40"/>
  <c r="B8" i="40" s="1"/>
  <c r="G44" i="4"/>
  <c r="E107" i="22"/>
  <c r="B13" i="19"/>
  <c r="B68" i="3"/>
  <c r="G46" i="3"/>
  <c r="O80" i="23"/>
  <c r="P80" i="23" s="1"/>
  <c r="E80" i="23"/>
  <c r="K107" i="22"/>
  <c r="C12" i="20"/>
  <c r="C14" i="20"/>
  <c r="E14" i="37"/>
  <c r="M14" i="37" s="1"/>
  <c r="N14" i="37" s="1"/>
  <c r="E7" i="40"/>
  <c r="E8" i="40" s="1"/>
  <c r="G68" i="3" l="1"/>
  <c r="G14" i="37"/>
  <c r="H14" i="37" s="1"/>
  <c r="D91" i="70"/>
  <c r="E89" i="70" s="1"/>
  <c r="F97" i="70"/>
  <c r="F99" i="70" s="1"/>
  <c r="F88" i="70" s="1"/>
  <c r="F90" i="70" s="1"/>
  <c r="E99" i="70"/>
  <c r="E88" i="70" s="1"/>
  <c r="E90" i="70" s="1"/>
  <c r="J14" i="37"/>
  <c r="K14" i="37" s="1"/>
  <c r="H12" i="19"/>
  <c r="J12" i="19" s="1"/>
  <c r="C24" i="19"/>
  <c r="J24" i="19" s="1"/>
  <c r="E91" i="70" l="1"/>
  <c r="F89" i="70" s="1"/>
  <c r="F91" i="70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anyone</author>
    <author>作者</author>
    <author>lenovo</author>
  </authors>
  <commentList>
    <comment ref="K37" authorId="0" shapeId="0" xr:uid="{00000000-0006-0000-0A00-000001000000}">
      <text>
        <r>
          <rPr>
            <b/>
            <sz val="9"/>
            <rFont val="宋体"/>
            <charset val="134"/>
          </rPr>
          <t>anyone:</t>
        </r>
        <r>
          <rPr>
            <sz val="9"/>
            <rFont val="宋体"/>
            <charset val="134"/>
          </rPr>
          <t xml:space="preserve">
季报已挪1年</t>
        </r>
      </text>
    </comment>
    <comment ref="J91" authorId="1" shapeId="0" xr:uid="{00000000-0006-0000-0A00-000002000000}">
      <text>
        <r>
          <rPr>
            <b/>
            <sz val="9"/>
            <rFont val="宋体"/>
            <charset val="134"/>
          </rPr>
          <t xml:space="preserve">作者:
</t>
        </r>
      </text>
    </comment>
    <comment ref="J258" authorId="1" shapeId="0" xr:uid="{00000000-0006-0000-0A00-000003000000}">
      <text>
        <r>
          <rPr>
            <b/>
            <sz val="9"/>
            <rFont val="宋体"/>
            <charset val="134"/>
          </rPr>
          <t xml:space="preserve">作者:
</t>
        </r>
      </text>
    </comment>
    <comment ref="E298" authorId="2" shapeId="0" xr:uid="{00000000-0006-0000-0A00-000004000000}">
      <text>
        <r>
          <rPr>
            <b/>
            <sz val="9"/>
            <rFont val="宋体"/>
            <charset val="134"/>
          </rPr>
          <t>单项计提2429819.51</t>
        </r>
        <r>
          <rPr>
            <sz val="9"/>
            <rFont val="宋体"/>
            <charset val="134"/>
          </rPr>
          <t xml:space="preserve">
</t>
        </r>
      </text>
    </comment>
    <comment ref="F298" authorId="2" shapeId="0" xr:uid="{00000000-0006-0000-0A00-000005000000}">
      <text>
        <r>
          <rPr>
            <b/>
            <sz val="9"/>
            <rFont val="宋体"/>
            <charset val="134"/>
          </rPr>
          <t>单项计提2429819.51</t>
        </r>
        <r>
          <rPr>
            <sz val="9"/>
            <rFont val="宋体"/>
            <charset val="134"/>
          </rPr>
          <t xml:space="preserve">
</t>
        </r>
      </text>
    </comment>
    <comment ref="J322" authorId="1" shapeId="0" xr:uid="{00000000-0006-0000-0A00-000006000000}">
      <text>
        <r>
          <rPr>
            <b/>
            <sz val="9"/>
            <rFont val="宋体"/>
            <charset val="134"/>
          </rPr>
          <t xml:space="preserve">作者:
</t>
        </r>
      </text>
    </comment>
    <comment ref="L330" authorId="0" shapeId="0" xr:uid="{00000000-0006-0000-0A00-000007000000}">
      <text>
        <r>
          <rPr>
            <b/>
            <sz val="9"/>
            <rFont val="宋体"/>
            <charset val="134"/>
          </rPr>
          <t>anyone:</t>
        </r>
        <r>
          <rPr>
            <sz val="9"/>
            <rFont val="宋体"/>
            <charset val="134"/>
          </rPr>
          <t xml:space="preserve">
20年季报就挪一年了</t>
        </r>
      </text>
    </comment>
  </commentList>
</comments>
</file>

<file path=xl/sharedStrings.xml><?xml version="1.0" encoding="utf-8"?>
<sst xmlns="http://schemas.openxmlformats.org/spreadsheetml/2006/main" count="6901" uniqueCount="1233">
  <si>
    <t>报告期</t>
  </si>
  <si>
    <t>三年一期</t>
  </si>
  <si>
    <t>近三年及一期末</t>
  </si>
  <si>
    <t>2023年末</t>
  </si>
  <si>
    <t>2022年末</t>
  </si>
  <si>
    <t>2021年末</t>
  </si>
  <si>
    <t>2020年末</t>
  </si>
  <si>
    <t>近三年及一期</t>
  </si>
  <si>
    <t>2023年度</t>
  </si>
  <si>
    <t>2022年度</t>
  </si>
  <si>
    <t>2021年度</t>
  </si>
  <si>
    <t>2020年度</t>
  </si>
  <si>
    <t>转化后数据</t>
  </si>
  <si>
    <t>原始数据</t>
  </si>
  <si>
    <t>项        目</t>
  </si>
  <si>
    <t>辅助</t>
  </si>
  <si>
    <t>流动资产：</t>
  </si>
  <si>
    <t>货币资金</t>
  </si>
  <si>
    <t>交易性金融资产</t>
  </si>
  <si>
    <t>以公允价值计量且其变动计入当期损益的金融资产</t>
  </si>
  <si>
    <t>衍生金融资产</t>
  </si>
  <si>
    <t>应收票据</t>
  </si>
  <si>
    <t>应收账款</t>
  </si>
  <si>
    <t>应收款项融资</t>
  </si>
  <si>
    <t>预付款项</t>
  </si>
  <si>
    <t>应收保费</t>
  </si>
  <si>
    <t>应收分保账款</t>
  </si>
  <si>
    <t>应收分保合同准备金</t>
  </si>
  <si>
    <t>其他应收款</t>
  </si>
  <si>
    <t>买入返售金融资产</t>
  </si>
  <si>
    <t>存货</t>
  </si>
  <si>
    <t>合同资产</t>
  </si>
  <si>
    <t>持有待售资产</t>
  </si>
  <si>
    <t>一年内到期的非流动资产</t>
  </si>
  <si>
    <t>其他流动资产</t>
  </si>
  <si>
    <t>流动资产合计</t>
  </si>
  <si>
    <t>非流动资产：</t>
  </si>
  <si>
    <t xml:space="preserve">   发放贷款和垫款</t>
  </si>
  <si>
    <t xml:space="preserve">   债权投资</t>
  </si>
  <si>
    <t>可供出售金融资产</t>
  </si>
  <si>
    <t>其他债权投资</t>
  </si>
  <si>
    <t>持有至到期投资</t>
  </si>
  <si>
    <t>长期应收款</t>
  </si>
  <si>
    <t>长期股权投资</t>
  </si>
  <si>
    <t>其他权益工具投资</t>
  </si>
  <si>
    <t>其他非流动金融资产</t>
  </si>
  <si>
    <t>投资性房地产</t>
  </si>
  <si>
    <t>固定资产</t>
  </si>
  <si>
    <t>在建工程</t>
  </si>
  <si>
    <t>生产性生物资产</t>
  </si>
  <si>
    <t>油气资产</t>
  </si>
  <si>
    <t>无形资产</t>
  </si>
  <si>
    <t>开发支出</t>
  </si>
  <si>
    <t>商誉</t>
  </si>
  <si>
    <t>长期待摊费用</t>
  </si>
  <si>
    <t>递延所得税资产</t>
  </si>
  <si>
    <t>其他非流动资产</t>
  </si>
  <si>
    <t>非流动资产合计</t>
  </si>
  <si>
    <t>资产总计</t>
  </si>
  <si>
    <t>流动负债：</t>
  </si>
  <si>
    <t>短期借款</t>
  </si>
  <si>
    <t>交易性金融负债</t>
  </si>
  <si>
    <t>以公允价值计量且其变动计入当期损益的金融负债</t>
  </si>
  <si>
    <t>衍生金融负债</t>
  </si>
  <si>
    <t>应付票据</t>
  </si>
  <si>
    <t>应付账款</t>
  </si>
  <si>
    <t>预收款项</t>
  </si>
  <si>
    <t>合同负债</t>
  </si>
  <si>
    <t>应付职工薪酬</t>
  </si>
  <si>
    <t>应交税费</t>
  </si>
  <si>
    <t>其他应付款</t>
  </si>
  <si>
    <t>担保业务准备金</t>
  </si>
  <si>
    <t>持有待售负债</t>
  </si>
  <si>
    <t>一年内到期的非流动负债</t>
  </si>
  <si>
    <t>其他流动负债</t>
  </si>
  <si>
    <t>流动负债合计</t>
  </si>
  <si>
    <t>非流动负债：</t>
  </si>
  <si>
    <t>长期借款</t>
  </si>
  <si>
    <t>应付债券</t>
  </si>
  <si>
    <t>长期应付款</t>
  </si>
  <si>
    <t>专项应付款</t>
  </si>
  <si>
    <t>长期应付职工薪酬</t>
  </si>
  <si>
    <t>预计负债</t>
  </si>
  <si>
    <t>递延收益</t>
  </si>
  <si>
    <t>递延所得税负债</t>
  </si>
  <si>
    <t>其他非流动负债</t>
  </si>
  <si>
    <t>非流动负债合计</t>
  </si>
  <si>
    <t>负债合计</t>
  </si>
  <si>
    <t>所有者权益（或股东权益）：</t>
  </si>
  <si>
    <t>实收资本（或股本）</t>
  </si>
  <si>
    <t>其他权益工具</t>
  </si>
  <si>
    <t>其中：优先股</t>
  </si>
  <si>
    <t xml:space="preserve">      永续债</t>
  </si>
  <si>
    <t>资本公积</t>
  </si>
  <si>
    <t>减：库存股</t>
  </si>
  <si>
    <t>其他综合收益</t>
  </si>
  <si>
    <t>专项储备</t>
  </si>
  <si>
    <t>盈余公积</t>
  </si>
  <si>
    <t>未分配利润</t>
  </si>
  <si>
    <t>归属于母公司股东权益合计</t>
  </si>
  <si>
    <t>少数股东权益</t>
  </si>
  <si>
    <t>所有者权益（或股东权益）合计</t>
  </si>
  <si>
    <t>负债和所有者权益（或股东权益）总计 </t>
  </si>
  <si>
    <t>法定代表人：                     主管会计工作负责人：                    会计机构负责人：</t>
  </si>
  <si>
    <t>check</t>
  </si>
  <si>
    <t>长期债务</t>
  </si>
  <si>
    <t>短期债务</t>
  </si>
  <si>
    <t>持有到期至投资</t>
  </si>
  <si>
    <t>项             目</t>
  </si>
  <si>
    <t>一、营业总收入</t>
  </si>
  <si>
    <t xml:space="preserve">    其中：营业收入</t>
  </si>
  <si>
    <t xml:space="preserve">         利息收入</t>
  </si>
  <si>
    <t xml:space="preserve">         已赚保费</t>
  </si>
  <si>
    <t xml:space="preserve">         手续费及佣金收入</t>
  </si>
  <si>
    <t>二、营业总成本</t>
  </si>
  <si>
    <t xml:space="preserve">    其中：营业成本</t>
  </si>
  <si>
    <t xml:space="preserve">         利息支出</t>
  </si>
  <si>
    <t xml:space="preserve">         手续费及佣金支出</t>
  </si>
  <si>
    <t xml:space="preserve">         提取担保业务准备金</t>
  </si>
  <si>
    <t xml:space="preserve">         赔付支出净额</t>
  </si>
  <si>
    <t xml:space="preserve">         提取保险责任准备金净额</t>
  </si>
  <si>
    <t xml:space="preserve">         保单红利支出</t>
  </si>
  <si>
    <t xml:space="preserve">         分保费用</t>
  </si>
  <si>
    <t xml:space="preserve">         税金及附加</t>
  </si>
  <si>
    <t xml:space="preserve">         销售费用</t>
  </si>
  <si>
    <t xml:space="preserve">         管理费用</t>
  </si>
  <si>
    <t xml:space="preserve">         研发费用</t>
  </si>
  <si>
    <t xml:space="preserve">         财务费用</t>
  </si>
  <si>
    <t xml:space="preserve">          其中：利息费用</t>
  </si>
  <si>
    <t xml:space="preserve">                利息收入</t>
  </si>
  <si>
    <t xml:space="preserve">                汇兑净损失（净收益以“-”号填列）</t>
  </si>
  <si>
    <t xml:space="preserve">         资产减值损失</t>
  </si>
  <si>
    <t xml:space="preserve">    加：其他收益</t>
  </si>
  <si>
    <t xml:space="preserve">        投资收益（损失以“－”号填列）</t>
  </si>
  <si>
    <t xml:space="preserve">          其中：对联营企业和合营企业的投资收益</t>
  </si>
  <si>
    <t xml:space="preserve">               以摊余成本计量的金融资产终止确认收益</t>
  </si>
  <si>
    <t xml:space="preserve">         汇兑收益（损失以“-”号填列）</t>
  </si>
  <si>
    <t xml:space="preserve">         净敞口套期收益（损失以“-”号填列）</t>
  </si>
  <si>
    <t xml:space="preserve">         公允价值变动收益（损失以“－”号填列）</t>
  </si>
  <si>
    <t xml:space="preserve">         信用减值损失（损失以“-”号填列）</t>
  </si>
  <si>
    <t xml:space="preserve">         资产减值损失（损失以“－”号填列）</t>
  </si>
  <si>
    <t xml:space="preserve">         资产处置收益（损失以“－”号填列）</t>
  </si>
  <si>
    <t>三、营业利润（亏损以“－”号填列）</t>
  </si>
  <si>
    <t xml:space="preserve">    加：营业外收入</t>
  </si>
  <si>
    <t xml:space="preserve">    减：营业外支出</t>
  </si>
  <si>
    <t>四、利润总额（亏损总额以“－”号填列）</t>
  </si>
  <si>
    <t>329.592,698.94</t>
  </si>
  <si>
    <t xml:space="preserve">    减：所得税费用</t>
  </si>
  <si>
    <t>五、净利润（净亏损以“－”号填列）</t>
  </si>
  <si>
    <t>（一）按经营持续性分类：</t>
  </si>
  <si>
    <t>1.持续经营净利润（净亏损以“－”号填列）</t>
  </si>
  <si>
    <t>2.终止经营净利润（净亏损以“－”号填列）</t>
  </si>
  <si>
    <t>（二）按所有权归属分类：</t>
  </si>
  <si>
    <t>1.归属于母公司股东的净利润（净亏损以“－”号填列）</t>
  </si>
  <si>
    <t>328.533.241.82</t>
  </si>
  <si>
    <t>2.少数股东损益（净亏损以“－”号填列）</t>
  </si>
  <si>
    <t>六、其他综合收益的税后净额</t>
  </si>
  <si>
    <t>归属母公司股东的其他综合收益的税后净额</t>
  </si>
  <si>
    <t>(一）不能重分类进损益的其他综合收益</t>
  </si>
  <si>
    <t>1.重新计量设定受益计划变动额</t>
  </si>
  <si>
    <t>2.权益法下不能转损益的其他综合收益</t>
  </si>
  <si>
    <t>3.其他权益工具投资公允价值变动</t>
  </si>
  <si>
    <t>4.企业自身信用风险公允价值变动</t>
  </si>
  <si>
    <t>5.其他</t>
  </si>
  <si>
    <t>（二）将重分类进损益的其他综合收益</t>
  </si>
  <si>
    <t>1.权益法下可转损益的其他综合收益</t>
  </si>
  <si>
    <t>2.其他债权投资公允价值变动</t>
  </si>
  <si>
    <t>3.可供出售金融资产公允价值变动损益</t>
  </si>
  <si>
    <t>4.金融资产重分类计入其他综合收益的金额</t>
  </si>
  <si>
    <t>5.持有至到期投资重分类为可供出售金融资产损益</t>
  </si>
  <si>
    <t>6.其他债权投资信用减值准备</t>
  </si>
  <si>
    <t>7.现金流量套期损益的有效部分</t>
  </si>
  <si>
    <t>8.外币财务报表折算差额</t>
  </si>
  <si>
    <t>9.其他</t>
  </si>
  <si>
    <t>归属于少数股东的其他综合收益的税后净额</t>
  </si>
  <si>
    <t>七、综合收益总额</t>
  </si>
  <si>
    <t>归属于母公司股东的综合收益总额</t>
  </si>
  <si>
    <t>873.786,810.72</t>
  </si>
  <si>
    <t>归属于少数股东的综合收益总额</t>
  </si>
  <si>
    <t>1.060.909.00</t>
  </si>
  <si>
    <t>八、每股收益</t>
  </si>
  <si>
    <t>（一）基本每股收益</t>
  </si>
  <si>
    <t>（二）稀释每股收益</t>
  </si>
  <si>
    <t>法定代表人：                    主管会计工作负责人：                   会计机构负责人：</t>
  </si>
  <si>
    <t xml:space="preserve">         其他</t>
  </si>
  <si>
    <t>项       目</t>
  </si>
  <si>
    <t>一、经营活动产生的现金流量：</t>
  </si>
  <si>
    <t>销售商品、提供劳务收到的现金</t>
  </si>
  <si>
    <t>收到的税费返还</t>
  </si>
  <si>
    <t>收到其他与经营活动有关的现金</t>
  </si>
  <si>
    <t>经营活动现金流入小计</t>
  </si>
  <si>
    <t>购买商品、接受劳务支付的现金</t>
  </si>
  <si>
    <t>支付给职工以及为职工支付的现金</t>
  </si>
  <si>
    <t>支付的各项税费</t>
  </si>
  <si>
    <t>支付其他与经营活动有关的现金</t>
  </si>
  <si>
    <t>经营活动现金流出小计</t>
  </si>
  <si>
    <t>经营活动产生的现金流量净额</t>
  </si>
  <si>
    <t>二、投资活动产生的现金流量：</t>
  </si>
  <si>
    <t>收回投资收到的现金</t>
  </si>
  <si>
    <t>取得投资收益收到的现金</t>
  </si>
  <si>
    <t>处置固定资产、无形资产和其他长期资产收回的现金净额</t>
  </si>
  <si>
    <t>处置子公司及其他营业单位收到的现金净额</t>
  </si>
  <si>
    <t>收到其他与投资活动有关的现金</t>
  </si>
  <si>
    <t>投资活动现金流入小计</t>
  </si>
  <si>
    <t>购建固定资产、无形资产和其他长期资产支付的现金</t>
  </si>
  <si>
    <t>投资支付的现金</t>
  </si>
  <si>
    <t>质押贷款净增加额</t>
  </si>
  <si>
    <t>取得子公司及其他营业单位支付的现金净额</t>
  </si>
  <si>
    <t>支付其他与投资活动有关的现金</t>
  </si>
  <si>
    <t>投资活动现金流出小计</t>
  </si>
  <si>
    <t>投资活动产生的现金流量净额</t>
  </si>
  <si>
    <t>三、筹资活动产生的现金流量：</t>
  </si>
  <si>
    <t>吸收投资收到的现金</t>
  </si>
  <si>
    <t xml:space="preserve">   其中：子公司吸收少数股东投资收到的现金</t>
  </si>
  <si>
    <t>取得借款收到的现金</t>
  </si>
  <si>
    <t xml:space="preserve">   发行债券收到的现金</t>
  </si>
  <si>
    <t>收到其他与筹资活动有关的现金</t>
  </si>
  <si>
    <t>筹资活动现金流入小计</t>
  </si>
  <si>
    <t>偿还债务支付的现金</t>
  </si>
  <si>
    <t>分配股利、利润或偿付利息支付的现金</t>
  </si>
  <si>
    <t xml:space="preserve">   其中：子公司支付给少数股东的股利、利润</t>
  </si>
  <si>
    <t>支付其他与筹资活动有关的现金</t>
  </si>
  <si>
    <t>筹资活动现金流出小计</t>
  </si>
  <si>
    <t>筹资活动产生的现金流量净额</t>
  </si>
  <si>
    <t>四、汇率变动对现金及现金等价物的影响</t>
  </si>
  <si>
    <t>五、现金及现金等价物净增加额</t>
  </si>
  <si>
    <t>加：期初现金及现金等价物余额</t>
  </si>
  <si>
    <t>六、期末现金及现金等价物余额</t>
  </si>
  <si>
    <t>法定代表人：                 主管会计工作负责人：                 会计机构负责人：</t>
  </si>
  <si>
    <t>项    目</t>
  </si>
  <si>
    <t>1.将净利润调节为经营活动现金流量：</t>
  </si>
  <si>
    <t>净利润</t>
  </si>
  <si>
    <t>加：资产减值准备</t>
  </si>
  <si>
    <t>信用减值损失</t>
  </si>
  <si>
    <t>固定资产折旧、油气资产折耗、生产性生物资产折旧</t>
  </si>
  <si>
    <t>无形资产摊销</t>
  </si>
  <si>
    <t>长期待摊费用摊销</t>
  </si>
  <si>
    <t>处置固定资产、无形资产和其他长期资产的损失（收益以“－”号填列）</t>
  </si>
  <si>
    <t>固定资产报废损失（收益以“－”号填列）</t>
  </si>
  <si>
    <t>公允价值变动损失（收益以“－”号填列）</t>
  </si>
  <si>
    <t>财务费用（收益以“－”号填列）</t>
  </si>
  <si>
    <t>投资损失（收益以“－”号填列）</t>
  </si>
  <si>
    <t>递延所得税资产减少（增加以“－”号填列）</t>
  </si>
  <si>
    <t>递延所得税负债增加（减少以“－”号填列）</t>
  </si>
  <si>
    <t>存货的减少（增加以“－”号填列）</t>
  </si>
  <si>
    <t>经营性应收项目的减少（增加以“－”号填列）</t>
  </si>
  <si>
    <t>经营性应付项目的增加（减少以“－”号填列）</t>
  </si>
  <si>
    <t>其他</t>
  </si>
  <si>
    <t>2.不涉及现金收支的重大投资和筹资活动：</t>
  </si>
  <si>
    <t>债务转为资本</t>
  </si>
  <si>
    <t>一年内到期的可转换公司债券</t>
  </si>
  <si>
    <t>融资租入固定资产</t>
  </si>
  <si>
    <t>3.现金及现金等价物净变动情况：</t>
  </si>
  <si>
    <t>现金的期末余额</t>
  </si>
  <si>
    <t>减：现金的年初余额</t>
  </si>
  <si>
    <t>加：现金等价物的期末余额</t>
  </si>
  <si>
    <t>减：现金等价物的年初余额</t>
  </si>
  <si>
    <t>现金及现金等价物净增加额</t>
  </si>
  <si>
    <t>-1,820.541,018.23</t>
  </si>
  <si>
    <t>土地整理业务</t>
  </si>
  <si>
    <t>收入基数</t>
  </si>
  <si>
    <r>
      <rPr>
        <sz val="10"/>
        <color rgb="FF000000"/>
        <rFont val="宋体"/>
        <charset val="134"/>
      </rPr>
      <t>收入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宋体"/>
        <charset val="134"/>
      </rPr>
      <t>回款</t>
    </r>
  </si>
  <si>
    <r>
      <rPr>
        <sz val="10"/>
        <color rgb="FF000000"/>
        <rFont val="Times New Roman"/>
        <family val="1"/>
      </rPr>
      <t>2022</t>
    </r>
    <r>
      <rPr>
        <sz val="10"/>
        <color rgb="FF000000"/>
        <rFont val="宋体"/>
        <charset val="134"/>
      </rPr>
      <t>年回款</t>
    </r>
  </si>
  <si>
    <r>
      <rPr>
        <sz val="10"/>
        <color rgb="FF000000"/>
        <rFont val="Times New Roman"/>
        <family val="1"/>
      </rPr>
      <t>2023</t>
    </r>
    <r>
      <rPr>
        <sz val="10"/>
        <color rgb="FF000000"/>
        <rFont val="宋体"/>
        <charset val="134"/>
      </rPr>
      <t>年回款</t>
    </r>
  </si>
  <si>
    <r>
      <rPr>
        <sz val="10"/>
        <color rgb="FF000000"/>
        <rFont val="Times New Roman"/>
        <family val="1"/>
      </rPr>
      <t>2024年回款</t>
    </r>
  </si>
  <si>
    <r>
      <rPr>
        <sz val="10"/>
        <color rgb="FF000000"/>
        <rFont val="Times New Roman"/>
        <family val="1"/>
      </rPr>
      <t>2025年回款</t>
    </r>
  </si>
  <si>
    <r>
      <rPr>
        <sz val="10"/>
        <color rgb="FF000000"/>
        <rFont val="Times New Roman"/>
        <family val="1"/>
      </rPr>
      <t>2026年回款</t>
    </r>
  </si>
  <si>
    <r>
      <rPr>
        <sz val="10"/>
        <color rgb="FF000000"/>
        <rFont val="Times New Roman"/>
        <family val="1"/>
      </rPr>
      <t>2022</t>
    </r>
    <r>
      <rPr>
        <sz val="10"/>
        <color rgb="FF000000"/>
        <rFont val="宋体"/>
        <charset val="134"/>
      </rPr>
      <t>年收入</t>
    </r>
  </si>
  <si>
    <r>
      <rPr>
        <sz val="10"/>
        <color rgb="FF000000"/>
        <rFont val="Times New Roman"/>
        <family val="1"/>
      </rPr>
      <t>2023</t>
    </r>
    <r>
      <rPr>
        <sz val="10"/>
        <color rgb="FF000000"/>
        <rFont val="宋体"/>
        <charset val="134"/>
      </rPr>
      <t>年收入</t>
    </r>
  </si>
  <si>
    <r>
      <rPr>
        <sz val="10"/>
        <color rgb="FF000000"/>
        <rFont val="Times New Roman"/>
        <family val="1"/>
      </rPr>
      <t>2024</t>
    </r>
    <r>
      <rPr>
        <sz val="10"/>
        <color rgb="FF000000"/>
        <rFont val="宋体"/>
        <charset val="134"/>
      </rPr>
      <t>年收入</t>
    </r>
  </si>
  <si>
    <r>
      <rPr>
        <sz val="10"/>
        <color rgb="FF000000"/>
        <rFont val="Times New Roman"/>
        <family val="1"/>
      </rPr>
      <t>2025</t>
    </r>
    <r>
      <rPr>
        <sz val="10"/>
        <color rgb="FF000000"/>
        <rFont val="宋体"/>
        <charset val="134"/>
      </rPr>
      <t>年收入</t>
    </r>
  </si>
  <si>
    <r>
      <rPr>
        <sz val="10"/>
        <color rgb="FF000000"/>
        <rFont val="Times New Roman"/>
        <family val="1"/>
      </rPr>
      <t>2026</t>
    </r>
    <r>
      <rPr>
        <sz val="10"/>
        <color rgb="FF000000"/>
        <rFont val="宋体"/>
        <charset val="134"/>
      </rPr>
      <t>年收入</t>
    </r>
  </si>
  <si>
    <t>合计</t>
  </si>
  <si>
    <t>粮食销售业务</t>
  </si>
  <si>
    <t>保障房销售业务</t>
  </si>
  <si>
    <t>水费收入</t>
  </si>
  <si>
    <t>销售商品、提供劳务收到的现金流入</t>
  </si>
  <si>
    <t>业务</t>
  </si>
  <si>
    <t>项目</t>
  </si>
  <si>
    <t>经营活动现金流出</t>
  </si>
  <si>
    <t>板块</t>
  </si>
  <si>
    <t>经营性活动现金流量净额合计</t>
  </si>
  <si>
    <t>投资活动现金流量净额</t>
  </si>
  <si>
    <t>筹资活动现金流净额</t>
  </si>
  <si>
    <t>经营活动产生现金流量净额</t>
  </si>
  <si>
    <t>投资活动产生现金流量净额</t>
  </si>
  <si>
    <t>筹资活动产生现金流量净额</t>
  </si>
  <si>
    <t>期初现金及现金等价物金额</t>
  </si>
  <si>
    <t>现金及现金等价物增加额</t>
  </si>
  <si>
    <t>期末现金及现金等价物金额</t>
  </si>
  <si>
    <t>筹资活动流入</t>
  </si>
  <si>
    <t>筹资活动流出</t>
  </si>
  <si>
    <t>发行规模</t>
  </si>
  <si>
    <t>发债后资产负债率</t>
  </si>
  <si>
    <t>EBITDA利息保障倍数</t>
  </si>
  <si>
    <t>销售商品提供劳务收到的现金/营业收入</t>
  </si>
  <si>
    <t>经营活动现金净流量</t>
  </si>
  <si>
    <t>净资产</t>
  </si>
  <si>
    <t>主营业务收入</t>
  </si>
  <si>
    <t>净资产收益率</t>
  </si>
  <si>
    <t>利润总额</t>
  </si>
  <si>
    <t>计入财务费用的利息支出</t>
  </si>
  <si>
    <t>EBIT</t>
  </si>
  <si>
    <t>当期固定资产折旧金额</t>
  </si>
  <si>
    <t>当期无形资产摊销金额</t>
  </si>
  <si>
    <t>当期长期待摊费用摊销金额</t>
  </si>
  <si>
    <t>EBITDA</t>
  </si>
  <si>
    <t>资本化利息支出</t>
  </si>
  <si>
    <t>EBIT利息保障倍数</t>
  </si>
  <si>
    <t>EBITDA利息倍数</t>
  </si>
  <si>
    <t>一年内到期非流动负债</t>
  </si>
  <si>
    <t>长期应付款（有息部分）</t>
  </si>
  <si>
    <t>其他流动负债(有息部分)-应付短期债券</t>
  </si>
  <si>
    <t>永续债</t>
  </si>
  <si>
    <t>全部债务/总债务</t>
  </si>
  <si>
    <t>EBITDA全部债务比</t>
  </si>
  <si>
    <r>
      <rPr>
        <sz val="10"/>
        <color theme="1"/>
        <rFont val="宋体"/>
        <charset val="134"/>
      </rPr>
      <t>账套名称</t>
    </r>
  </si>
  <si>
    <r>
      <rPr>
        <sz val="10"/>
        <color theme="1"/>
        <rFont val="宋体"/>
        <charset val="134"/>
      </rPr>
      <t>单位名称</t>
    </r>
  </si>
  <si>
    <t>分类</t>
  </si>
  <si>
    <t>上期期末数</t>
  </si>
  <si>
    <r>
      <rPr>
        <sz val="10"/>
        <color theme="1"/>
        <rFont val="宋体"/>
        <charset val="134"/>
      </rPr>
      <t>期初审定数</t>
    </r>
  </si>
  <si>
    <r>
      <rPr>
        <sz val="10"/>
        <color theme="1"/>
        <rFont val="宋体"/>
        <charset val="134"/>
      </rPr>
      <t>期末审定数</t>
    </r>
  </si>
  <si>
    <r>
      <rPr>
        <sz val="10"/>
        <color theme="1"/>
        <rFont val="宋体"/>
        <charset val="134"/>
      </rPr>
      <t>是否关联方</t>
    </r>
  </si>
  <si>
    <r>
      <rPr>
        <sz val="10"/>
        <color theme="1"/>
        <rFont val="宋体"/>
        <charset val="134"/>
      </rPr>
      <t>关联方类别</t>
    </r>
  </si>
  <si>
    <r>
      <rPr>
        <sz val="10"/>
        <color theme="1"/>
        <rFont val="宋体"/>
        <charset val="134"/>
      </rPr>
      <t>信用风险组合</t>
    </r>
  </si>
  <si>
    <r>
      <rPr>
        <sz val="10"/>
        <color theme="1"/>
        <rFont val="Arial"/>
        <family val="2"/>
      </rPr>
      <t>1</t>
    </r>
    <r>
      <rPr>
        <sz val="10"/>
        <color theme="1"/>
        <rFont val="宋体"/>
        <charset val="134"/>
      </rPr>
      <t>年以内</t>
    </r>
  </si>
  <si>
    <r>
      <rPr>
        <sz val="10"/>
        <color theme="1"/>
        <rFont val="Arial"/>
        <family val="2"/>
      </rPr>
      <t>1-2</t>
    </r>
    <r>
      <rPr>
        <sz val="10"/>
        <color theme="1"/>
        <rFont val="宋体"/>
        <charset val="134"/>
      </rPr>
      <t>年</t>
    </r>
  </si>
  <si>
    <r>
      <rPr>
        <sz val="10"/>
        <color theme="1"/>
        <rFont val="Arial"/>
        <family val="2"/>
      </rPr>
      <t>2-3</t>
    </r>
    <r>
      <rPr>
        <sz val="10"/>
        <color theme="1"/>
        <rFont val="宋体"/>
        <charset val="134"/>
      </rPr>
      <t>年</t>
    </r>
  </si>
  <si>
    <r>
      <rPr>
        <sz val="10"/>
        <color theme="1"/>
        <rFont val="Arial"/>
        <family val="2"/>
      </rPr>
      <t>3-4</t>
    </r>
    <r>
      <rPr>
        <sz val="10"/>
        <color theme="1"/>
        <rFont val="宋体"/>
        <charset val="134"/>
      </rPr>
      <t>年</t>
    </r>
  </si>
  <si>
    <r>
      <rPr>
        <sz val="10"/>
        <color theme="1"/>
        <rFont val="Arial"/>
        <family val="2"/>
      </rPr>
      <t>4-5</t>
    </r>
    <r>
      <rPr>
        <sz val="10"/>
        <color theme="1"/>
        <rFont val="宋体"/>
        <charset val="134"/>
      </rPr>
      <t>年</t>
    </r>
  </si>
  <si>
    <r>
      <rPr>
        <sz val="10"/>
        <color theme="1"/>
        <rFont val="Arial"/>
        <family val="2"/>
      </rPr>
      <t>5</t>
    </r>
    <r>
      <rPr>
        <sz val="10"/>
        <color theme="1"/>
        <rFont val="宋体"/>
        <charset val="134"/>
      </rPr>
      <t>年以上</t>
    </r>
  </si>
  <si>
    <r>
      <rPr>
        <sz val="10"/>
        <color theme="1"/>
        <rFont val="宋体"/>
        <charset val="134"/>
      </rPr>
      <t>核对</t>
    </r>
  </si>
  <si>
    <r>
      <rPr>
        <sz val="10"/>
        <color theme="1"/>
        <rFont val="宋体"/>
        <charset val="134"/>
      </rPr>
      <t>未抵消往来</t>
    </r>
  </si>
  <si>
    <t>款项性质</t>
  </si>
  <si>
    <t>城投</t>
  </si>
  <si>
    <t>财政局国库科(往来款)</t>
  </si>
  <si>
    <t>非经营性</t>
  </si>
  <si>
    <t>政府组合</t>
  </si>
  <si>
    <t>往来款</t>
  </si>
  <si>
    <t>兴化市粮食购销总公司</t>
  </si>
  <si>
    <t>是</t>
  </si>
  <si>
    <t>合并范围内</t>
  </si>
  <si>
    <t>关联方(合并范围内)</t>
  </si>
  <si>
    <t xml:space="preserve"> -   </t>
  </si>
  <si>
    <t>粮食</t>
  </si>
  <si>
    <t>兴化市财政局</t>
  </si>
  <si>
    <t>否</t>
  </si>
  <si>
    <t>兴化市大禹河道整治建设有限公司</t>
  </si>
  <si>
    <t>兴化市智信城镇建设有限公司</t>
  </si>
  <si>
    <t>清兴</t>
  </si>
  <si>
    <t>自来水</t>
  </si>
  <si>
    <t>城投公司</t>
  </si>
  <si>
    <t>关联方组合</t>
  </si>
  <si>
    <t>兴东</t>
  </si>
  <si>
    <t>兴化市城市建设投资有限公司</t>
  </si>
  <si>
    <t>城发</t>
  </si>
  <si>
    <t>兴化城投</t>
  </si>
  <si>
    <t>城南污水</t>
  </si>
  <si>
    <t>兴化市清兴污水处理有限公司</t>
  </si>
  <si>
    <t>兴化市乌巾荡风景区旅游发展有限公司</t>
  </si>
  <si>
    <t>经适房</t>
  </si>
  <si>
    <t>其他应收款-拆迁管理办公室</t>
  </si>
  <si>
    <t>经营性</t>
  </si>
  <si>
    <t xml:space="preserve"> -  </t>
  </si>
  <si>
    <t>市经济适用住房建设有限公司</t>
  </si>
  <si>
    <t>兴化市城通市政工程建设有限公司</t>
  </si>
  <si>
    <t>其他应收款-财政局</t>
  </si>
  <si>
    <t>兴化昌瑞贸易有限公司</t>
  </si>
  <si>
    <t>账龄组合</t>
  </si>
  <si>
    <t>泰州市兴周农业有限公司</t>
  </si>
  <si>
    <t>兴化市城投资产管理有限公司</t>
  </si>
  <si>
    <t>财政局</t>
  </si>
  <si>
    <t>缸顾</t>
  </si>
  <si>
    <t>兴化市城发基础设施开发有限公司</t>
  </si>
  <si>
    <t>未抵消的关联方往来</t>
  </si>
  <si>
    <t>兴化市戴南镇东南集镇建设投资有限公司</t>
  </si>
  <si>
    <t>兴化市自来水总公司</t>
  </si>
  <si>
    <t>财政局综合科(专项工程借款)</t>
  </si>
  <si>
    <t>兴化市兴东自来水有限公司</t>
  </si>
  <si>
    <t>财政局综合科(土地出让保证金)</t>
  </si>
  <si>
    <t>消化农商行不良贷款</t>
  </si>
  <si>
    <r>
      <rPr>
        <sz val="10"/>
        <color rgb="FF000000"/>
        <rFont val="微软雅黑"/>
        <charset val="134"/>
      </rPr>
      <t>其他应收款</t>
    </r>
    <r>
      <rPr>
        <sz val="10"/>
        <color rgb="FF000000"/>
        <rFont val="Arial"/>
        <family val="2"/>
      </rPr>
      <t>-</t>
    </r>
    <r>
      <rPr>
        <sz val="10"/>
        <color rgb="FF000000"/>
        <rFont val="微软雅黑"/>
        <charset val="134"/>
      </rPr>
      <t>房改办</t>
    </r>
  </si>
  <si>
    <t>得胜湖</t>
  </si>
  <si>
    <t>其他应收款-兴化国投公司</t>
  </si>
  <si>
    <t>关联方(合并范围外)-国</t>
  </si>
  <si>
    <t>其他应收款-兴化市祥众房屋销售公司</t>
  </si>
  <si>
    <t>兴化市园林绿化工程公司</t>
  </si>
  <si>
    <t>兴化市土地储备中心</t>
  </si>
  <si>
    <t>城南污水厂</t>
  </si>
  <si>
    <t>清兴污水厂</t>
  </si>
  <si>
    <t>肖殿明</t>
  </si>
  <si>
    <t>基层结报费用</t>
  </si>
  <si>
    <t>兴化市城南污水处理厂</t>
  </si>
  <si>
    <t>兴化市粮食局</t>
  </si>
  <si>
    <t>江苏现代农业有限公司（中和公司）</t>
  </si>
  <si>
    <t>托市小麦保证金</t>
  </si>
  <si>
    <t>保证金、押金</t>
  </si>
  <si>
    <t>江苏现代农业有限公司（中和公司）费用</t>
  </si>
  <si>
    <t>海南镇财政所</t>
  </si>
  <si>
    <t>兴化市城秀房地产开发有限公司</t>
  </si>
  <si>
    <t>发行共同担保基金</t>
  </si>
  <si>
    <t>缸顾水厂</t>
  </si>
  <si>
    <t>兴化市旭明米厂</t>
  </si>
  <si>
    <t>兴化市城市道路照明有限公司</t>
  </si>
  <si>
    <t>兴化市陈堡镇财政所</t>
  </si>
  <si>
    <t>兴化市农水资源投资有限公司</t>
  </si>
  <si>
    <t>兴化市粮食购销总公司（应收补贴款）</t>
  </si>
  <si>
    <t>刘殿军</t>
  </si>
  <si>
    <t>兴化市城投供水（集团）有限公司</t>
  </si>
  <si>
    <t>兴东水厂</t>
  </si>
  <si>
    <t>托市粳稻保证金</t>
  </si>
  <si>
    <t>兴化市诚信城市建设项目管理有限公司</t>
  </si>
  <si>
    <t>市财政局</t>
  </si>
  <si>
    <t>中信信托有限责任公司</t>
  </si>
  <si>
    <t>其他应收款-新农村发展公司</t>
  </si>
  <si>
    <t>关联方(合并范围外)</t>
  </si>
  <si>
    <t>余长生</t>
  </si>
  <si>
    <t>王增耀</t>
  </si>
  <si>
    <t>代收粮食局流转款</t>
  </si>
  <si>
    <t>江苏粮油商品交易市场</t>
  </si>
  <si>
    <t>兴化市张郭镇财政所</t>
  </si>
  <si>
    <t>政府局社保科</t>
  </si>
  <si>
    <t>老圩乡人民政府</t>
  </si>
  <si>
    <t>五矿国际信托有限公司</t>
  </si>
  <si>
    <t>水暖材料经营部</t>
  </si>
  <si>
    <t>粮食检测中心大楼</t>
  </si>
  <si>
    <t>兴化市水润绿化工程建设有限公司</t>
  </si>
  <si>
    <t>江苏楚龙面粉有限公司</t>
  </si>
  <si>
    <t>泰州双百工程款</t>
  </si>
  <si>
    <t>长江引水项目（兴化粤海水务有限公司）</t>
  </si>
  <si>
    <r>
      <rPr>
        <sz val="10"/>
        <color theme="1"/>
        <rFont val="宋体"/>
        <charset val="134"/>
      </rPr>
      <t>关联方</t>
    </r>
    <r>
      <rPr>
        <sz val="10"/>
        <color theme="1"/>
        <rFont val="Arial"/>
        <family val="2"/>
      </rPr>
      <t>(</t>
    </r>
    <r>
      <rPr>
        <sz val="10"/>
        <color theme="1"/>
        <rFont val="宋体"/>
        <charset val="134"/>
      </rPr>
      <t>合并范围外</t>
    </r>
    <r>
      <rPr>
        <sz val="10"/>
        <color theme="1"/>
        <rFont val="Arial"/>
        <family val="2"/>
      </rPr>
      <t>)</t>
    </r>
  </si>
  <si>
    <t>江苏新金威公司</t>
  </si>
  <si>
    <t>烘干房</t>
  </si>
  <si>
    <t>兴化市投资建设有限公司</t>
  </si>
  <si>
    <t>苏州信托有限公司</t>
  </si>
  <si>
    <t>中储粮泰州直属库——托市保证金（小麦）</t>
  </si>
  <si>
    <t>还市总欠款</t>
  </si>
  <si>
    <t>兴化市城投农贸市场有限公司</t>
  </si>
  <si>
    <t>刘世兵</t>
  </si>
  <si>
    <t>桑德水务公司</t>
  </si>
  <si>
    <t>中粮贸易江苏公司</t>
  </si>
  <si>
    <t>其他应收款-土建工程队</t>
  </si>
  <si>
    <t>泰州库</t>
  </si>
  <si>
    <t>张建国</t>
  </si>
  <si>
    <t>江苏兴化农村商业银行</t>
  </si>
  <si>
    <t>应收利息</t>
  </si>
  <si>
    <t>吴海和</t>
  </si>
  <si>
    <t>邵圣云</t>
  </si>
  <si>
    <t>财政局经建科</t>
  </si>
  <si>
    <t>代收代付款</t>
  </si>
  <si>
    <t>兴化鑫润担保有限公司</t>
  </si>
  <si>
    <t>粮食企业资产管理总公司</t>
  </si>
  <si>
    <t>其他应收款-张子钧</t>
  </si>
  <si>
    <t>贷款结息</t>
  </si>
  <si>
    <t>代垫吉林费用</t>
  </si>
  <si>
    <t>刘风亮</t>
  </si>
  <si>
    <t>陈连风</t>
  </si>
  <si>
    <t>购储公司</t>
  </si>
  <si>
    <t>朱如明</t>
  </si>
  <si>
    <t>代垫盐城费用</t>
  </si>
  <si>
    <t>拆迁办</t>
  </si>
  <si>
    <t>周庄韩国林备用金</t>
  </si>
  <si>
    <t>备用金</t>
  </si>
  <si>
    <t>其他应收款-新奥燃气公司</t>
  </si>
  <si>
    <t>其他应收款-燃气-凤鸣轩</t>
  </si>
  <si>
    <t>周永康</t>
  </si>
  <si>
    <t>江苏五谷丰登电子商务有限公司</t>
  </si>
  <si>
    <t>兴化市城投经贸有限公司</t>
  </si>
  <si>
    <t>其他应收款-国资办</t>
  </si>
  <si>
    <t>其他应收款-水电费</t>
  </si>
  <si>
    <t>结算门市</t>
  </si>
  <si>
    <t>中储粮泰州直属库——托市保证金（粳稻）</t>
  </si>
  <si>
    <t>托市粮保证金</t>
  </si>
  <si>
    <t>中储粮泰州直属库</t>
  </si>
  <si>
    <t>费陈借款</t>
  </si>
  <si>
    <t>北大荒物流</t>
  </si>
  <si>
    <t>待报费用</t>
  </si>
  <si>
    <t>五得利集团兴化面粉有限公司</t>
  </si>
  <si>
    <t>陈长海</t>
  </si>
  <si>
    <t>粮食局机关</t>
  </si>
  <si>
    <t>营销公司</t>
  </si>
  <si>
    <t>兴化市林湖粮油贸易公司</t>
  </si>
  <si>
    <t>江苏众田智慧农业科技有限公司</t>
  </si>
  <si>
    <t>刘成龙</t>
  </si>
  <si>
    <t>住房制度改革办</t>
  </si>
  <si>
    <t>南方小麦交易市场小麦保证金</t>
  </si>
  <si>
    <t>安丰供电所</t>
  </si>
  <si>
    <t>荻垛米厂</t>
  </si>
  <si>
    <t>顾桂志</t>
  </si>
  <si>
    <t>各用水单位、散户</t>
  </si>
  <si>
    <t>代扣个人应负担住房公积金</t>
  </si>
  <si>
    <t>贾文桂</t>
  </si>
  <si>
    <t>其他应收款-金开物业公司</t>
  </si>
  <si>
    <t>农商行结息</t>
  </si>
  <si>
    <t>旭明公司利息</t>
  </si>
  <si>
    <t>祥兴米业</t>
  </si>
  <si>
    <t>陶庄站</t>
  </si>
  <si>
    <t>收购门市部</t>
  </si>
  <si>
    <t>林支银</t>
  </si>
  <si>
    <t>朱伯达</t>
  </si>
  <si>
    <t>田大春</t>
  </si>
  <si>
    <t>杨付良</t>
  </si>
  <si>
    <t>老圩预缴电费</t>
  </si>
  <si>
    <t>城东镇财政所</t>
  </si>
  <si>
    <t>建设局</t>
  </si>
  <si>
    <t>孙庆和</t>
  </si>
  <si>
    <t>顾祥</t>
  </si>
  <si>
    <t>姜卫国</t>
  </si>
  <si>
    <t>如皋国库</t>
  </si>
  <si>
    <t>兴化市粮食局（法人保证金）</t>
  </si>
  <si>
    <t>其他应收款-文昌路一期开户预存电费</t>
  </si>
  <si>
    <t>兴化供电公司</t>
  </si>
  <si>
    <t>禹新建</t>
  </si>
  <si>
    <t>王守春</t>
  </si>
  <si>
    <t>朱春锁</t>
  </si>
  <si>
    <t>江苏兴渭粮油购销有限公司</t>
  </si>
  <si>
    <t>南繁</t>
  </si>
  <si>
    <t>兴化市中医院</t>
  </si>
  <si>
    <t>唐伟</t>
  </si>
  <si>
    <t>王增江医疗费</t>
  </si>
  <si>
    <t>杨健</t>
  </si>
  <si>
    <t>业务周转金</t>
  </si>
  <si>
    <t>供水</t>
  </si>
  <si>
    <t>高金彩</t>
  </si>
  <si>
    <t>杨志明</t>
  </si>
  <si>
    <t>江苏苏宁易购电子商务有限公司</t>
  </si>
  <si>
    <t>职工借款</t>
  </si>
  <si>
    <t>应付款项</t>
  </si>
  <si>
    <t>个人所得税</t>
  </si>
  <si>
    <t>其他应收款-金宁达不动产评估咨询公司</t>
  </si>
  <si>
    <t>魏加昭</t>
  </si>
  <si>
    <t>杨玉大</t>
  </si>
  <si>
    <t>职工工作餐自费</t>
  </si>
  <si>
    <t>耿建军</t>
  </si>
  <si>
    <t>梁斌</t>
  </si>
  <si>
    <t>徐定华</t>
  </si>
  <si>
    <t>代扣职工个人负担</t>
  </si>
  <si>
    <t>其他（工会经费）</t>
  </si>
  <si>
    <t>兴化城投污水处理有限公司</t>
  </si>
  <si>
    <t>刘文超</t>
  </si>
  <si>
    <t>机关食堂</t>
  </si>
  <si>
    <t>顾双生</t>
  </si>
  <si>
    <t>社保费个人部分</t>
  </si>
  <si>
    <t>卫强</t>
  </si>
  <si>
    <t>张郭供电所</t>
  </si>
  <si>
    <t>住房公积金个人缴纳部分</t>
  </si>
  <si>
    <t>陆海翔</t>
  </si>
  <si>
    <t>张才</t>
  </si>
  <si>
    <t>经营公司</t>
  </si>
  <si>
    <t>其他应收款-兴化市住房保障中心</t>
  </si>
  <si>
    <t>其他应收款-江苏省土地市场兴化交易所</t>
  </si>
  <si>
    <t>郝来年</t>
  </si>
  <si>
    <t>粮油开发公司</t>
  </si>
  <si>
    <t>华彬</t>
  </si>
  <si>
    <t>瞿沛然</t>
  </si>
  <si>
    <t>杨谭和</t>
  </si>
  <si>
    <t>其他应收款-吴永继</t>
  </si>
  <si>
    <t>预付电费</t>
  </si>
  <si>
    <t>兴化富民市场</t>
  </si>
  <si>
    <t>改水办</t>
  </si>
  <si>
    <t>用电押金</t>
  </si>
  <si>
    <t>费金才</t>
  </si>
  <si>
    <t>周奋供电所</t>
  </si>
  <si>
    <t>社保费</t>
  </si>
  <si>
    <t>高湉</t>
  </si>
  <si>
    <t>张协勤</t>
  </si>
  <si>
    <t>高明如</t>
  </si>
  <si>
    <t>曺兰英</t>
  </si>
  <si>
    <t>唐粉玲保险</t>
  </si>
  <si>
    <t>吴玉广</t>
  </si>
  <si>
    <t>吴玉宏</t>
  </si>
  <si>
    <t>苍建淋</t>
  </si>
  <si>
    <t>兴化市商务局</t>
  </si>
  <si>
    <t>刘佩荣</t>
  </si>
  <si>
    <t>住房公积金</t>
  </si>
  <si>
    <t>库存大检查费用</t>
  </si>
  <si>
    <t>职工教育经费</t>
  </si>
  <si>
    <t>李忠</t>
  </si>
  <si>
    <t>刘志新</t>
  </si>
  <si>
    <t>谈长明</t>
  </si>
  <si>
    <t>政府办</t>
  </si>
  <si>
    <t>其他应收款-建设局</t>
  </si>
  <si>
    <t>其他应收款-城堡三期东侧开户预存电费</t>
  </si>
  <si>
    <t>大米公司</t>
  </si>
  <si>
    <t>黄勇</t>
  </si>
  <si>
    <t>其他应收款-北京中商时代公司</t>
  </si>
  <si>
    <t>修理费</t>
  </si>
  <si>
    <t>朱连存</t>
  </si>
  <si>
    <t>潘智铭</t>
  </si>
  <si>
    <t>收购结算</t>
  </si>
  <si>
    <t>江路</t>
  </si>
  <si>
    <t>经济开发区经纬劳务</t>
  </si>
  <si>
    <t>其他应收款-销售账并账（贷款保证金）</t>
  </si>
  <si>
    <t>环保局</t>
  </si>
  <si>
    <t>医疗保险</t>
  </si>
  <si>
    <t>城建局</t>
  </si>
  <si>
    <t>陈小勇</t>
  </si>
  <si>
    <t>食堂备用金</t>
  </si>
  <si>
    <t>兴化市国土局</t>
  </si>
  <si>
    <t>永丰供电所</t>
  </si>
  <si>
    <t>收购门市</t>
  </si>
  <si>
    <t>职工保险费</t>
  </si>
  <si>
    <t>王鹏</t>
  </si>
  <si>
    <t>楚水合作社</t>
  </si>
  <si>
    <t>昌荣供电所</t>
  </si>
  <si>
    <t>福利院项目部（兴化市新华养老服务有限公司)</t>
  </si>
  <si>
    <t>刘陆搬运站</t>
  </si>
  <si>
    <t>孙立山</t>
  </si>
  <si>
    <t>王宏祥</t>
  </si>
  <si>
    <t>其他应收款-泰州国际交流中心</t>
  </si>
  <si>
    <t>其他应收款-冯珍荣</t>
  </si>
  <si>
    <t>新区高中项目部（兴化市兴中工程项目管理有限公司）</t>
  </si>
  <si>
    <t>兴化市税务局</t>
  </si>
  <si>
    <t>其他应收款-新区三期开户预存电费</t>
  </si>
  <si>
    <t>江苏兴化农村商业银行金桥支行</t>
  </si>
  <si>
    <t>银联商务股份有限公司江苏分公司</t>
  </si>
  <si>
    <t>兴化楚水宾馆</t>
  </si>
  <si>
    <t>陈敏根</t>
  </si>
  <si>
    <t>孙扣英</t>
  </si>
  <si>
    <t>陈月平</t>
  </si>
  <si>
    <t>城投资产</t>
  </si>
  <si>
    <t>江苏舍得建设工程有限公司</t>
  </si>
  <si>
    <t>许宽勇</t>
  </si>
  <si>
    <t>储备粮互联互通工程</t>
  </si>
  <si>
    <t>吴炳俊（库存现金）</t>
  </si>
  <si>
    <t>顾松鹤</t>
  </si>
  <si>
    <t xml:space="preserve">兴化市供电公司 </t>
  </si>
  <si>
    <t>曹美宽</t>
  </si>
  <si>
    <t>泰州睿博安全咨询公司</t>
  </si>
  <si>
    <t>江苏特种设备研究院</t>
  </si>
  <si>
    <t>朱志滨</t>
  </si>
  <si>
    <t>孙正权</t>
  </si>
  <si>
    <t>夏启文</t>
  </si>
  <si>
    <t>联保贷款保证金</t>
  </si>
  <si>
    <t>财政局综合科(往来借款)</t>
  </si>
  <si>
    <t>兴化市交通产业投资集团有限公司</t>
  </si>
  <si>
    <r>
      <rPr>
        <sz val="10"/>
        <color theme="1"/>
        <rFont val="宋体"/>
        <charset val="134"/>
      </rPr>
      <t>关联方</t>
    </r>
    <r>
      <rPr>
        <sz val="10"/>
        <color theme="1"/>
        <rFont val="Arial"/>
        <family val="2"/>
      </rPr>
      <t>(</t>
    </r>
    <r>
      <rPr>
        <sz val="10"/>
        <color theme="1"/>
        <rFont val="宋体"/>
        <charset val="134"/>
      </rPr>
      <t>合并范围外</t>
    </r>
    <r>
      <rPr>
        <sz val="10"/>
        <color theme="1"/>
        <rFont val="Arial"/>
        <family val="2"/>
      </rPr>
      <t>)-</t>
    </r>
    <r>
      <rPr>
        <sz val="10"/>
        <color theme="1"/>
        <rFont val="宋体"/>
        <charset val="134"/>
      </rPr>
      <t>国</t>
    </r>
  </si>
  <si>
    <t>兴化市戴窑财政所</t>
  </si>
  <si>
    <t>借款</t>
  </si>
  <si>
    <t>兴化市房屋征收办公室拆迁补偿安置资金专户</t>
  </si>
  <si>
    <t>刘辉</t>
  </si>
  <si>
    <t>兴化市强盛教育资产经营有限公司</t>
  </si>
  <si>
    <t>兴化市千垛景区旅游发展有限公司</t>
  </si>
  <si>
    <t>兴化市东兴房屋征收服务中心</t>
  </si>
  <si>
    <t>兴化市海南镇刘泽村特色田园乡村建设项目部</t>
  </si>
  <si>
    <t>李莉</t>
  </si>
  <si>
    <t>符敏</t>
  </si>
  <si>
    <t>兴化市陈堡镇唐堡村特色田园乡村</t>
  </si>
  <si>
    <t>兴化市大垛镇财政所</t>
  </si>
  <si>
    <t>兴化市文化旅游发展有限公司</t>
  </si>
  <si>
    <t>兴化市经济发展有限公司</t>
  </si>
  <si>
    <t>长安中路项目部</t>
  </si>
  <si>
    <t>江苏建协工程咨询有限公司泰州分公司</t>
  </si>
  <si>
    <t>兴化交投工程建设有限公司</t>
  </si>
  <si>
    <t>兴化市临城粮油贸易总公司</t>
  </si>
  <si>
    <t>江苏楚穗现代农业发展有限公司</t>
  </si>
  <si>
    <t>兴化市隆和置业有限公司</t>
  </si>
  <si>
    <t>兴化市疾病预防控制中心</t>
  </si>
  <si>
    <t>刘志晖</t>
  </si>
  <si>
    <t>王兴</t>
  </si>
  <si>
    <t>江苏经纬齿轮有限公司</t>
  </si>
  <si>
    <t>陈禹昭</t>
  </si>
  <si>
    <t>陆斓</t>
  </si>
  <si>
    <t>江苏得胜湖文化旅游发展有限公司</t>
  </si>
  <si>
    <t>张郭镇财政局</t>
  </si>
  <si>
    <t>邦银融资租赁</t>
  </si>
  <si>
    <t>兴化经济开发区兴鸿建设工程管理有限公司</t>
  </si>
  <si>
    <t>各乡镇财政局</t>
  </si>
  <si>
    <t>兴化市中南企业管理有限公司</t>
  </si>
  <si>
    <t>东航融资租赁</t>
  </si>
  <si>
    <t>厦门国际信托有限公司</t>
  </si>
  <si>
    <t>兴化市振周废旧物资回收有限公司</t>
  </si>
  <si>
    <t>汪海</t>
  </si>
  <si>
    <t>兴化市兴中工程项目管理有限公司</t>
  </si>
  <si>
    <t>兴化市东南城市建设投资有限公司</t>
  </si>
  <si>
    <t>兴化交投人力资源有限公司</t>
  </si>
  <si>
    <t>中远海运融资租赁</t>
  </si>
  <si>
    <t>兴化市水润工程管理有限公司</t>
  </si>
  <si>
    <t>兴化市望海楼房地产有限公司</t>
  </si>
  <si>
    <t>兴化市长江引水工程建设指挥部</t>
  </si>
  <si>
    <t>其他应收款-廉租房（财政）</t>
  </si>
  <si>
    <t>其他应收款-城堡三期房款等</t>
  </si>
  <si>
    <t>其他应收款-惠景苑房款</t>
  </si>
  <si>
    <t>其他应收款-财政专户</t>
  </si>
  <si>
    <t>其他应收款-兴化市建筑业发展中心</t>
  </si>
  <si>
    <t>其他应收款-江苏鼎科建设有限公司</t>
  </si>
  <si>
    <t>其他应收款-府东花园房款</t>
  </si>
  <si>
    <t>其他应收款-詹凤俊</t>
  </si>
  <si>
    <t>其他应收款-自然资源和规划局</t>
  </si>
  <si>
    <t>其他应收款-城投公司</t>
  </si>
  <si>
    <t>其他应收款-兴化市投资建设有限公司</t>
  </si>
  <si>
    <t>其他应收款-兴化市城市建设投资有限公司</t>
  </si>
  <si>
    <t>詹凤俊</t>
  </si>
  <si>
    <t>吴永继</t>
  </si>
  <si>
    <t>东方置换公司</t>
  </si>
  <si>
    <t>吉宜法</t>
  </si>
  <si>
    <t>江苏戴南新材料科技有限公司</t>
  </si>
  <si>
    <t>江苏博学建设工程有限公司</t>
  </si>
  <si>
    <t>城投污水</t>
  </si>
  <si>
    <t>其他应收款-时维侃</t>
  </si>
  <si>
    <t>其他应收款-周卫华</t>
  </si>
  <si>
    <t>农贸市场</t>
  </si>
  <si>
    <t>吴海滨</t>
  </si>
  <si>
    <t>兴化城发公司基本户</t>
  </si>
  <si>
    <t>兴化城发公司贷款户0726</t>
  </si>
  <si>
    <t>坏账准备</t>
  </si>
  <si>
    <t>财政局国资办</t>
  </si>
  <si>
    <t>财政局综合科城建专项资金代拨款</t>
  </si>
  <si>
    <t>邵定才</t>
  </si>
  <si>
    <t>魏春茵</t>
  </si>
  <si>
    <t>翟晓成</t>
  </si>
  <si>
    <t>石战</t>
  </si>
  <si>
    <t>陆同</t>
  </si>
  <si>
    <t>朱涛</t>
  </si>
  <si>
    <t>赵永庆</t>
  </si>
  <si>
    <t>李兰</t>
  </si>
  <si>
    <t>谢爱军</t>
  </si>
  <si>
    <t>污水处理费（永丰）</t>
  </si>
  <si>
    <t>污水处理费（昌荣）</t>
  </si>
  <si>
    <t>电费预交款</t>
  </si>
  <si>
    <t>江苏楚穗现代农业发展公司</t>
  </si>
  <si>
    <t>未抵消的关联方</t>
  </si>
  <si>
    <t>兴化市粮食局（省级储备粮补贴）</t>
  </si>
  <si>
    <t>兴化市粮食局（县级储备粮补贴）</t>
  </si>
  <si>
    <t>政务服务中心</t>
  </si>
  <si>
    <t>郝俊</t>
  </si>
  <si>
    <t>兴化市城明道路照明安装有限公司</t>
  </si>
  <si>
    <t>兴化市缸顾自来水有限公司</t>
  </si>
  <si>
    <t>名称</t>
  </si>
  <si>
    <t>金额</t>
  </si>
  <si>
    <t>兴化市东方房地产置换有限公司</t>
  </si>
  <si>
    <t>总资产</t>
  </si>
  <si>
    <t>存货与现金流量表的勾稽关系</t>
  </si>
  <si>
    <t>存货期末余额</t>
  </si>
  <si>
    <t>存货差额</t>
  </si>
  <si>
    <t>现金流量表附注中存货的减少</t>
  </si>
  <si>
    <r>
      <rPr>
        <b/>
        <sz val="10"/>
        <color rgb="FF000000"/>
        <rFont val="宋体"/>
        <charset val="134"/>
      </rPr>
      <t>本期末</t>
    </r>
    <r>
      <rPr>
        <b/>
        <sz val="10"/>
        <color rgb="FF000000"/>
        <rFont val="Times New Roman"/>
        <family val="1"/>
      </rPr>
      <t>-</t>
    </r>
    <r>
      <rPr>
        <b/>
        <sz val="10"/>
        <color rgb="FF000000"/>
        <rFont val="宋体"/>
        <charset val="134"/>
      </rPr>
      <t>上期末差额</t>
    </r>
  </si>
  <si>
    <t>营业收入</t>
  </si>
  <si>
    <t>差额</t>
  </si>
  <si>
    <t>有息债务和现金流量勾稽关系</t>
  </si>
  <si>
    <t>变化幅度</t>
  </si>
  <si>
    <t>有息债务</t>
  </si>
  <si>
    <t>现金流量</t>
  </si>
  <si>
    <t>支付利息</t>
  </si>
  <si>
    <t>净额</t>
  </si>
  <si>
    <t>负债总计</t>
  </si>
  <si>
    <t>货币资金与期末现金及现金等价物余额的勾稽关系</t>
  </si>
  <si>
    <t>受限货币资金</t>
  </si>
  <si>
    <t>非受限货币资金</t>
  </si>
  <si>
    <t>期末现金及现金等价物</t>
  </si>
  <si>
    <t>销售商品、提供劳务收到的现金与营业收入的勾稽关系</t>
  </si>
  <si>
    <t>应交税费-增值税</t>
  </si>
  <si>
    <t>主营业务收入+增值税</t>
  </si>
  <si>
    <t>应收账款期末余额</t>
  </si>
  <si>
    <t>应收账款期初余额</t>
  </si>
  <si>
    <t>应收票据期末余额</t>
  </si>
  <si>
    <t>应收票据期初余额</t>
  </si>
  <si>
    <t>其他应收款期末余额</t>
  </si>
  <si>
    <t>其他应收款期初余额</t>
  </si>
  <si>
    <t>预收账款期末余额</t>
  </si>
  <si>
    <t>预收账款期初余额</t>
  </si>
  <si>
    <t>主营业务收入+增值税-（应收账款期末余额-应收账款期初余额）-（应收票据期末余额-应收票据期初余额）+（预收账款期末余额-预收账款期初余额）</t>
  </si>
  <si>
    <t>期限结构</t>
  </si>
  <si>
    <t>占比</t>
  </si>
  <si>
    <t>占负债总额</t>
  </si>
  <si>
    <t>一年内到期</t>
  </si>
  <si>
    <t>一年以上到期</t>
  </si>
  <si>
    <t>报告期内复核增长率</t>
  </si>
  <si>
    <t>短期有息债务增长率</t>
  </si>
  <si>
    <t>债权人</t>
  </si>
  <si>
    <t>期末余额</t>
  </si>
  <si>
    <t>加：利息</t>
  </si>
  <si>
    <t>报表期末数</t>
  </si>
  <si>
    <t>借款日</t>
  </si>
  <si>
    <t>到期日</t>
  </si>
  <si>
    <t>币种</t>
  </si>
  <si>
    <t>年利率</t>
  </si>
  <si>
    <t>担保方式</t>
  </si>
  <si>
    <t>担保人</t>
  </si>
  <si>
    <t>所属公司</t>
  </si>
  <si>
    <t>会计科目</t>
  </si>
  <si>
    <t>融资类型</t>
  </si>
  <si>
    <t>银行类型</t>
  </si>
  <si>
    <t>江苏银行兴化支行</t>
  </si>
  <si>
    <t>人民币</t>
  </si>
  <si>
    <t>保证借款</t>
  </si>
  <si>
    <t>银行借款</t>
  </si>
  <si>
    <t>地方城商行</t>
  </si>
  <si>
    <t>常熟农商行扬州分行</t>
  </si>
  <si>
    <t>地方农商行</t>
  </si>
  <si>
    <t>苏州农商行</t>
  </si>
  <si>
    <t>海安农村商业银行</t>
  </si>
  <si>
    <t>江苏银行</t>
  </si>
  <si>
    <t>中国光大银行</t>
  </si>
  <si>
    <t>股份制银行</t>
  </si>
  <si>
    <t>城南</t>
  </si>
  <si>
    <t>华夏银行泰州分行</t>
  </si>
  <si>
    <t>泰州兴农融资担保有限公司</t>
  </si>
  <si>
    <t>苏州农商行兴化支行</t>
  </si>
  <si>
    <t>质押借款</t>
  </si>
  <si>
    <t>1000万存单质押</t>
  </si>
  <si>
    <t>南京银行</t>
  </si>
  <si>
    <t>兴化市交通产业投资有限公司</t>
  </si>
  <si>
    <t>海安农商行</t>
  </si>
  <si>
    <t>南京银行理财直融</t>
  </si>
  <si>
    <t>非标-理财直融</t>
  </si>
  <si>
    <t>农业银行兴化支行</t>
  </si>
  <si>
    <t>账号639农行2000万存单质押</t>
  </si>
  <si>
    <t>国有六大行</t>
  </si>
  <si>
    <t>账号637农行500万存单质押</t>
  </si>
  <si>
    <t>账号636农行500万存单质押</t>
  </si>
  <si>
    <t>账号696农行1亿存单质押</t>
  </si>
  <si>
    <t>账号698农行500万存单质押</t>
  </si>
  <si>
    <t>账号843农行1亿存单质押</t>
  </si>
  <si>
    <t>账号981农行8000万存单质押</t>
  </si>
  <si>
    <t>账号982农行8000万存单质押</t>
  </si>
  <si>
    <t>交通银行兴化支行</t>
  </si>
  <si>
    <t>城投交行5200万存单质押</t>
  </si>
  <si>
    <t>苏州农村商业银行清算中心</t>
  </si>
  <si>
    <t>应付票据转入</t>
  </si>
  <si>
    <t>中国银行</t>
  </si>
  <si>
    <t>城投1040万存单质押</t>
  </si>
  <si>
    <t>1000万存单</t>
  </si>
  <si>
    <t>经贸</t>
  </si>
  <si>
    <t>资产管理</t>
  </si>
  <si>
    <t>光大银行泰州分行</t>
  </si>
  <si>
    <t>园林</t>
  </si>
  <si>
    <t>常熟农商行</t>
  </si>
  <si>
    <t>兴化农商行</t>
  </si>
  <si>
    <t>中行贷款</t>
  </si>
  <si>
    <t>城投1040万存单质押号码01768082</t>
  </si>
  <si>
    <t>中国农业发展银行兴化市支行</t>
  </si>
  <si>
    <t>江苏兴粮粮食购销有限公司</t>
  </si>
  <si>
    <t>政策性银行</t>
  </si>
  <si>
    <t>苏南村镇银行兴化支行</t>
  </si>
  <si>
    <t>信用借款</t>
  </si>
  <si>
    <t>兴化市荡朱粮油贸易有限公司</t>
  </si>
  <si>
    <t>其他银行</t>
  </si>
  <si>
    <t>南京银行兴化支行</t>
  </si>
  <si>
    <t>江苏兴粮钓鱼粮食储备库有限公司</t>
  </si>
  <si>
    <t>下圩、蔡高、荡朱粮油贸易有限公司联保</t>
  </si>
  <si>
    <t>兴化市蔡高粮油贸易有限公司</t>
  </si>
  <si>
    <t>抵押借款</t>
  </si>
  <si>
    <t>房产证号120380154
土地证兴国用（2013）12013号</t>
  </si>
  <si>
    <t>兴化市下圩粮油贸易有限公司</t>
  </si>
  <si>
    <t>苏州农村商业银行兴化市支行</t>
  </si>
  <si>
    <t>浦发银行泰州高新区支行</t>
  </si>
  <si>
    <t>苏宁银行</t>
  </si>
  <si>
    <t>广发银行</t>
  </si>
  <si>
    <t>中信银行兴化市支行</t>
  </si>
  <si>
    <t>泰州市兴化国有资产投资控股有限公司</t>
  </si>
  <si>
    <t>江苏兴粮北郊粮食储备库有限公司</t>
  </si>
  <si>
    <t>华夏银行</t>
  </si>
  <si>
    <t>农发行</t>
  </si>
  <si>
    <t>常熟农商行兴化支行</t>
  </si>
  <si>
    <t>苏（2019）兴化不动产第0005843号</t>
  </si>
  <si>
    <t>兴业银行</t>
  </si>
  <si>
    <t>省农贷担保</t>
  </si>
  <si>
    <t>LPR加10个基点</t>
  </si>
  <si>
    <t>中国银行股份有限公司兴化支行</t>
  </si>
  <si>
    <t>存单</t>
  </si>
  <si>
    <t>江苏兴粮粮食集团有限公司</t>
  </si>
  <si>
    <t>22兴化城投CP001(南京）</t>
  </si>
  <si>
    <t>信用债-债务融资工具</t>
  </si>
  <si>
    <t>22兴化城投SCP002(兴业）</t>
  </si>
  <si>
    <t>22兴化城投SCP003（江苏）</t>
  </si>
  <si>
    <t>22兴化城投SCP005（江苏）</t>
  </si>
  <si>
    <t>22兴化D1（中信证券）</t>
  </si>
  <si>
    <t>信用债-公司债券</t>
  </si>
  <si>
    <t>待转销项税</t>
  </si>
  <si>
    <t>政府专项债</t>
  </si>
  <si>
    <t>物业</t>
  </si>
  <si>
    <t>广发证券20兴化债01</t>
  </si>
  <si>
    <t>信用债-企业债券</t>
  </si>
  <si>
    <t>广发证券20兴化债02</t>
  </si>
  <si>
    <t>中泰证券20兴化01</t>
  </si>
  <si>
    <t>中泰证券20兴化02</t>
  </si>
  <si>
    <t>21苏兴化城建（乡村振兴）ZR001</t>
  </si>
  <si>
    <t>非标-债权融资计划</t>
  </si>
  <si>
    <t>21兴化债-银河</t>
  </si>
  <si>
    <t>21兴化02(中信建投-中泰）</t>
  </si>
  <si>
    <t>22兴化城投MTN001</t>
  </si>
  <si>
    <t>22兴化城投MTN002</t>
  </si>
  <si>
    <t>22兴化01（中信建投）</t>
  </si>
  <si>
    <t>22兴化城投PPN001中信</t>
  </si>
  <si>
    <t>22兴化城投PPN002杭州银行</t>
  </si>
  <si>
    <t>22兴化城投PPN004民生</t>
  </si>
  <si>
    <t>22兴化F2（华泰证券）</t>
  </si>
  <si>
    <t>22兴化城投MTN003</t>
  </si>
  <si>
    <t>22兴化城投PPN005</t>
  </si>
  <si>
    <t>22兴化城投PPN006</t>
  </si>
  <si>
    <t>22兴化F3（华泰证券）</t>
  </si>
  <si>
    <t>20兴化城投MTN001</t>
  </si>
  <si>
    <t>一年内到期的应付债券</t>
  </si>
  <si>
    <t>定向融资计划3年期J产品</t>
  </si>
  <si>
    <t>非标-定向融资计划</t>
  </si>
  <si>
    <t>经适旺瑞</t>
  </si>
  <si>
    <t>经适旺珉</t>
  </si>
  <si>
    <t>利息</t>
  </si>
  <si>
    <t>兴业银行兴化分行</t>
  </si>
  <si>
    <t>抵押：苏2019不动产权第0022526号国有建设用地使用权，水乡路和富安大夏；质押：1300万保证金；担保：兴化市智信城镇建设有限公司、兴化市经济适用住房建设有限公司</t>
  </si>
  <si>
    <t>兴业银行兴化分行利息调整</t>
  </si>
  <si>
    <t>兴化文化旅游发展有限公司</t>
  </si>
  <si>
    <t>中国光大银行泰州分行</t>
  </si>
  <si>
    <t>中国建行兴化支行</t>
  </si>
  <si>
    <t>中国建行兴化支行利息调整</t>
  </si>
  <si>
    <t>建设银行新高中公寓楼8000万贷款</t>
  </si>
  <si>
    <t>建设银行新高中公寓楼中收1100万摊销</t>
  </si>
  <si>
    <t>兴化市东南城市建设投资有限公司+泰州市兴化国有资产投资控股有限公司</t>
  </si>
  <si>
    <t>中信银行兴化支行</t>
  </si>
  <si>
    <t>中国民生银行泰州分行</t>
  </si>
  <si>
    <t>中国银行楚水支行特定贷款专项存款</t>
  </si>
  <si>
    <t>中信银行</t>
  </si>
  <si>
    <t>城祥</t>
  </si>
  <si>
    <t>江苏银行并购贷款1亿</t>
  </si>
  <si>
    <t>兴化市兰悦家园4幢商铺英武南路561号苏（2020）兴化不动产权第0011405号</t>
  </si>
  <si>
    <t>南京银行9.5亿</t>
  </si>
  <si>
    <t>南京银行北水关贷款7亿</t>
  </si>
  <si>
    <t>兴业银行贷款8亿</t>
  </si>
  <si>
    <t>农业银行占补平衡复垦4亿借款</t>
  </si>
  <si>
    <t>作价82130万《兴化市2021年度占补平衡农村土地整治复垦项目政府采购合同》的应收账款及所有权益和收益</t>
  </si>
  <si>
    <t>农业银行占补平衡复垦9000万借款</t>
  </si>
  <si>
    <t>农行城北水乡路片区城市更新改造1.3亿借款</t>
  </si>
  <si>
    <t>农行城北水乡路片区城市更新改造5000万借款</t>
  </si>
  <si>
    <t>农业银行城北水乡路</t>
  </si>
  <si>
    <t>农发行何家垛城乡一体项目13亿贷款放款6.9亿</t>
  </si>
  <si>
    <t>江苏银行7亿借款</t>
  </si>
  <si>
    <t>作价为1066793万元兴化市美丽乡村建设（2021年度农村土地治理复垦）项目政府采购协议</t>
  </si>
  <si>
    <t>兴化市粮食购销总公司\兴化市城市建设投资有限公司</t>
  </si>
  <si>
    <t>一年内到期的长期借款</t>
  </si>
  <si>
    <t>抵押：苏2019不动产权第0022526号国有建设用地使用权，水乡路和富安大夏；质押：1300万保证金；保证：兴化市智信城镇建设有限公司、兴化市经济适用住房建设有限公司</t>
  </si>
  <si>
    <t>兴化市农业银行</t>
  </si>
  <si>
    <t>对兴化市自然资源和规划局的127842.102万元应收账款</t>
  </si>
  <si>
    <t>浙江稠州金融租赁有限公司</t>
  </si>
  <si>
    <t>融资租赁</t>
  </si>
  <si>
    <t>江苏金融租赁股份有限公司</t>
  </si>
  <si>
    <t>苏银金融租赁股份有限公司</t>
  </si>
  <si>
    <t>广州越秀融资租赁有限公司</t>
  </si>
  <si>
    <t>浙江浙银金融租赁股份有限公司</t>
  </si>
  <si>
    <t>中远海运租赁有限公司</t>
  </si>
  <si>
    <t>利程融资租赁（上海）有限公司</t>
  </si>
  <si>
    <t>邦银金融租赁股份有限公司</t>
  </si>
  <si>
    <t>吴都融资租赁（天津）有限公司</t>
  </si>
  <si>
    <t>上海元晟融资租赁有限公司</t>
  </si>
  <si>
    <t>上海连瑞融资租赁有限公司</t>
  </si>
  <si>
    <t>上海越秀融资租赁有限公司</t>
  </si>
  <si>
    <t>久实融资租赁(上海）有限公司</t>
  </si>
  <si>
    <t>中航国际租赁有限公司</t>
  </si>
  <si>
    <t>苏州金融租赁股份有限公司</t>
  </si>
  <si>
    <t>杭州金投融资租赁有限公司</t>
  </si>
  <si>
    <t>远东宏信有限公司</t>
  </si>
  <si>
    <t>无锡财通融资租赁有限公司</t>
  </si>
  <si>
    <t>南京江北新区扬子科技融资租赁有限公司</t>
  </si>
  <si>
    <t>海通恒信国际融资租赁股份有限公司</t>
  </si>
  <si>
    <t>江苏省国际租赁有限公司</t>
  </si>
  <si>
    <t>东航国际融资租赁有限公司</t>
  </si>
  <si>
    <t>平安国际融资租赁（天津）有限公司</t>
  </si>
  <si>
    <t>华融金融租赁股份有限公司</t>
  </si>
  <si>
    <t>广东粤海融资租赁有限公司</t>
  </si>
  <si>
    <t>远东国际融资租赁有限公司</t>
  </si>
  <si>
    <t>一年内到期的长期应付款</t>
  </si>
  <si>
    <t>非标-融资租赁</t>
  </si>
  <si>
    <t>青岛青银金融租赁有限公司</t>
  </si>
  <si>
    <t>江苏华文融资租赁有限公司</t>
  </si>
  <si>
    <t>中建投租赁股份有限公司</t>
  </si>
  <si>
    <t>政府专项债利息</t>
  </si>
  <si>
    <t>一年内到期的其他非流动负债</t>
  </si>
  <si>
    <t>海安农村商业银行兴化支行</t>
  </si>
  <si>
    <t xml:space="preserve">  兴化市经济发展有限公司  </t>
  </si>
  <si>
    <t>渤海银行南京城北支行</t>
  </si>
  <si>
    <t>中国农业发展银行兴化市支行1150</t>
  </si>
  <si>
    <t>兴化合陈国家粮食储备库</t>
  </si>
  <si>
    <t>中国农业发展银行兴化市支行1210</t>
  </si>
  <si>
    <t>中国农业发展银行兴化市支行0044</t>
  </si>
  <si>
    <t>中国农业发展银行兴化市支行1200</t>
  </si>
  <si>
    <t>中国农业发展银行兴化市支行1290</t>
  </si>
  <si>
    <t>中国农业发展银行兴化市支行0043</t>
  </si>
  <si>
    <t>兴化市荡朱粮油贸易公司</t>
  </si>
  <si>
    <t>下圩、海南粮油贸易公司</t>
  </si>
  <si>
    <t>江苏兴化钓鱼国家粮食储备库</t>
  </si>
  <si>
    <t>兴化市下圩粮油贸易公司</t>
  </si>
  <si>
    <t>苏州银行</t>
  </si>
  <si>
    <t>苏（2018）兴化不动产第0002781号</t>
  </si>
  <si>
    <t>江苏兴化北郊粮食储备库</t>
  </si>
  <si>
    <t>兴化临城粮食贸易总公司</t>
  </si>
  <si>
    <t>兴化东谭粮食贸易公司</t>
  </si>
  <si>
    <t>兴化海河粮食贸易公司</t>
  </si>
  <si>
    <t>兴化舍陈粮食贸易公司</t>
  </si>
  <si>
    <t>泰州兴农担保有限公司</t>
  </si>
  <si>
    <t>兴化舜生粮食贸易公司</t>
  </si>
  <si>
    <t>兴化李健粮食贸易公司</t>
  </si>
  <si>
    <t>兴化茅山粮食贸易公司</t>
  </si>
  <si>
    <t>担保借款</t>
  </si>
  <si>
    <t>110万质押保证金</t>
  </si>
  <si>
    <t>抵押：位于兴化市南亭路南侧直港河西侧的兴国用（2013）第7993号土地使用权（后期取消了该土地的抵押，转为5亿定期存单质押担保,20年取消了5亿定期存单质押，现改为苏2019不动产权第0022526号国有建设用地使用权）；质押：对兴化市住房和城乡建设局的1905424000元应收账款（22526到期国土局收回换水乡路和富安大夏进行抵押和存入1.5亿保证金）</t>
  </si>
  <si>
    <t xml:space="preserve"> 兴化市交通产业投资有限公司 </t>
  </si>
  <si>
    <t xml:space="preserve">兴化市智信城镇建设有限公司 </t>
  </si>
  <si>
    <t>民生银行</t>
  </si>
  <si>
    <t>土地、房产</t>
  </si>
  <si>
    <t xml:space="preserve"> 兴化市智信城镇建设有限公司 </t>
  </si>
  <si>
    <t>中信信托</t>
  </si>
  <si>
    <t>非标-信托</t>
  </si>
  <si>
    <t>苏州信托</t>
  </si>
  <si>
    <t xml:space="preserve">   农业银行</t>
  </si>
  <si>
    <t>《兴化市2021年度占补平衡农村土地整治复垦项目政府采购合同》的应收账款及所有权益和收益</t>
  </si>
  <si>
    <t>18兴化01</t>
  </si>
  <si>
    <t>公司债券</t>
  </si>
  <si>
    <t>债务融资工具</t>
  </si>
  <si>
    <t>企业债券</t>
  </si>
  <si>
    <t>20苏兴化城建ZR002</t>
  </si>
  <si>
    <t>20苏兴化城建ZR003</t>
  </si>
  <si>
    <t>21兴化03(中信建投-中泰）</t>
  </si>
  <si>
    <t>2020/1/22</t>
  </si>
  <si>
    <t>2020/3/24</t>
  </si>
  <si>
    <t>江苏国际租赁有限公司</t>
  </si>
  <si>
    <t>兴业金融租赁有限责任公司</t>
  </si>
  <si>
    <t>华宝都鼎（上海）融资租赁有限公司</t>
  </si>
  <si>
    <t>江西金融租赁股份有限公司</t>
  </si>
  <si>
    <t>兴化城投CP001兴业3.1亿短融</t>
  </si>
  <si>
    <t>21兴化城投scp006（江苏乡村）</t>
  </si>
  <si>
    <t>21兴化城投CP002（南京）</t>
  </si>
  <si>
    <t>19兴化城投MTN001</t>
  </si>
  <si>
    <t>21兴化城投scp003（江苏乡村）</t>
  </si>
  <si>
    <t>21兴化城投scp004</t>
  </si>
  <si>
    <t>21兴化城投scp005（兴业）</t>
  </si>
  <si>
    <t>21兴化城投PPN001（民生）</t>
  </si>
  <si>
    <t>21兴化D1(开源）</t>
  </si>
  <si>
    <t>21兴化D2(开源）</t>
  </si>
  <si>
    <t>21兴化城投PPN003（民生）</t>
  </si>
  <si>
    <t>21兴化城投PPN004（中信）</t>
  </si>
  <si>
    <t>21兴化D3(中信证券）</t>
  </si>
  <si>
    <t>经济适用房04期</t>
  </si>
  <si>
    <t>经济适用房05期</t>
  </si>
  <si>
    <t>经济适用房06期</t>
  </si>
  <si>
    <t>待转销销项税</t>
  </si>
  <si>
    <t>兴业资产支持证券</t>
  </si>
  <si>
    <t>资产支持证券</t>
  </si>
  <si>
    <t>20苏兴化城建ZR001</t>
  </si>
  <si>
    <t>定向融资计划3年期B产品</t>
  </si>
  <si>
    <t>定向融资计划3年期D产品</t>
  </si>
  <si>
    <t>定向融资计划3年期F产品</t>
  </si>
  <si>
    <t>定向融资计划3年期H产品</t>
  </si>
  <si>
    <t>项目（单位：万元）</t>
  </si>
  <si>
    <t>经营性活动现金净流量</t>
  </si>
  <si>
    <t>现金利息支出</t>
  </si>
  <si>
    <t>所得税付现金额</t>
  </si>
  <si>
    <t>现金利息保障倍数</t>
  </si>
  <si>
    <t>现金流量表支付利息股利的金额</t>
  </si>
  <si>
    <t>权益变动表分配股利合计</t>
  </si>
  <si>
    <t>企业所得税本期减少</t>
  </si>
  <si>
    <t>资产</t>
  </si>
  <si>
    <t>负债</t>
  </si>
  <si>
    <t>收入</t>
  </si>
  <si>
    <t>公司名称</t>
  </si>
  <si>
    <t>最近占合并的比例</t>
  </si>
  <si>
    <t>变动幅度</t>
  </si>
  <si>
    <t>收入结构</t>
  </si>
  <si>
    <t>成本结构</t>
  </si>
  <si>
    <t>毛利润</t>
  </si>
  <si>
    <t>毛利率</t>
  </si>
  <si>
    <t>主营业务</t>
  </si>
  <si>
    <t>其他业务</t>
  </si>
  <si>
    <t>房屋销售</t>
  </si>
  <si>
    <t>粮食销售</t>
  </si>
  <si>
    <t>土地整理</t>
  </si>
  <si>
    <t>工程施工</t>
  </si>
  <si>
    <t>绿化养护</t>
  </si>
  <si>
    <t>物管</t>
  </si>
  <si>
    <t>水费</t>
  </si>
  <si>
    <t>租赁业务</t>
  </si>
  <si>
    <t>变化金额</t>
  </si>
  <si>
    <t>原因</t>
  </si>
  <si>
    <t>代建工程</t>
  </si>
  <si>
    <t>供水、污水处理</t>
  </si>
  <si>
    <t>供水管网施工</t>
  </si>
  <si>
    <t>保安、押运</t>
  </si>
  <si>
    <t>校车、公交</t>
  </si>
  <si>
    <t>其他商品销售</t>
  </si>
  <si>
    <t>景区运营</t>
  </si>
  <si>
    <t>土地转让</t>
  </si>
  <si>
    <t>租赁收入</t>
  </si>
  <si>
    <t>利息收入</t>
  </si>
  <si>
    <t>销售投资性房地产</t>
  </si>
  <si>
    <t>结果输出</t>
  </si>
  <si>
    <t>其他收益</t>
  </si>
  <si>
    <t>投资收益</t>
  </si>
  <si>
    <t>公允价值变动损益</t>
  </si>
  <si>
    <t>资产减值损失</t>
  </si>
  <si>
    <t>资产处置收益</t>
  </si>
  <si>
    <t>营业外收入</t>
  </si>
  <si>
    <t>营业外支出</t>
  </si>
  <si>
    <t>非经常性损益</t>
  </si>
  <si>
    <t>总负债</t>
  </si>
  <si>
    <t>全部债务</t>
  </si>
  <si>
    <t>所有者权益</t>
  </si>
  <si>
    <t>营业总收入</t>
  </si>
  <si>
    <t>扣除非经常性损益后净利润</t>
  </si>
  <si>
    <t>归属于母公司所有者的净利润</t>
  </si>
  <si>
    <t>流动比率（倍）</t>
  </si>
  <si>
    <t>速动比率（倍）</t>
  </si>
  <si>
    <t>债务资本比率（%）</t>
  </si>
  <si>
    <t>平均总资产回报率（%）</t>
  </si>
  <si>
    <t>应收账款周转率（倍）</t>
  </si>
  <si>
    <t>存货周转率（倍）</t>
  </si>
  <si>
    <t>资产负债率</t>
  </si>
  <si>
    <t>贷款偿还率</t>
  </si>
  <si>
    <t>利息偿付率</t>
  </si>
  <si>
    <t>总资产周转率</t>
  </si>
  <si>
    <t>净利润率</t>
  </si>
  <si>
    <t>总资产收益率</t>
  </si>
  <si>
    <t>变动金额</t>
  </si>
  <si>
    <t>变动原因</t>
  </si>
  <si>
    <t>流动资产</t>
  </si>
  <si>
    <t>非流动资产</t>
  </si>
  <si>
    <t>流动资产科目占流动资产比重</t>
  </si>
  <si>
    <t>流动资产科目变动表</t>
  </si>
  <si>
    <t>非流动资产科目占非流动资产比重</t>
  </si>
  <si>
    <t>非流动资产科目变动表</t>
  </si>
  <si>
    <t>资产科目占总资产比重</t>
  </si>
  <si>
    <t>资产科目变动表</t>
  </si>
  <si>
    <t>流动负债</t>
  </si>
  <si>
    <t>非流动负债</t>
  </si>
  <si>
    <t>流动负债科目占流动负债比重</t>
  </si>
  <si>
    <t>流动负债科目变动表</t>
  </si>
  <si>
    <t>非流动负债科目占非流动负债比重</t>
  </si>
  <si>
    <t>非流动负债科目变动表</t>
  </si>
  <si>
    <t>负债科目占总负债比重</t>
  </si>
  <si>
    <t>负债科目变动表</t>
  </si>
  <si>
    <t>占所有者权益比重</t>
  </si>
  <si>
    <t>所有者权益科目变动表</t>
  </si>
  <si>
    <t>占现金流量表的比重</t>
  </si>
  <si>
    <t>现金流量表科目变化表</t>
  </si>
  <si>
    <t>变化原因</t>
  </si>
  <si>
    <t>输出结果</t>
  </si>
  <si>
    <t>合并口径</t>
  </si>
  <si>
    <t>历史数</t>
  </si>
  <si>
    <t>模拟数</t>
  </si>
  <si>
    <t>变动</t>
  </si>
  <si>
    <t>发债总额</t>
  </si>
  <si>
    <t>偿还有息债务</t>
  </si>
  <si>
    <t>补流</t>
  </si>
  <si>
    <t>序号</t>
  </si>
  <si>
    <t>债券代码</t>
  </si>
  <si>
    <t>债券简称</t>
  </si>
  <si>
    <t>发行日期</t>
  </si>
  <si>
    <t>回售日期</t>
  </si>
  <si>
    <t>到期日期</t>
  </si>
  <si>
    <t>债券期限</t>
  </si>
  <si>
    <t>票面利率</t>
  </si>
  <si>
    <t>报告期末余额</t>
  </si>
  <si>
    <t>报告期初余额</t>
  </si>
  <si>
    <t>报告期末</t>
  </si>
  <si>
    <t>253779.SH</t>
  </si>
  <si>
    <t>253209.SH</t>
  </si>
  <si>
    <t>250932.SH</t>
  </si>
  <si>
    <t>报告期初</t>
  </si>
  <si>
    <t>114799.SH</t>
  </si>
  <si>
    <t>114282.SH</t>
  </si>
  <si>
    <t>182669.SH</t>
  </si>
  <si>
    <t>194424.SH</t>
  </si>
  <si>
    <t>194346.SH</t>
  </si>
  <si>
    <t>197743.SH</t>
  </si>
  <si>
    <t>197858.SH</t>
  </si>
  <si>
    <t>197711.SH</t>
  </si>
  <si>
    <t>196995.SH</t>
  </si>
  <si>
    <t>178702.SH</t>
  </si>
  <si>
    <t>177859.SH</t>
  </si>
  <si>
    <t>177445.SH</t>
  </si>
  <si>
    <t>167594.SH</t>
  </si>
  <si>
    <t>162944.SH</t>
  </si>
  <si>
    <t>166824.SH</t>
  </si>
  <si>
    <t>166349.SH</t>
  </si>
  <si>
    <t>166023.SH</t>
  </si>
  <si>
    <t>150920.SH</t>
  </si>
  <si>
    <t>145881.SH</t>
  </si>
  <si>
    <t>135089.SH</t>
  </si>
  <si>
    <t>042480079.IB</t>
  </si>
  <si>
    <t>012480472.IB</t>
  </si>
  <si>
    <t>012383367.IB</t>
  </si>
  <si>
    <t>042380511.IB</t>
  </si>
  <si>
    <t>012382778.IB</t>
  </si>
  <si>
    <t>012380502.IB</t>
  </si>
  <si>
    <t>042380007.IB</t>
  </si>
  <si>
    <t>032281003.IB</t>
  </si>
  <si>
    <t>012283545.IB</t>
  </si>
  <si>
    <t>102282208.IB</t>
  </si>
  <si>
    <t>012283401.IB</t>
  </si>
  <si>
    <t>032280826.IB</t>
  </si>
  <si>
    <t>032280746.IB</t>
  </si>
  <si>
    <t>032280673.IB</t>
  </si>
  <si>
    <t>032280527.IB</t>
  </si>
  <si>
    <t>012281950.IB</t>
  </si>
  <si>
    <t>102280909.IB</t>
  </si>
  <si>
    <t>012281180.IB</t>
  </si>
  <si>
    <t>102280373.IB</t>
  </si>
  <si>
    <t>012280104.IB</t>
  </si>
  <si>
    <t>042280012.IB</t>
  </si>
  <si>
    <t>042100668.IB</t>
  </si>
  <si>
    <t>032180031.IB</t>
  </si>
  <si>
    <t>032101117.IB</t>
  </si>
  <si>
    <t>012103418.IB</t>
  </si>
  <si>
    <t>012103118.IB</t>
  </si>
  <si>
    <t>012102162.IB</t>
  </si>
  <si>
    <t>032100611.IB</t>
  </si>
  <si>
    <t>012101815.IB</t>
  </si>
  <si>
    <t>042100154.IB</t>
  </si>
  <si>
    <t>012100399.IB</t>
  </si>
  <si>
    <t>012100055.IB</t>
  </si>
  <si>
    <t>012003003.IB</t>
  </si>
  <si>
    <t>012001810.IB</t>
  </si>
  <si>
    <t>102000720.IB</t>
  </si>
  <si>
    <t>042000090.IB</t>
  </si>
  <si>
    <t>012000182.IB</t>
  </si>
  <si>
    <t>011901715.IB</t>
  </si>
  <si>
    <t>031900477.IB</t>
  </si>
  <si>
    <t>031900476.IB</t>
  </si>
  <si>
    <t>101900031.IB</t>
  </si>
  <si>
    <t>011900079.IB</t>
  </si>
  <si>
    <t>031655002.IB</t>
  </si>
  <si>
    <t>2080099.IB</t>
  </si>
  <si>
    <t>2080098.IB</t>
  </si>
  <si>
    <t>1480361.IB</t>
  </si>
  <si>
    <t>1280350.IB</t>
  </si>
  <si>
    <t>有息债务</t>
    <phoneticPr fontId="41" type="noConversion"/>
  </si>
  <si>
    <r>
      <t>资产负债率（</t>
    </r>
    <r>
      <rPr>
        <sz val="10"/>
        <color theme="1"/>
        <rFont val="Times New Roman"/>
        <family val="1"/>
      </rPr>
      <t>%</t>
    </r>
    <r>
      <rPr>
        <sz val="10"/>
        <color theme="1"/>
        <rFont val="宋体"/>
        <family val="3"/>
        <charset val="134"/>
      </rPr>
      <t>）</t>
    </r>
  </si>
  <si>
    <r>
      <t>营业毛利率（</t>
    </r>
    <r>
      <rPr>
        <sz val="10"/>
        <color theme="1"/>
        <rFont val="Times New Roman"/>
        <family val="1"/>
      </rPr>
      <t>%</t>
    </r>
    <r>
      <rPr>
        <sz val="10"/>
        <color theme="1"/>
        <rFont val="宋体"/>
        <family val="3"/>
        <charset val="134"/>
      </rPr>
      <t>）</t>
    </r>
  </si>
  <si>
    <r>
      <t>加权平均净资产收益率（</t>
    </r>
    <r>
      <rPr>
        <sz val="10"/>
        <color theme="1"/>
        <rFont val="Times New Roman"/>
        <family val="1"/>
      </rPr>
      <t>%</t>
    </r>
    <r>
      <rPr>
        <sz val="10"/>
        <color theme="1"/>
        <rFont val="宋体"/>
        <family val="3"/>
        <charset val="134"/>
      </rPr>
      <t>）</t>
    </r>
  </si>
  <si>
    <r>
      <t>扣除非经常性损益后加权平均净资产收益率（</t>
    </r>
    <r>
      <rPr>
        <sz val="10"/>
        <color theme="1"/>
        <rFont val="Times New Roman"/>
        <family val="1"/>
      </rPr>
      <t>%</t>
    </r>
    <r>
      <rPr>
        <sz val="10"/>
        <color theme="1"/>
        <rFont val="宋体"/>
        <family val="3"/>
        <charset val="134"/>
      </rPr>
      <t>）</t>
    </r>
  </si>
  <si>
    <r>
      <t>EBITDA</t>
    </r>
    <r>
      <rPr>
        <sz val="10"/>
        <color theme="1"/>
        <rFont val="宋体"/>
        <family val="3"/>
        <charset val="134"/>
      </rPr>
      <t>全部债务比（倍）</t>
    </r>
  </si>
  <si>
    <r>
      <t>EBITDA</t>
    </r>
    <r>
      <rPr>
        <sz val="10"/>
        <color theme="1"/>
        <rFont val="宋体"/>
        <family val="3"/>
        <charset val="134"/>
      </rPr>
      <t>利息倍数（倍）</t>
    </r>
  </si>
  <si>
    <t>2024年9月末</t>
    <phoneticPr fontId="41" type="noConversion"/>
  </si>
  <si>
    <t>2024年1-9月</t>
    <phoneticPr fontId="41" type="noConversion"/>
  </si>
  <si>
    <t>无数据</t>
    <phoneticPr fontId="4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</si>
</sst>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3" formatCode="_ * #,##0.00_ ;_ * \-#,##0.00_ ;_ * &quot;-&quot;??_ ;_ @_ "/>
    <numFmt numFmtId="176" formatCode="_(* #,##0.00_);_(* \(#,##0.00\);_(* &quot;-&quot;??_);_(@_)"/>
    <numFmt numFmtId="177" formatCode="0.00_ "/>
    <numFmt numFmtId="178" formatCode="#,##0.00_ "/>
    <numFmt numFmtId="179" formatCode="yyyy/m/d;@"/>
    <numFmt numFmtId="180" formatCode="0.0000%"/>
    <numFmt numFmtId="181" formatCode="yyyy/mm/dd"/>
    <numFmt numFmtId="182" formatCode="0.000%"/>
    <numFmt numFmtId="183" formatCode="#,##0.000000_ "/>
    <numFmt numFmtId="184" formatCode="###,##0.00"/>
    <numFmt numFmtId="185" formatCode="#,##0.00000000_ "/>
  </numFmts>
  <fonts count="48" x14ac:knownFonts="1">
    <font>
      <sz val="11"/>
      <color theme="1"/>
      <name val="宋体"/>
      <charset val="134"/>
      <scheme val="minor"/>
    </font>
    <font>
      <b/>
      <sz val="10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0"/>
      <color rgb="FF000000"/>
      <name val="宋体"/>
      <charset val="134"/>
    </font>
    <font>
      <sz val="10"/>
      <color rgb="FF000000"/>
      <name val="宋体"/>
      <charset val="134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sz val="10"/>
      <color theme="1"/>
      <name val="宋体"/>
      <charset val="134"/>
    </font>
    <font>
      <b/>
      <sz val="10"/>
      <color theme="1"/>
      <name val="宋体"/>
      <charset val="134"/>
    </font>
    <font>
      <b/>
      <sz val="9"/>
      <color theme="1"/>
      <name val="宋体"/>
      <charset val="134"/>
    </font>
    <font>
      <sz val="9"/>
      <color theme="1"/>
      <name val="宋体"/>
      <charset val="134"/>
    </font>
    <font>
      <sz val="9"/>
      <color rgb="FFFF0000"/>
      <name val="宋体"/>
      <charset val="134"/>
    </font>
    <font>
      <sz val="10"/>
      <color rgb="FFFF0000"/>
      <name val="宋体"/>
      <charset val="134"/>
    </font>
    <font>
      <sz val="10"/>
      <color theme="1"/>
      <name val="Times New Roman"/>
      <family val="1"/>
    </font>
    <font>
      <b/>
      <sz val="10.5"/>
      <color rgb="FF000000"/>
      <name val="Times New Roman"/>
      <family val="1"/>
    </font>
    <font>
      <b/>
      <sz val="10"/>
      <color theme="1"/>
      <name val="楷体"/>
      <charset val="134"/>
    </font>
    <font>
      <sz val="10"/>
      <color theme="1"/>
      <name val="楷体"/>
      <charset val="134"/>
    </font>
    <font>
      <sz val="10"/>
      <name val="楷体"/>
      <charset val="134"/>
    </font>
    <font>
      <sz val="10"/>
      <color rgb="FF000000"/>
      <name val="楷体"/>
      <charset val="134"/>
    </font>
    <font>
      <b/>
      <sz val="10"/>
      <name val="楷体"/>
      <charset val="134"/>
    </font>
    <font>
      <b/>
      <sz val="9"/>
      <color rgb="FF000000"/>
      <name val="Times New Roman"/>
      <family val="1"/>
    </font>
    <font>
      <sz val="12"/>
      <color rgb="FF000000"/>
      <name val="Arial Narrow"/>
      <family val="2"/>
    </font>
    <font>
      <sz val="10"/>
      <color theme="1"/>
      <name val="Arial"/>
      <family val="2"/>
    </font>
    <font>
      <sz val="10"/>
      <color indexed="8"/>
      <name val="Arial"/>
      <family val="2"/>
    </font>
    <font>
      <sz val="10"/>
      <color indexed="8"/>
      <name val="宋体"/>
      <charset val="134"/>
    </font>
    <font>
      <sz val="10"/>
      <color rgb="FF000000"/>
      <name val="微软雅黑"/>
      <charset val="134"/>
    </font>
    <font>
      <sz val="10"/>
      <name val="Arial"/>
      <family val="2"/>
    </font>
    <font>
      <sz val="10"/>
      <color rgb="FF000000"/>
      <name val="Arial"/>
      <family val="2"/>
    </font>
    <font>
      <sz val="10"/>
      <color theme="1"/>
      <name val="微软雅黑"/>
      <charset val="134"/>
    </font>
    <font>
      <sz val="10"/>
      <name val="宋体"/>
      <charset val="134"/>
      <scheme val="minor"/>
    </font>
    <font>
      <b/>
      <sz val="10"/>
      <name val="宋体"/>
      <charset val="134"/>
    </font>
    <font>
      <sz val="10"/>
      <name val="宋体"/>
      <charset val="134"/>
    </font>
    <font>
      <sz val="10"/>
      <color rgb="FF0000FF"/>
      <name val="宋体"/>
      <charset val="134"/>
    </font>
    <font>
      <sz val="10.5"/>
      <color rgb="FF000000"/>
      <name val="Times New Roman"/>
      <family val="1"/>
    </font>
    <font>
      <sz val="11"/>
      <color theme="1"/>
      <name val="宋体"/>
      <charset val="134"/>
      <scheme val="minor"/>
    </font>
    <font>
      <sz val="12"/>
      <name val="宋体"/>
      <charset val="134"/>
    </font>
    <font>
      <sz val="11"/>
      <color theme="1"/>
      <name val="Tahoma"/>
      <family val="2"/>
    </font>
    <font>
      <sz val="11"/>
      <color indexed="8"/>
      <name val="Tahoma"/>
      <family val="2"/>
    </font>
    <font>
      <sz val="12"/>
      <name val="Times New Roman"/>
      <family val="1"/>
    </font>
    <font>
      <b/>
      <sz val="9"/>
      <name val="宋体"/>
      <charset val="134"/>
    </font>
    <font>
      <sz val="9"/>
      <name val="宋体"/>
      <charset val="134"/>
    </font>
    <font>
      <sz val="9"/>
      <name val="宋体"/>
      <charset val="134"/>
      <scheme val="minor"/>
    </font>
    <font>
      <sz val="10"/>
      <color theme="1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color rgb="FFFF0000"/>
      <name val="宋体"/>
      <family val="3"/>
      <charset val="134"/>
    </font>
    <font>
      <sz val="10"/>
      <color rgb="FFFF0000"/>
      <name val="宋体"/>
      <family val="3"/>
      <charset val="134"/>
      <scheme val="minor"/>
    </font>
    <font>
      <sz val="10"/>
      <color rgb="FF000000"/>
      <name val="宋体"/>
      <family val="3"/>
      <charset val="134"/>
    </font>
  </fonts>
  <fills count="1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79857783745845"/>
        <bgColor indexed="64"/>
      </patternFill>
    </fill>
    <fill>
      <patternFill patternType="solid">
        <fgColor theme="3" tint="0.79982909634693444"/>
        <bgColor indexed="64"/>
      </patternFill>
    </fill>
    <fill>
      <patternFill patternType="solid">
        <fgColor theme="4" tint="0.39988402966399123"/>
        <bgColor indexed="64"/>
      </patternFill>
    </fill>
    <fill>
      <patternFill patternType="solid">
        <fgColor theme="3" tint="0.7998596148564104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89013336588644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/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medium">
        <color auto="1"/>
      </right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55">
    <xf numFmtId="0" fontId="0" fillId="0" borderId="0">
      <alignment vertical="center"/>
    </xf>
    <xf numFmtId="43" fontId="34" fillId="0" borderId="0" applyFont="0" applyFill="0" applyBorder="0" applyAlignment="0" applyProtection="0">
      <alignment vertical="center"/>
    </xf>
    <xf numFmtId="9" fontId="34" fillId="0" borderId="0" applyFont="0" applyFill="0" applyBorder="0" applyAlignment="0" applyProtection="0">
      <alignment vertical="center"/>
    </xf>
    <xf numFmtId="9" fontId="35" fillId="0" borderId="0" applyFont="0" applyFill="0" applyBorder="0" applyAlignment="0" applyProtection="0"/>
    <xf numFmtId="0" fontId="35" fillId="0" borderId="0">
      <alignment vertical="center"/>
    </xf>
    <xf numFmtId="0" fontId="34" fillId="0" borderId="0">
      <alignment vertical="center"/>
    </xf>
    <xf numFmtId="0" fontId="34" fillId="0" borderId="0"/>
    <xf numFmtId="0" fontId="35" fillId="0" borderId="0">
      <alignment vertical="center"/>
    </xf>
    <xf numFmtId="0" fontId="35" fillId="0" borderId="0">
      <alignment vertical="center"/>
    </xf>
    <xf numFmtId="0" fontId="34" fillId="0" borderId="0"/>
    <xf numFmtId="0" fontId="34" fillId="0" borderId="0">
      <alignment vertical="center"/>
    </xf>
    <xf numFmtId="0" fontId="3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5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7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5" fillId="0" borderId="0"/>
    <xf numFmtId="43" fontId="35" fillId="0" borderId="0" applyFont="0" applyFill="0" applyBorder="0" applyAlignment="0" applyProtection="0">
      <alignment vertical="center"/>
    </xf>
    <xf numFmtId="43" fontId="34" fillId="0" borderId="0" applyFont="0" applyFill="0" applyBorder="0" applyAlignment="0" applyProtection="0">
      <alignment vertical="center"/>
    </xf>
    <xf numFmtId="43" fontId="34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176" fontId="38" fillId="0" borderId="0" applyFont="0" applyFill="0" applyBorder="0" applyAlignment="0" applyProtection="0"/>
    <xf numFmtId="176" fontId="35" fillId="0" borderId="0" applyFont="0" applyFill="0" applyBorder="0" applyAlignment="0" applyProtection="0"/>
  </cellStyleXfs>
  <cellXfs count="479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14" fontId="3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14" fontId="5" fillId="0" borderId="0" xfId="0" applyNumberFormat="1" applyFont="1" applyAlignment="1">
      <alignment horizontal="center" vertical="center" wrapText="1"/>
    </xf>
    <xf numFmtId="177" fontId="5" fillId="0" borderId="0" xfId="0" applyNumberFormat="1" applyFont="1" applyAlignment="1">
      <alignment horizontal="center" vertical="center" wrapText="1"/>
    </xf>
    <xf numFmtId="177" fontId="6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14" fontId="6" fillId="0" borderId="0" xfId="0" applyNumberFormat="1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14" fontId="1" fillId="0" borderId="0" xfId="0" applyNumberFormat="1" applyFont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10" fontId="2" fillId="0" borderId="0" xfId="0" applyNumberFormat="1" applyFont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4" fontId="5" fillId="0" borderId="1" xfId="0" applyNumberFormat="1" applyFont="1" applyBorder="1" applyAlignment="1">
      <alignment horizontal="center" vertical="center" wrapText="1"/>
    </xf>
    <xf numFmtId="43" fontId="5" fillId="0" borderId="1" xfId="0" applyNumberFormat="1" applyFont="1" applyBorder="1" applyAlignment="1">
      <alignment horizontal="center" vertical="center" wrapText="1"/>
    </xf>
    <xf numFmtId="10" fontId="5" fillId="0" borderId="1" xfId="0" applyNumberFormat="1" applyFont="1" applyBorder="1" applyAlignment="1">
      <alignment horizontal="center" vertical="center" wrapText="1"/>
    </xf>
    <xf numFmtId="177" fontId="5" fillId="0" borderId="1" xfId="0" applyNumberFormat="1" applyFont="1" applyBorder="1" applyAlignment="1">
      <alignment horizontal="center" vertical="center" wrapText="1"/>
    </xf>
    <xf numFmtId="43" fontId="2" fillId="2" borderId="0" xfId="0" applyNumberFormat="1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43" fontId="7" fillId="0" borderId="0" xfId="0" applyNumberFormat="1" applyFont="1" applyAlignment="1">
      <alignment horizontal="center" vertical="center"/>
    </xf>
    <xf numFmtId="10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8" fillId="0" borderId="1" xfId="0" applyFont="1" applyBorder="1" applyAlignment="1">
      <alignment horizontal="center" vertical="center"/>
    </xf>
    <xf numFmtId="43" fontId="8" fillId="0" borderId="1" xfId="0" applyNumberFormat="1" applyFont="1" applyBorder="1" applyAlignment="1">
      <alignment horizontal="center" vertical="center"/>
    </xf>
    <xf numFmtId="10" fontId="8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3" fontId="7" fillId="0" borderId="1" xfId="0" applyNumberFormat="1" applyFont="1" applyBorder="1" applyAlignment="1">
      <alignment horizontal="right" vertical="center"/>
    </xf>
    <xf numFmtId="10" fontId="7" fillId="0" borderId="1" xfId="0" applyNumberFormat="1" applyFont="1" applyBorder="1" applyAlignment="1">
      <alignment horizontal="right" vertical="center"/>
    </xf>
    <xf numFmtId="43" fontId="7" fillId="0" borderId="1" xfId="0" applyNumberFormat="1" applyFont="1" applyBorder="1" applyAlignment="1">
      <alignment horizontal="center" vertical="center"/>
    </xf>
    <xf numFmtId="10" fontId="7" fillId="0" borderId="1" xfId="0" applyNumberFormat="1" applyFont="1" applyBorder="1" applyAlignment="1">
      <alignment horizontal="center" vertical="center"/>
    </xf>
    <xf numFmtId="43" fontId="7" fillId="0" borderId="0" xfId="0" applyNumberFormat="1" applyFont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43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3" fontId="2" fillId="0" borderId="1" xfId="0" applyNumberFormat="1" applyFont="1" applyBorder="1" applyAlignment="1">
      <alignment horizontal="center" vertical="center"/>
    </xf>
    <xf numFmtId="43" fontId="2" fillId="0" borderId="0" xfId="0" applyNumberFormat="1" applyFont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10" fontId="10" fillId="0" borderId="0" xfId="0" applyNumberFormat="1" applyFont="1">
      <alignment vertical="center"/>
    </xf>
    <xf numFmtId="0" fontId="9" fillId="0" borderId="1" xfId="0" applyFont="1" applyBorder="1" applyAlignment="1">
      <alignment horizontal="center" vertical="center"/>
    </xf>
    <xf numFmtId="10" fontId="9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left" vertical="center"/>
    </xf>
    <xf numFmtId="43" fontId="10" fillId="0" borderId="1" xfId="0" applyNumberFormat="1" applyFont="1" applyBorder="1">
      <alignment vertical="center"/>
    </xf>
    <xf numFmtId="10" fontId="10" fillId="0" borderId="1" xfId="0" applyNumberFormat="1" applyFont="1" applyBorder="1">
      <alignment vertical="center"/>
    </xf>
    <xf numFmtId="43" fontId="9" fillId="0" borderId="1" xfId="0" applyNumberFormat="1" applyFont="1" applyBorder="1">
      <alignment vertical="center"/>
    </xf>
    <xf numFmtId="10" fontId="9" fillId="0" borderId="1" xfId="0" applyNumberFormat="1" applyFont="1" applyBorder="1">
      <alignment vertical="center"/>
    </xf>
    <xf numFmtId="0" fontId="9" fillId="0" borderId="0" xfId="0" applyFont="1" applyAlignment="1">
      <alignment horizontal="center" vertical="center"/>
    </xf>
    <xf numFmtId="43" fontId="9" fillId="0" borderId="0" xfId="0" applyNumberFormat="1" applyFont="1">
      <alignment vertical="center"/>
    </xf>
    <xf numFmtId="10" fontId="9" fillId="0" borderId="0" xfId="0" applyNumberFormat="1" applyFont="1">
      <alignment vertical="center"/>
    </xf>
    <xf numFmtId="0" fontId="8" fillId="3" borderId="0" xfId="0" applyFont="1" applyFill="1" applyAlignment="1">
      <alignment horizontal="center" vertical="center"/>
    </xf>
    <xf numFmtId="0" fontId="11" fillId="0" borderId="0" xfId="0" applyFont="1">
      <alignment vertical="center"/>
    </xf>
    <xf numFmtId="43" fontId="11" fillId="0" borderId="0" xfId="0" applyNumberFormat="1" applyFont="1">
      <alignment vertical="center"/>
    </xf>
    <xf numFmtId="10" fontId="11" fillId="0" borderId="0" xfId="0" applyNumberFormat="1" applyFont="1">
      <alignment vertical="center"/>
    </xf>
    <xf numFmtId="0" fontId="10" fillId="0" borderId="1" xfId="0" applyFont="1" applyBorder="1">
      <alignment vertical="center"/>
    </xf>
    <xf numFmtId="43" fontId="10" fillId="0" borderId="0" xfId="0" applyNumberFormat="1" applyFont="1">
      <alignment vertical="center"/>
    </xf>
    <xf numFmtId="177" fontId="10" fillId="0" borderId="0" xfId="0" applyNumberFormat="1" applyFont="1">
      <alignment vertical="center"/>
    </xf>
    <xf numFmtId="4" fontId="10" fillId="0" borderId="0" xfId="0" applyNumberFormat="1" applyFont="1">
      <alignment vertical="center"/>
    </xf>
    <xf numFmtId="10" fontId="10" fillId="0" borderId="0" xfId="2" applyNumberFormat="1" applyFont="1">
      <alignment vertical="center"/>
    </xf>
    <xf numFmtId="0" fontId="8" fillId="0" borderId="0" xfId="0" applyFont="1">
      <alignment vertical="center"/>
    </xf>
    <xf numFmtId="0" fontId="12" fillId="0" borderId="0" xfId="0" applyFont="1">
      <alignment vertical="center"/>
    </xf>
    <xf numFmtId="0" fontId="7" fillId="0" borderId="0" xfId="0" applyFont="1">
      <alignment vertical="center"/>
    </xf>
    <xf numFmtId="10" fontId="7" fillId="0" borderId="0" xfId="0" applyNumberFormat="1" applyFont="1">
      <alignment vertical="center"/>
    </xf>
    <xf numFmtId="43" fontId="7" fillId="0" borderId="1" xfId="0" applyNumberFormat="1" applyFont="1" applyBorder="1">
      <alignment vertical="center"/>
    </xf>
    <xf numFmtId="10" fontId="7" fillId="0" borderId="1" xfId="0" applyNumberFormat="1" applyFont="1" applyBorder="1">
      <alignment vertical="center"/>
    </xf>
    <xf numFmtId="43" fontId="8" fillId="0" borderId="1" xfId="0" applyNumberFormat="1" applyFont="1" applyBorder="1">
      <alignment vertical="center"/>
    </xf>
    <xf numFmtId="10" fontId="8" fillId="0" borderId="1" xfId="0" applyNumberFormat="1" applyFont="1" applyBorder="1">
      <alignment vertical="center"/>
    </xf>
    <xf numFmtId="43" fontId="8" fillId="0" borderId="0" xfId="0" applyNumberFormat="1" applyFont="1">
      <alignment vertical="center"/>
    </xf>
    <xf numFmtId="10" fontId="8" fillId="0" borderId="0" xfId="0" applyNumberFormat="1" applyFont="1">
      <alignment vertical="center"/>
    </xf>
    <xf numFmtId="0" fontId="7" fillId="0" borderId="1" xfId="0" applyFont="1" applyBorder="1">
      <alignment vertical="center"/>
    </xf>
    <xf numFmtId="0" fontId="8" fillId="0" borderId="1" xfId="0" applyFont="1" applyBorder="1">
      <alignment vertical="center"/>
    </xf>
    <xf numFmtId="43" fontId="12" fillId="0" borderId="0" xfId="0" applyNumberFormat="1" applyFont="1">
      <alignment vertical="center"/>
    </xf>
    <xf numFmtId="10" fontId="12" fillId="0" borderId="0" xfId="0" applyNumberFormat="1" applyFont="1">
      <alignment vertical="center"/>
    </xf>
    <xf numFmtId="43" fontId="7" fillId="0" borderId="0" xfId="0" applyNumberFormat="1" applyFont="1">
      <alignment vertical="center"/>
    </xf>
    <xf numFmtId="10" fontId="8" fillId="0" borderId="2" xfId="0" applyNumberFormat="1" applyFont="1" applyBorder="1" applyAlignment="1">
      <alignment horizontal="center" vertical="center"/>
    </xf>
    <xf numFmtId="43" fontId="8" fillId="0" borderId="0" xfId="0" applyNumberFormat="1" applyFont="1" applyAlignment="1">
      <alignment horizontal="center" vertical="center"/>
    </xf>
    <xf numFmtId="10" fontId="8" fillId="0" borderId="0" xfId="0" applyNumberFormat="1" applyFont="1" applyAlignment="1">
      <alignment horizontal="center" vertical="center"/>
    </xf>
    <xf numFmtId="4" fontId="7" fillId="0" borderId="0" xfId="0" applyNumberFormat="1" applyFont="1">
      <alignment vertical="center"/>
    </xf>
    <xf numFmtId="0" fontId="2" fillId="5" borderId="1" xfId="0" applyFont="1" applyFill="1" applyBorder="1" applyAlignment="1">
      <alignment horizontal="center" vertical="center"/>
    </xf>
    <xf numFmtId="43" fontId="2" fillId="5" borderId="1" xfId="0" applyNumberFormat="1" applyFont="1" applyFill="1" applyBorder="1" applyAlignment="1">
      <alignment horizontal="center" vertical="center"/>
    </xf>
    <xf numFmtId="10" fontId="1" fillId="0" borderId="1" xfId="0" applyNumberFormat="1" applyFont="1" applyBorder="1" applyAlignment="1">
      <alignment horizontal="center" vertical="center"/>
    </xf>
    <xf numFmtId="10" fontId="2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justify" vertical="center" wrapText="1"/>
    </xf>
    <xf numFmtId="0" fontId="13" fillId="0" borderId="1" xfId="0" applyFont="1" applyBorder="1" applyAlignment="1">
      <alignment horizontal="justify" vertical="center" wrapText="1"/>
    </xf>
    <xf numFmtId="0" fontId="4" fillId="0" borderId="1" xfId="0" applyFont="1" applyBorder="1" applyAlignment="1">
      <alignment horizontal="center" vertical="center"/>
    </xf>
    <xf numFmtId="43" fontId="5" fillId="0" borderId="1" xfId="0" applyNumberFormat="1" applyFont="1" applyBorder="1" applyAlignment="1">
      <alignment horizontal="right" vertical="center"/>
    </xf>
    <xf numFmtId="10" fontId="5" fillId="0" borderId="1" xfId="0" applyNumberFormat="1" applyFont="1" applyBorder="1" applyAlignment="1">
      <alignment horizontal="right" vertical="center"/>
    </xf>
    <xf numFmtId="43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43" fontId="4" fillId="0" borderId="1" xfId="0" applyNumberFormat="1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10" fontId="3" fillId="0" borderId="1" xfId="0" applyNumberFormat="1" applyFont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43" fontId="4" fillId="6" borderId="1" xfId="0" applyNumberFormat="1" applyFont="1" applyFill="1" applyBorder="1" applyAlignment="1">
      <alignment horizontal="center" vertical="center"/>
    </xf>
    <xf numFmtId="10" fontId="4" fillId="6" borderId="1" xfId="0" applyNumberFormat="1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4" fontId="3" fillId="0" borderId="1" xfId="0" applyNumberFormat="1" applyFont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43" fontId="7" fillId="6" borderId="1" xfId="0" applyNumberFormat="1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10" fontId="7" fillId="6" borderId="1" xfId="0" applyNumberFormat="1" applyFont="1" applyFill="1" applyBorder="1" applyAlignment="1">
      <alignment horizontal="center" vertical="center"/>
    </xf>
    <xf numFmtId="4" fontId="7" fillId="6" borderId="1" xfId="0" applyNumberFormat="1" applyFont="1" applyFill="1" applyBorder="1" applyAlignment="1">
      <alignment horizontal="center" vertical="center"/>
    </xf>
    <xf numFmtId="4" fontId="14" fillId="0" borderId="12" xfId="0" applyNumberFormat="1" applyFont="1" applyBorder="1" applyAlignment="1">
      <alignment horizontal="right" vertical="center" wrapText="1"/>
    </xf>
    <xf numFmtId="0" fontId="14" fillId="0" borderId="13" xfId="0" applyFont="1" applyBorder="1" applyAlignment="1">
      <alignment horizontal="right" vertical="center" wrapText="1"/>
    </xf>
    <xf numFmtId="0" fontId="2" fillId="8" borderId="1" xfId="0" applyFont="1" applyFill="1" applyBorder="1" applyAlignment="1">
      <alignment horizontal="center" vertical="center"/>
    </xf>
    <xf numFmtId="43" fontId="2" fillId="8" borderId="1" xfId="0" applyNumberFormat="1" applyFont="1" applyFill="1" applyBorder="1" applyAlignment="1">
      <alignment horizontal="center" vertical="center"/>
    </xf>
    <xf numFmtId="43" fontId="7" fillId="0" borderId="1" xfId="1" applyFont="1" applyBorder="1" applyAlignment="1">
      <alignment horizontal="center" vertical="center"/>
    </xf>
    <xf numFmtId="177" fontId="7" fillId="0" borderId="1" xfId="1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43" fontId="16" fillId="0" borderId="0" xfId="0" applyNumberFormat="1" applyFont="1" applyAlignment="1">
      <alignment horizontal="center" vertical="center"/>
    </xf>
    <xf numFmtId="178" fontId="15" fillId="0" borderId="0" xfId="8" applyNumberFormat="1" applyFont="1" applyAlignment="1">
      <alignment horizontal="center" vertical="center"/>
    </xf>
    <xf numFmtId="43" fontId="15" fillId="0" borderId="0" xfId="8" applyNumberFormat="1" applyFont="1" applyAlignment="1">
      <alignment horizontal="center" vertical="center"/>
    </xf>
    <xf numFmtId="179" fontId="15" fillId="0" borderId="0" xfId="8" applyNumberFormat="1" applyFont="1" applyAlignment="1">
      <alignment horizontal="center" vertical="center"/>
    </xf>
    <xf numFmtId="180" fontId="15" fillId="0" borderId="0" xfId="2" applyNumberFormat="1" applyFont="1" applyFill="1" applyBorder="1" applyAlignment="1">
      <alignment horizontal="center" vertical="center"/>
    </xf>
    <xf numFmtId="178" fontId="16" fillId="0" borderId="0" xfId="8" applyNumberFormat="1" applyFont="1" applyAlignment="1">
      <alignment horizontal="center" vertical="center"/>
    </xf>
    <xf numFmtId="43" fontId="16" fillId="0" borderId="0" xfId="8" applyNumberFormat="1" applyFont="1" applyAlignment="1">
      <alignment horizontal="center" vertical="center"/>
    </xf>
    <xf numFmtId="179" fontId="16" fillId="0" borderId="0" xfId="8" applyNumberFormat="1" applyFont="1" applyAlignment="1">
      <alignment horizontal="center" vertical="center"/>
    </xf>
    <xf numFmtId="180" fontId="16" fillId="0" borderId="0" xfId="2" applyNumberFormat="1" applyFont="1" applyFill="1" applyBorder="1" applyAlignment="1">
      <alignment horizontal="center" vertical="center"/>
    </xf>
    <xf numFmtId="43" fontId="16" fillId="0" borderId="0" xfId="46" applyFont="1" applyFill="1" applyBorder="1" applyAlignment="1">
      <alignment horizontal="center" vertical="center"/>
    </xf>
    <xf numFmtId="0" fontId="16" fillId="0" borderId="0" xfId="13" applyFont="1" applyAlignment="1" applyProtection="1">
      <alignment horizontal="center" vertical="center" wrapText="1"/>
      <protection locked="0"/>
    </xf>
    <xf numFmtId="43" fontId="16" fillId="0" borderId="0" xfId="46" applyFont="1" applyFill="1" applyBorder="1" applyAlignment="1" applyProtection="1">
      <alignment horizontal="center" vertical="center"/>
      <protection locked="0"/>
    </xf>
    <xf numFmtId="181" fontId="16" fillId="0" borderId="0" xfId="13" applyNumberFormat="1" applyFont="1" applyAlignment="1" applyProtection="1">
      <alignment horizontal="center" vertical="center"/>
      <protection locked="0"/>
    </xf>
    <xf numFmtId="180" fontId="16" fillId="0" borderId="0" xfId="2" applyNumberFormat="1" applyFont="1" applyFill="1" applyBorder="1" applyAlignment="1" applyProtection="1">
      <alignment horizontal="center" vertical="center"/>
      <protection locked="0"/>
    </xf>
    <xf numFmtId="180" fontId="16" fillId="0" borderId="0" xfId="3" applyNumberFormat="1" applyFont="1" applyFill="1" applyBorder="1" applyAlignment="1" applyProtection="1">
      <alignment horizontal="center" vertical="center" wrapText="1"/>
      <protection locked="0"/>
    </xf>
    <xf numFmtId="43" fontId="16" fillId="0" borderId="0" xfId="54" applyNumberFormat="1" applyFont="1" applyFill="1" applyBorder="1" applyAlignment="1" applyProtection="1">
      <alignment horizontal="center" vertical="center"/>
      <protection locked="0"/>
    </xf>
    <xf numFmtId="180" fontId="16" fillId="0" borderId="0" xfId="2" applyNumberFormat="1" applyFont="1" applyFill="1" applyBorder="1" applyAlignment="1" applyProtection="1">
      <alignment horizontal="center" vertical="center" wrapText="1"/>
      <protection locked="0"/>
    </xf>
    <xf numFmtId="0" fontId="16" fillId="0" borderId="0" xfId="13" applyFont="1" applyAlignment="1" applyProtection="1">
      <alignment horizontal="center" vertical="center"/>
      <protection locked="0"/>
    </xf>
    <xf numFmtId="180" fontId="16" fillId="0" borderId="0" xfId="3" applyNumberFormat="1" applyFont="1" applyFill="1" applyBorder="1" applyAlignment="1" applyProtection="1">
      <alignment horizontal="center" vertical="center"/>
      <protection locked="0"/>
    </xf>
    <xf numFmtId="182" fontId="16" fillId="0" borderId="0" xfId="3" applyNumberFormat="1" applyFont="1" applyFill="1" applyBorder="1" applyAlignment="1" applyProtection="1">
      <alignment horizontal="center" vertical="center"/>
      <protection locked="0"/>
    </xf>
    <xf numFmtId="10" fontId="16" fillId="0" borderId="0" xfId="3" applyNumberFormat="1" applyFont="1" applyFill="1" applyBorder="1" applyAlignment="1" applyProtection="1">
      <alignment horizontal="center" vertical="center"/>
      <protection locked="0"/>
    </xf>
    <xf numFmtId="43" fontId="16" fillId="0" borderId="0" xfId="51" applyFont="1" applyFill="1" applyBorder="1" applyAlignment="1" applyProtection="1">
      <alignment horizontal="center" vertical="center"/>
      <protection locked="0"/>
    </xf>
    <xf numFmtId="0" fontId="16" fillId="0" borderId="0" xfId="11" applyFont="1" applyAlignment="1" applyProtection="1">
      <alignment horizontal="center" vertical="center"/>
      <protection hidden="1"/>
    </xf>
    <xf numFmtId="176" fontId="16" fillId="0" borderId="0" xfId="54" applyFont="1" applyFill="1" applyBorder="1" applyAlignment="1" applyProtection="1">
      <alignment horizontal="center" vertical="center" wrapText="1"/>
      <protection locked="0"/>
    </xf>
    <xf numFmtId="176" fontId="16" fillId="0" borderId="0" xfId="54" applyFont="1" applyFill="1" applyBorder="1" applyAlignment="1" applyProtection="1">
      <alignment horizontal="center" vertical="center"/>
      <protection locked="0"/>
    </xf>
    <xf numFmtId="0" fontId="16" fillId="0" borderId="0" xfId="49" applyNumberFormat="1" applyFont="1" applyFill="1" applyBorder="1" applyAlignment="1" applyProtection="1">
      <alignment horizontal="center" vertical="center"/>
      <protection locked="0"/>
    </xf>
    <xf numFmtId="49" fontId="16" fillId="0" borderId="0" xfId="16" applyNumberFormat="1" applyFont="1" applyAlignment="1">
      <alignment horizontal="center" vertical="center" wrapText="1"/>
    </xf>
    <xf numFmtId="49" fontId="16" fillId="0" borderId="0" xfId="16" applyNumberFormat="1" applyFont="1" applyAlignment="1" applyProtection="1">
      <alignment horizontal="center" vertical="center"/>
      <protection locked="0"/>
    </xf>
    <xf numFmtId="181" fontId="16" fillId="0" borderId="0" xfId="13" applyNumberFormat="1" applyFont="1" applyAlignment="1" applyProtection="1">
      <alignment horizontal="center" vertical="center" wrapText="1"/>
      <protection locked="0"/>
    </xf>
    <xf numFmtId="0" fontId="16" fillId="0" borderId="0" xfId="8" applyFont="1" applyAlignment="1">
      <alignment horizontal="center" vertical="center" wrapText="1"/>
    </xf>
    <xf numFmtId="14" fontId="17" fillId="0" borderId="0" xfId="0" applyNumberFormat="1" applyFont="1" applyAlignment="1">
      <alignment horizontal="center" vertical="center"/>
    </xf>
    <xf numFmtId="14" fontId="17" fillId="0" borderId="0" xfId="8" applyNumberFormat="1" applyFont="1" applyAlignment="1">
      <alignment horizontal="right" vertical="center" wrapText="1"/>
    </xf>
    <xf numFmtId="14" fontId="16" fillId="0" borderId="0" xfId="0" applyNumberFormat="1" applyFont="1" applyAlignment="1">
      <alignment horizontal="center" vertical="center"/>
    </xf>
    <xf numFmtId="14" fontId="17" fillId="0" borderId="0" xfId="8" applyNumberFormat="1" applyFont="1" applyAlignment="1">
      <alignment horizontal="center" vertical="center" wrapText="1"/>
    </xf>
    <xf numFmtId="0" fontId="16" fillId="0" borderId="0" xfId="11" applyFont="1" applyAlignment="1" applyProtection="1">
      <alignment horizontal="center" vertical="center"/>
      <protection locked="0"/>
    </xf>
    <xf numFmtId="14" fontId="13" fillId="0" borderId="0" xfId="0" applyNumberFormat="1" applyFont="1" applyAlignment="1">
      <alignment horizontal="right" vertical="center" wrapText="1"/>
    </xf>
    <xf numFmtId="14" fontId="13" fillId="0" borderId="0" xfId="0" applyNumberFormat="1" applyFont="1" applyAlignment="1">
      <alignment horizontal="center" vertical="center" wrapText="1"/>
    </xf>
    <xf numFmtId="0" fontId="13" fillId="0" borderId="0" xfId="0" applyFont="1" applyAlignment="1">
      <alignment horizontal="left" vertical="center" wrapText="1"/>
    </xf>
    <xf numFmtId="0" fontId="17" fillId="0" borderId="0" xfId="16" applyFont="1" applyAlignment="1">
      <alignment horizontal="center" vertical="center" wrapText="1"/>
    </xf>
    <xf numFmtId="43" fontId="17" fillId="0" borderId="0" xfId="46" applyFont="1" applyFill="1" applyBorder="1" applyAlignment="1">
      <alignment horizontal="center" vertical="center" wrapText="1"/>
    </xf>
    <xf numFmtId="43" fontId="17" fillId="0" borderId="0" xfId="52" applyFont="1" applyFill="1" applyBorder="1" applyAlignment="1">
      <alignment horizontal="center" vertical="center" wrapText="1"/>
    </xf>
    <xf numFmtId="43" fontId="18" fillId="0" borderId="0" xfId="46" applyFont="1" applyFill="1" applyBorder="1" applyAlignment="1">
      <alignment horizontal="center" vertical="center" wrapText="1"/>
    </xf>
    <xf numFmtId="0" fontId="17" fillId="0" borderId="0" xfId="11" applyFont="1" applyAlignment="1" applyProtection="1">
      <alignment horizontal="center" vertical="center"/>
      <protection locked="0"/>
    </xf>
    <xf numFmtId="10" fontId="16" fillId="0" borderId="0" xfId="0" applyNumberFormat="1" applyFont="1" applyAlignment="1">
      <alignment horizontal="center" vertical="center"/>
    </xf>
    <xf numFmtId="178" fontId="19" fillId="0" borderId="0" xfId="8" applyNumberFormat="1" applyFont="1" applyAlignment="1">
      <alignment horizontal="center" vertical="center"/>
    </xf>
    <xf numFmtId="43" fontId="19" fillId="0" borderId="0" xfId="8" applyNumberFormat="1" applyFont="1" applyAlignment="1">
      <alignment horizontal="center" vertical="center"/>
    </xf>
    <xf numFmtId="179" fontId="19" fillId="0" borderId="0" xfId="8" applyNumberFormat="1" applyFont="1" applyAlignment="1">
      <alignment horizontal="center" vertical="center"/>
    </xf>
    <xf numFmtId="0" fontId="19" fillId="0" borderId="0" xfId="8" applyFont="1" applyAlignment="1">
      <alignment horizontal="center" vertical="center"/>
    </xf>
    <xf numFmtId="180" fontId="19" fillId="0" borderId="0" xfId="2" applyNumberFormat="1" applyFont="1" applyFill="1" applyBorder="1" applyAlignment="1">
      <alignment horizontal="center" vertical="center"/>
    </xf>
    <xf numFmtId="178" fontId="17" fillId="0" borderId="0" xfId="8" applyNumberFormat="1" applyFont="1" applyAlignment="1">
      <alignment horizontal="center" vertical="center"/>
    </xf>
    <xf numFmtId="43" fontId="17" fillId="0" borderId="0" xfId="8" applyNumberFormat="1" applyFont="1" applyAlignment="1">
      <alignment horizontal="center" vertical="center"/>
    </xf>
    <xf numFmtId="179" fontId="17" fillId="0" borderId="0" xfId="8" applyNumberFormat="1" applyFont="1" applyAlignment="1">
      <alignment horizontal="center" vertical="center"/>
    </xf>
    <xf numFmtId="0" fontId="17" fillId="0" borderId="0" xfId="8" applyFont="1" applyAlignment="1">
      <alignment horizontal="center" vertical="center"/>
    </xf>
    <xf numFmtId="180" fontId="17" fillId="0" borderId="0" xfId="2" applyNumberFormat="1" applyFont="1" applyFill="1" applyBorder="1" applyAlignment="1">
      <alignment horizontal="center" vertical="center"/>
    </xf>
    <xf numFmtId="178" fontId="17" fillId="0" borderId="0" xfId="0" applyNumberFormat="1" applyFont="1" applyAlignment="1">
      <alignment horizontal="center" vertical="center"/>
    </xf>
    <xf numFmtId="43" fontId="17" fillId="0" borderId="0" xfId="0" applyNumberFormat="1" applyFont="1" applyAlignment="1">
      <alignment horizontal="center" vertical="center"/>
    </xf>
    <xf numFmtId="179" fontId="17" fillId="0" borderId="0" xfId="0" applyNumberFormat="1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10" fontId="17" fillId="0" borderId="0" xfId="2" applyNumberFormat="1" applyFont="1" applyFill="1" applyBorder="1" applyAlignment="1">
      <alignment horizontal="center" vertical="center"/>
    </xf>
    <xf numFmtId="43" fontId="17" fillId="0" borderId="0" xfId="46" applyFont="1" applyFill="1" applyBorder="1" applyAlignment="1">
      <alignment horizontal="center" vertical="center"/>
    </xf>
    <xf numFmtId="10" fontId="17" fillId="0" borderId="0" xfId="8" applyNumberFormat="1" applyFont="1" applyAlignment="1">
      <alignment horizontal="center" vertical="center"/>
    </xf>
    <xf numFmtId="0" fontId="17" fillId="0" borderId="0" xfId="8" applyFont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7" fillId="0" borderId="0" xfId="13" applyFont="1" applyAlignment="1" applyProtection="1">
      <alignment horizontal="center" vertical="center"/>
      <protection locked="0"/>
    </xf>
    <xf numFmtId="181" fontId="17" fillId="0" borderId="0" xfId="13" applyNumberFormat="1" applyFont="1" applyAlignment="1" applyProtection="1">
      <alignment horizontal="center" vertical="center"/>
      <protection locked="0"/>
    </xf>
    <xf numFmtId="180" fontId="17" fillId="0" borderId="0" xfId="2" applyNumberFormat="1" applyFont="1" applyFill="1" applyBorder="1" applyAlignment="1" applyProtection="1">
      <alignment horizontal="center" vertical="center"/>
      <protection locked="0"/>
    </xf>
    <xf numFmtId="0" fontId="17" fillId="0" borderId="0" xfId="13" applyFont="1" applyAlignment="1" applyProtection="1">
      <alignment horizontal="center" vertical="center" wrapText="1"/>
      <protection locked="0"/>
    </xf>
    <xf numFmtId="180" fontId="17" fillId="0" borderId="0" xfId="3" applyNumberFormat="1" applyFont="1" applyFill="1" applyBorder="1" applyAlignment="1" applyProtection="1">
      <alignment horizontal="center" vertical="center" wrapText="1"/>
      <protection locked="0"/>
    </xf>
    <xf numFmtId="0" fontId="18" fillId="0" borderId="0" xfId="16" applyFont="1" applyAlignment="1">
      <alignment horizontal="center" vertical="center" wrapText="1"/>
    </xf>
    <xf numFmtId="0" fontId="17" fillId="0" borderId="0" xfId="11" applyFont="1" applyAlignment="1" applyProtection="1">
      <alignment horizontal="center" vertical="center"/>
      <protection hidden="1"/>
    </xf>
    <xf numFmtId="176" fontId="17" fillId="0" borderId="0" xfId="54" applyFont="1" applyFill="1" applyBorder="1" applyAlignment="1" applyProtection="1">
      <alignment horizontal="center" vertical="center" wrapText="1"/>
      <protection locked="0"/>
    </xf>
    <xf numFmtId="180" fontId="17" fillId="0" borderId="0" xfId="2" applyNumberFormat="1" applyFont="1" applyFill="1" applyBorder="1" applyAlignment="1" applyProtection="1">
      <alignment horizontal="center" vertical="center" wrapText="1"/>
      <protection locked="0"/>
    </xf>
    <xf numFmtId="180" fontId="17" fillId="0" borderId="0" xfId="3" applyNumberFormat="1" applyFont="1" applyFill="1" applyBorder="1" applyAlignment="1" applyProtection="1">
      <alignment horizontal="center" vertical="center"/>
      <protection locked="0"/>
    </xf>
    <xf numFmtId="43" fontId="17" fillId="0" borderId="0" xfId="13" applyNumberFormat="1" applyFont="1" applyAlignment="1" applyProtection="1">
      <alignment horizontal="center" vertical="center"/>
      <protection locked="0"/>
    </xf>
    <xf numFmtId="43" fontId="17" fillId="0" borderId="0" xfId="46" applyFont="1" applyFill="1" applyBorder="1" applyAlignment="1" applyProtection="1">
      <alignment horizontal="center" vertical="center"/>
      <protection locked="0"/>
    </xf>
    <xf numFmtId="10" fontId="17" fillId="0" borderId="0" xfId="2" applyNumberFormat="1" applyFont="1" applyFill="1" applyBorder="1" applyAlignment="1" applyProtection="1">
      <alignment horizontal="center" vertical="center"/>
      <protection locked="0"/>
    </xf>
    <xf numFmtId="182" fontId="17" fillId="0" borderId="0" xfId="2" applyNumberFormat="1" applyFont="1" applyFill="1" applyBorder="1" applyAlignment="1" applyProtection="1">
      <alignment horizontal="center" vertical="center"/>
      <protection locked="0"/>
    </xf>
    <xf numFmtId="10" fontId="17" fillId="0" borderId="0" xfId="3" applyNumberFormat="1" applyFont="1" applyFill="1" applyBorder="1" applyAlignment="1" applyProtection="1">
      <alignment horizontal="center" vertical="center"/>
      <protection locked="0"/>
    </xf>
    <xf numFmtId="43" fontId="17" fillId="0" borderId="0" xfId="51" applyFont="1" applyFill="1" applyBorder="1" applyAlignment="1" applyProtection="1">
      <alignment horizontal="center" vertical="center"/>
      <protection locked="0"/>
    </xf>
    <xf numFmtId="49" fontId="17" fillId="0" borderId="0" xfId="16" applyNumberFormat="1" applyFont="1" applyAlignment="1">
      <alignment horizontal="center" vertical="center" wrapText="1"/>
    </xf>
    <xf numFmtId="49" fontId="17" fillId="0" borderId="0" xfId="16" applyNumberFormat="1" applyFont="1" applyAlignment="1" applyProtection="1">
      <alignment horizontal="center" vertical="center"/>
      <protection locked="0"/>
    </xf>
    <xf numFmtId="181" fontId="17" fillId="0" borderId="0" xfId="13" applyNumberFormat="1" applyFont="1" applyAlignment="1" applyProtection="1">
      <alignment horizontal="center" vertical="center" wrapText="1"/>
      <protection locked="0"/>
    </xf>
    <xf numFmtId="10" fontId="17" fillId="0" borderId="0" xfId="2" applyNumberFormat="1" applyFont="1" applyFill="1" applyBorder="1" applyAlignment="1" applyProtection="1">
      <alignment horizontal="center" vertical="center" wrapText="1"/>
      <protection locked="0"/>
    </xf>
    <xf numFmtId="10" fontId="17" fillId="0" borderId="0" xfId="3" applyNumberFormat="1" applyFont="1" applyFill="1" applyBorder="1" applyAlignment="1" applyProtection="1">
      <alignment horizontal="center" vertical="center" wrapText="1"/>
      <protection locked="0"/>
    </xf>
    <xf numFmtId="176" fontId="17" fillId="0" borderId="0" xfId="54" applyFont="1" applyFill="1" applyBorder="1" applyAlignment="1" applyProtection="1">
      <alignment horizontal="center" vertical="center"/>
      <protection locked="0"/>
    </xf>
    <xf numFmtId="0" fontId="17" fillId="0" borderId="0" xfId="49" applyNumberFormat="1" applyFont="1" applyFill="1" applyBorder="1" applyAlignment="1" applyProtection="1">
      <alignment horizontal="center" vertical="center"/>
      <protection locked="0"/>
    </xf>
    <xf numFmtId="43" fontId="17" fillId="0" borderId="0" xfId="11" applyNumberFormat="1" applyFont="1" applyAlignment="1" applyProtection="1">
      <alignment horizontal="center" vertical="center"/>
      <protection hidden="1"/>
    </xf>
    <xf numFmtId="43" fontId="15" fillId="0" borderId="0" xfId="0" applyNumberFormat="1" applyFont="1" applyAlignment="1">
      <alignment horizontal="center" vertical="center"/>
    </xf>
    <xf numFmtId="43" fontId="7" fillId="9" borderId="1" xfId="0" applyNumberFormat="1" applyFont="1" applyFill="1" applyBorder="1" applyAlignment="1">
      <alignment horizontal="center" vertical="center"/>
    </xf>
    <xf numFmtId="10" fontId="7" fillId="9" borderId="1" xfId="0" applyNumberFormat="1" applyFont="1" applyFill="1" applyBorder="1" applyAlignment="1">
      <alignment horizontal="center" vertical="center"/>
    </xf>
    <xf numFmtId="4" fontId="20" fillId="0" borderId="0" xfId="0" applyNumberFormat="1" applyFont="1">
      <alignment vertical="center"/>
    </xf>
    <xf numFmtId="43" fontId="7" fillId="7" borderId="1" xfId="0" applyNumberFormat="1" applyFont="1" applyFill="1" applyBorder="1">
      <alignment vertical="center"/>
    </xf>
    <xf numFmtId="4" fontId="21" fillId="0" borderId="0" xfId="0" applyNumberFormat="1" applyFont="1">
      <alignment vertical="center"/>
    </xf>
    <xf numFmtId="0" fontId="7" fillId="0" borderId="2" xfId="0" applyFont="1" applyBorder="1" applyAlignment="1">
      <alignment horizontal="center" vertical="center"/>
    </xf>
    <xf numFmtId="10" fontId="7" fillId="0" borderId="0" xfId="2" applyNumberFormat="1" applyFont="1" applyAlignment="1">
      <alignment horizontal="center" vertical="center"/>
    </xf>
    <xf numFmtId="10" fontId="7" fillId="0" borderId="1" xfId="2" applyNumberFormat="1" applyFont="1" applyBorder="1" applyAlignment="1">
      <alignment horizontal="center" vertical="center"/>
    </xf>
    <xf numFmtId="4" fontId="7" fillId="0" borderId="0" xfId="0" applyNumberFormat="1" applyFont="1" applyAlignment="1">
      <alignment horizontal="center" vertical="center"/>
    </xf>
    <xf numFmtId="183" fontId="7" fillId="0" borderId="0" xfId="0" applyNumberFormat="1" applyFont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4" fontId="5" fillId="0" borderId="17" xfId="0" applyNumberFormat="1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4" fontId="6" fillId="0" borderId="17" xfId="0" applyNumberFormat="1" applyFont="1" applyBorder="1" applyAlignment="1">
      <alignment horizontal="center" vertical="center"/>
    </xf>
    <xf numFmtId="43" fontId="6" fillId="0" borderId="17" xfId="0" applyNumberFormat="1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4" fontId="6" fillId="0" borderId="19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43" fontId="0" fillId="0" borderId="0" xfId="0" applyNumberFormat="1" applyAlignment="1">
      <alignment horizontal="center" vertical="center"/>
    </xf>
    <xf numFmtId="4" fontId="16" fillId="0" borderId="0" xfId="0" applyNumberFormat="1" applyFont="1" applyAlignment="1">
      <alignment horizontal="center" vertical="center"/>
    </xf>
    <xf numFmtId="0" fontId="22" fillId="0" borderId="1" xfId="5" applyFont="1" applyBorder="1" applyAlignment="1">
      <alignment horizontal="center" vertical="center"/>
    </xf>
    <xf numFmtId="0" fontId="22" fillId="0" borderId="1" xfId="5" applyFont="1" applyBorder="1" applyAlignment="1">
      <alignment horizontal="center" vertical="center" wrapText="1"/>
    </xf>
    <xf numFmtId="0" fontId="7" fillId="0" borderId="1" xfId="5" applyFont="1" applyBorder="1" applyAlignment="1">
      <alignment horizontal="center" vertical="center" wrapText="1"/>
    </xf>
    <xf numFmtId="43" fontId="22" fillId="0" borderId="1" xfId="1" applyFont="1" applyFill="1" applyBorder="1" applyAlignment="1">
      <alignment horizontal="center" vertical="center"/>
    </xf>
    <xf numFmtId="178" fontId="22" fillId="0" borderId="1" xfId="1" applyNumberFormat="1" applyFont="1" applyFill="1" applyBorder="1" applyAlignment="1">
      <alignment horizontal="center" vertical="center"/>
    </xf>
    <xf numFmtId="0" fontId="23" fillId="0" borderId="1" xfId="5" applyFont="1" applyBorder="1" applyAlignment="1">
      <alignment horizontal="center" vertical="center"/>
    </xf>
    <xf numFmtId="43" fontId="23" fillId="0" borderId="1" xfId="47" applyFont="1" applyFill="1" applyBorder="1" applyAlignment="1">
      <alignment vertical="center" wrapText="1"/>
    </xf>
    <xf numFmtId="43" fontId="4" fillId="0" borderId="1" xfId="47" applyFont="1" applyFill="1" applyBorder="1" applyAlignment="1">
      <alignment vertical="center" wrapText="1"/>
    </xf>
    <xf numFmtId="43" fontId="23" fillId="0" borderId="1" xfId="1" applyFont="1" applyFill="1" applyBorder="1">
      <alignment vertical="center"/>
    </xf>
    <xf numFmtId="43" fontId="23" fillId="0" borderId="1" xfId="47" applyFont="1" applyFill="1" applyBorder="1">
      <alignment vertical="center"/>
    </xf>
    <xf numFmtId="43" fontId="23" fillId="0" borderId="1" xfId="47" applyFont="1" applyFill="1" applyBorder="1" applyAlignment="1">
      <alignment horizontal="center" vertical="center"/>
    </xf>
    <xf numFmtId="43" fontId="23" fillId="10" borderId="1" xfId="47" applyFont="1" applyFill="1" applyBorder="1">
      <alignment vertical="center"/>
    </xf>
    <xf numFmtId="43" fontId="23" fillId="0" borderId="1" xfId="1" applyFont="1" applyFill="1" applyBorder="1" applyAlignment="1">
      <alignment horizontal="center" vertical="center"/>
    </xf>
    <xf numFmtId="0" fontId="24" fillId="0" borderId="1" xfId="5" applyFont="1" applyBorder="1" applyAlignment="1">
      <alignment horizontal="center" vertical="center"/>
    </xf>
    <xf numFmtId="43" fontId="4" fillId="0" borderId="1" xfId="1" applyFont="1" applyFill="1" applyBorder="1">
      <alignment vertical="center"/>
    </xf>
    <xf numFmtId="43" fontId="23" fillId="0" borderId="1" xfId="1" applyFont="1" applyFill="1" applyBorder="1" applyAlignment="1">
      <alignment vertical="center" wrapText="1"/>
    </xf>
    <xf numFmtId="43" fontId="4" fillId="3" borderId="1" xfId="47" applyFont="1" applyFill="1" applyBorder="1" applyAlignment="1">
      <alignment vertical="center" wrapText="1"/>
    </xf>
    <xf numFmtId="43" fontId="25" fillId="0" borderId="1" xfId="47" applyFont="1" applyFill="1" applyBorder="1" applyAlignment="1">
      <alignment vertical="center" wrapText="1"/>
    </xf>
    <xf numFmtId="43" fontId="4" fillId="10" borderId="1" xfId="47" applyFont="1" applyFill="1" applyBorder="1" applyAlignment="1">
      <alignment vertical="center" wrapText="1"/>
    </xf>
    <xf numFmtId="43" fontId="23" fillId="11" borderId="1" xfId="1" applyFont="1" applyFill="1" applyBorder="1">
      <alignment vertical="center"/>
    </xf>
    <xf numFmtId="43" fontId="23" fillId="11" borderId="1" xfId="1" applyFont="1" applyFill="1" applyBorder="1" applyAlignment="1">
      <alignment horizontal="center" vertical="center"/>
    </xf>
    <xf numFmtId="0" fontId="22" fillId="11" borderId="1" xfId="5" applyFont="1" applyFill="1" applyBorder="1" applyAlignment="1">
      <alignment horizontal="center" vertical="center"/>
    </xf>
    <xf numFmtId="43" fontId="25" fillId="3" borderId="1" xfId="47" applyFont="1" applyFill="1" applyBorder="1" applyAlignment="1">
      <alignment vertical="center" wrapText="1"/>
    </xf>
    <xf numFmtId="0" fontId="7" fillId="0" borderId="1" xfId="5" applyFont="1" applyBorder="1" applyAlignment="1">
      <alignment horizontal="center" vertical="center"/>
    </xf>
    <xf numFmtId="43" fontId="26" fillId="0" borderId="1" xfId="1" applyFont="1" applyFill="1" applyBorder="1">
      <alignment vertical="center"/>
    </xf>
    <xf numFmtId="43" fontId="27" fillId="0" borderId="1" xfId="47" applyFont="1" applyFill="1" applyBorder="1" applyAlignment="1">
      <alignment vertical="center" wrapText="1"/>
    </xf>
    <xf numFmtId="43" fontId="24" fillId="0" borderId="1" xfId="1" applyFont="1" applyFill="1" applyBorder="1" applyAlignment="1">
      <alignment horizontal="center" vertical="center"/>
    </xf>
    <xf numFmtId="43" fontId="4" fillId="3" borderId="1" xfId="1" applyFont="1" applyFill="1" applyBorder="1">
      <alignment vertical="center"/>
    </xf>
    <xf numFmtId="0" fontId="22" fillId="0" borderId="1" xfId="5" applyFont="1" applyBorder="1">
      <alignment vertical="center"/>
    </xf>
    <xf numFmtId="0" fontId="7" fillId="0" borderId="1" xfId="5" applyFont="1" applyBorder="1">
      <alignment vertical="center"/>
    </xf>
    <xf numFmtId="0" fontId="28" fillId="0" borderId="1" xfId="5" applyFont="1" applyBorder="1">
      <alignment vertical="center"/>
    </xf>
    <xf numFmtId="0" fontId="7" fillId="11" borderId="1" xfId="5" applyFont="1" applyFill="1" applyBorder="1">
      <alignment vertical="center"/>
    </xf>
    <xf numFmtId="43" fontId="22" fillId="0" borderId="1" xfId="1" applyFont="1" applyFill="1" applyBorder="1">
      <alignment vertical="center"/>
    </xf>
    <xf numFmtId="43" fontId="22" fillId="11" borderId="1" xfId="1" applyFont="1" applyFill="1" applyBorder="1">
      <alignment vertical="center"/>
    </xf>
    <xf numFmtId="43" fontId="26" fillId="0" borderId="1" xfId="1" applyFont="1" applyFill="1" applyBorder="1" applyAlignment="1">
      <alignment horizontal="center" vertical="center"/>
    </xf>
    <xf numFmtId="0" fontId="26" fillId="0" borderId="1" xfId="5" applyFont="1" applyBorder="1" applyAlignment="1">
      <alignment horizontal="center" vertical="center"/>
    </xf>
    <xf numFmtId="0" fontId="26" fillId="0" borderId="1" xfId="5" applyFont="1" applyBorder="1">
      <alignment vertical="center"/>
    </xf>
    <xf numFmtId="43" fontId="23" fillId="3" borderId="1" xfId="1" applyFont="1" applyFill="1" applyBorder="1" applyAlignment="1">
      <alignment vertical="center" wrapText="1"/>
    </xf>
    <xf numFmtId="43" fontId="23" fillId="3" borderId="1" xfId="1" applyFont="1" applyFill="1" applyBorder="1">
      <alignment vertical="center"/>
    </xf>
    <xf numFmtId="43" fontId="23" fillId="3" borderId="1" xfId="1" applyFont="1" applyFill="1" applyBorder="1" applyAlignment="1">
      <alignment horizontal="center" vertical="center"/>
    </xf>
    <xf numFmtId="0" fontId="22" fillId="3" borderId="1" xfId="5" applyFont="1" applyFill="1" applyBorder="1" applyAlignment="1">
      <alignment horizontal="center" vertical="center"/>
    </xf>
    <xf numFmtId="0" fontId="22" fillId="3" borderId="1" xfId="5" applyFont="1" applyFill="1" applyBorder="1">
      <alignment vertical="center"/>
    </xf>
    <xf numFmtId="178" fontId="8" fillId="0" borderId="1" xfId="0" applyNumberFormat="1" applyFont="1" applyBorder="1" applyAlignment="1">
      <alignment horizontal="center" vertical="center"/>
    </xf>
    <xf numFmtId="43" fontId="7" fillId="6" borderId="1" xfId="0" applyNumberFormat="1" applyFont="1" applyFill="1" applyBorder="1">
      <alignment vertical="center"/>
    </xf>
    <xf numFmtId="177" fontId="7" fillId="0" borderId="1" xfId="2" applyNumberFormat="1" applyFont="1" applyBorder="1">
      <alignment vertical="center"/>
    </xf>
    <xf numFmtId="0" fontId="2" fillId="6" borderId="1" xfId="0" applyFont="1" applyFill="1" applyBorder="1" applyAlignment="1">
      <alignment horizontal="center" vertical="center"/>
    </xf>
    <xf numFmtId="43" fontId="2" fillId="6" borderId="1" xfId="0" applyNumberFormat="1" applyFont="1" applyFill="1" applyBorder="1" applyAlignment="1">
      <alignment horizontal="center" vertical="center"/>
    </xf>
    <xf numFmtId="0" fontId="29" fillId="0" borderId="0" xfId="0" applyFont="1" applyAlignment="1">
      <alignment horizontal="center" vertical="center"/>
    </xf>
    <xf numFmtId="43" fontId="5" fillId="0" borderId="0" xfId="0" applyNumberFormat="1" applyFont="1" applyAlignment="1">
      <alignment horizontal="center" vertical="center" wrapText="1"/>
    </xf>
    <xf numFmtId="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0" fillId="0" borderId="1" xfId="45" applyFont="1" applyBorder="1" applyAlignment="1">
      <alignment horizontal="center" vertical="center" wrapText="1"/>
    </xf>
    <xf numFmtId="43" fontId="30" fillId="0" borderId="1" xfId="45" applyNumberFormat="1" applyFont="1" applyBorder="1" applyAlignment="1">
      <alignment horizontal="center" vertical="center" wrapText="1"/>
    </xf>
    <xf numFmtId="43" fontId="8" fillId="6" borderId="1" xfId="0" applyNumberFormat="1" applyFont="1" applyFill="1" applyBorder="1" applyAlignment="1">
      <alignment horizontal="center" vertical="center"/>
    </xf>
    <xf numFmtId="0" fontId="31" fillId="0" borderId="1" xfId="45" applyFont="1" applyBorder="1" applyAlignment="1">
      <alignment horizontal="justify" vertical="center" wrapText="1"/>
    </xf>
    <xf numFmtId="43" fontId="30" fillId="0" borderId="1" xfId="45" applyNumberFormat="1" applyFont="1" applyBorder="1" applyAlignment="1">
      <alignment horizontal="left" vertical="center" wrapText="1"/>
    </xf>
    <xf numFmtId="43" fontId="8" fillId="0" borderId="1" xfId="0" applyNumberFormat="1" applyFont="1" applyBorder="1" applyAlignment="1">
      <alignment horizontal="left" vertical="center"/>
    </xf>
    <xf numFmtId="0" fontId="7" fillId="3" borderId="0" xfId="0" applyFont="1" applyFill="1">
      <alignment vertical="center"/>
    </xf>
    <xf numFmtId="43" fontId="7" fillId="9" borderId="1" xfId="0" applyNumberFormat="1" applyFont="1" applyFill="1" applyBorder="1">
      <alignment vertical="center"/>
    </xf>
    <xf numFmtId="0" fontId="31" fillId="0" borderId="1" xfId="45" applyFont="1" applyBorder="1" applyAlignment="1">
      <alignment horizontal="left" vertical="center" wrapText="1" indent="1"/>
    </xf>
    <xf numFmtId="43" fontId="31" fillId="0" borderId="1" xfId="53" applyNumberFormat="1" applyFont="1" applyFill="1" applyBorder="1" applyAlignment="1" applyProtection="1">
      <alignment horizontal="left" vertical="center"/>
    </xf>
    <xf numFmtId="43" fontId="7" fillId="3" borderId="0" xfId="0" applyNumberFormat="1" applyFont="1" applyFill="1">
      <alignment vertical="center"/>
    </xf>
    <xf numFmtId="184" fontId="0" fillId="9" borderId="1" xfId="0" applyNumberFormat="1" applyFill="1" applyBorder="1">
      <alignment vertical="center"/>
    </xf>
    <xf numFmtId="43" fontId="31" fillId="0" borderId="1" xfId="45" applyNumberFormat="1" applyFont="1" applyBorder="1" applyAlignment="1">
      <alignment horizontal="left" vertical="center" wrapText="1"/>
    </xf>
    <xf numFmtId="43" fontId="7" fillId="0" borderId="1" xfId="0" applyNumberFormat="1" applyFont="1" applyBorder="1" applyAlignment="1">
      <alignment horizontal="left" vertical="center"/>
    </xf>
    <xf numFmtId="0" fontId="30" fillId="0" borderId="1" xfId="45" applyFont="1" applyBorder="1" applyAlignment="1">
      <alignment horizontal="justify" vertical="center" wrapText="1"/>
    </xf>
    <xf numFmtId="178" fontId="7" fillId="0" borderId="0" xfId="0" applyNumberFormat="1" applyFont="1">
      <alignment vertical="center"/>
    </xf>
    <xf numFmtId="184" fontId="7" fillId="0" borderId="0" xfId="0" applyNumberFormat="1" applyFont="1">
      <alignment vertical="center"/>
    </xf>
    <xf numFmtId="184" fontId="0" fillId="9" borderId="1" xfId="0" applyNumberFormat="1" applyFill="1" applyBorder="1" applyAlignment="1">
      <alignment horizontal="right" vertical="center"/>
    </xf>
    <xf numFmtId="184" fontId="7" fillId="9" borderId="1" xfId="0" applyNumberFormat="1" applyFont="1" applyFill="1" applyBorder="1">
      <alignment vertical="center"/>
    </xf>
    <xf numFmtId="0" fontId="8" fillId="12" borderId="1" xfId="0" applyFont="1" applyFill="1" applyBorder="1" applyAlignment="1">
      <alignment horizontal="center" vertical="center" wrapText="1"/>
    </xf>
    <xf numFmtId="43" fontId="8" fillId="12" borderId="1" xfId="0" applyNumberFormat="1" applyFont="1" applyFill="1" applyBorder="1" applyAlignment="1">
      <alignment horizontal="center" vertical="center" wrapText="1"/>
    </xf>
    <xf numFmtId="0" fontId="7" fillId="12" borderId="1" xfId="0" applyFont="1" applyFill="1" applyBorder="1" applyAlignment="1">
      <alignment horizontal="justify" vertical="center" wrapText="1"/>
    </xf>
    <xf numFmtId="0" fontId="7" fillId="12" borderId="1" xfId="0" applyFont="1" applyFill="1" applyBorder="1" applyAlignment="1">
      <alignment horizontal="center" vertical="center" wrapText="1"/>
    </xf>
    <xf numFmtId="43" fontId="12" fillId="9" borderId="1" xfId="0" applyNumberFormat="1" applyFont="1" applyFill="1" applyBorder="1">
      <alignment vertical="center"/>
    </xf>
    <xf numFmtId="184" fontId="7" fillId="9" borderId="1" xfId="0" applyNumberFormat="1" applyFont="1" applyFill="1" applyBorder="1" applyAlignment="1"/>
    <xf numFmtId="0" fontId="7" fillId="9" borderId="1" xfId="0" applyFont="1" applyFill="1" applyBorder="1">
      <alignment vertical="center"/>
    </xf>
    <xf numFmtId="0" fontId="8" fillId="12" borderId="1" xfId="0" applyFont="1" applyFill="1" applyBorder="1" applyAlignment="1">
      <alignment horizontal="justify" vertical="center" wrapText="1"/>
    </xf>
    <xf numFmtId="0" fontId="31" fillId="0" borderId="0" xfId="45" applyFont="1" applyAlignment="1">
      <alignment vertical="center"/>
    </xf>
    <xf numFmtId="43" fontId="31" fillId="0" borderId="0" xfId="45" applyNumberFormat="1" applyFont="1" applyAlignment="1">
      <alignment horizontal="center" vertical="center"/>
    </xf>
    <xf numFmtId="0" fontId="31" fillId="0" borderId="0" xfId="45" applyFont="1" applyAlignment="1">
      <alignment horizontal="center" vertical="center"/>
    </xf>
    <xf numFmtId="0" fontId="31" fillId="3" borderId="0" xfId="45" applyFont="1" applyFill="1" applyAlignment="1">
      <alignment horizontal="center" vertical="center"/>
    </xf>
    <xf numFmtId="0" fontId="30" fillId="0" borderId="1" xfId="45" applyFont="1" applyBorder="1" applyAlignment="1">
      <alignment horizontal="justify" vertical="center"/>
    </xf>
    <xf numFmtId="43" fontId="30" fillId="0" borderId="1" xfId="1" applyFont="1" applyFill="1" applyBorder="1" applyAlignment="1" applyProtection="1">
      <alignment vertical="center"/>
    </xf>
    <xf numFmtId="43" fontId="31" fillId="3" borderId="0" xfId="45" applyNumberFormat="1" applyFont="1" applyFill="1" applyAlignment="1">
      <alignment vertical="center"/>
    </xf>
    <xf numFmtId="184" fontId="2" fillId="9" borderId="1" xfId="0" applyNumberFormat="1" applyFont="1" applyFill="1" applyBorder="1" applyAlignment="1">
      <alignment horizontal="center" vertical="center"/>
    </xf>
    <xf numFmtId="0" fontId="31" fillId="0" borderId="1" xfId="45" applyFont="1" applyBorder="1" applyAlignment="1">
      <alignment horizontal="justify" vertical="center"/>
    </xf>
    <xf numFmtId="43" fontId="31" fillId="0" borderId="1" xfId="1" applyFont="1" applyFill="1" applyBorder="1" applyAlignment="1" applyProtection="1">
      <alignment vertical="center"/>
    </xf>
    <xf numFmtId="0" fontId="31" fillId="0" borderId="1" xfId="4" applyFont="1" applyBorder="1" applyAlignment="1">
      <alignment vertical="center" shrinkToFit="1"/>
    </xf>
    <xf numFmtId="0" fontId="31" fillId="0" borderId="1" xfId="4" applyFont="1" applyBorder="1" applyAlignment="1">
      <alignment vertical="center" wrapText="1" shrinkToFit="1"/>
    </xf>
    <xf numFmtId="43" fontId="30" fillId="0" borderId="1" xfId="45" applyNumberFormat="1" applyFont="1" applyBorder="1" applyAlignment="1">
      <alignment horizontal="right" vertical="center"/>
    </xf>
    <xf numFmtId="43" fontId="31" fillId="0" borderId="1" xfId="45" applyNumberFormat="1" applyFont="1" applyBorder="1" applyAlignment="1">
      <alignment horizontal="right" vertical="center"/>
    </xf>
    <xf numFmtId="43" fontId="31" fillId="0" borderId="1" xfId="45" applyNumberFormat="1" applyFont="1" applyBorder="1" applyAlignment="1">
      <alignment vertical="center"/>
    </xf>
    <xf numFmtId="0" fontId="31" fillId="0" borderId="1" xfId="45" applyFont="1" applyBorder="1" applyAlignment="1">
      <alignment horizontal="left" vertical="center"/>
    </xf>
    <xf numFmtId="43" fontId="31" fillId="0" borderId="1" xfId="45" applyNumberFormat="1" applyFont="1" applyBorder="1" applyAlignment="1" applyProtection="1">
      <alignment horizontal="right" vertical="center"/>
      <protection locked="0"/>
    </xf>
    <xf numFmtId="0" fontId="31" fillId="0" borderId="1" xfId="45" applyFont="1" applyBorder="1" applyAlignment="1">
      <alignment horizontal="left" vertical="center" wrapText="1" shrinkToFit="1"/>
    </xf>
    <xf numFmtId="0" fontId="31" fillId="0" borderId="1" xfId="45" applyFont="1" applyBorder="1" applyAlignment="1">
      <alignment horizontal="left" vertical="center" wrapText="1"/>
    </xf>
    <xf numFmtId="43" fontId="31" fillId="9" borderId="1" xfId="45" applyNumberFormat="1" applyFont="1" applyFill="1" applyBorder="1" applyAlignment="1">
      <alignment horizontal="center" vertical="center"/>
    </xf>
    <xf numFmtId="184" fontId="31" fillId="0" borderId="0" xfId="45" applyNumberFormat="1" applyFont="1" applyAlignment="1">
      <alignment vertical="center"/>
    </xf>
    <xf numFmtId="185" fontId="31" fillId="0" borderId="0" xfId="45" applyNumberFormat="1" applyFont="1" applyAlignment="1">
      <alignment vertical="center"/>
    </xf>
    <xf numFmtId="43" fontId="31" fillId="0" borderId="0" xfId="45" applyNumberFormat="1" applyFont="1" applyAlignment="1">
      <alignment vertical="center"/>
    </xf>
    <xf numFmtId="0" fontId="32" fillId="0" borderId="0" xfId="4" applyFont="1">
      <alignment vertical="center"/>
    </xf>
    <xf numFmtId="176" fontId="12" fillId="0" borderId="0" xfId="45" applyNumberFormat="1" applyFont="1" applyAlignment="1">
      <alignment horizontal="center" vertical="center"/>
    </xf>
    <xf numFmtId="12" fontId="12" fillId="0" borderId="0" xfId="45" applyNumberFormat="1" applyFont="1" applyAlignment="1">
      <alignment horizontal="right" vertical="center"/>
    </xf>
    <xf numFmtId="43" fontId="12" fillId="0" borderId="0" xfId="45" applyNumberFormat="1" applyFont="1" applyAlignment="1">
      <alignment horizontal="right" vertical="center"/>
    </xf>
    <xf numFmtId="178" fontId="7" fillId="7" borderId="1" xfId="0" applyNumberFormat="1" applyFont="1" applyFill="1" applyBorder="1" applyAlignment="1">
      <alignment horizontal="right" vertical="center"/>
    </xf>
    <xf numFmtId="43" fontId="7" fillId="9" borderId="1" xfId="0" applyNumberFormat="1" applyFont="1" applyFill="1" applyBorder="1" applyAlignment="1">
      <alignment horizontal="right" vertical="center"/>
    </xf>
    <xf numFmtId="184" fontId="2" fillId="9" borderId="1" xfId="0" applyNumberFormat="1" applyFont="1" applyFill="1" applyBorder="1" applyAlignment="1">
      <alignment horizontal="right" vertical="center"/>
    </xf>
    <xf numFmtId="43" fontId="7" fillId="7" borderId="1" xfId="0" applyNumberFormat="1" applyFont="1" applyFill="1" applyBorder="1" applyAlignment="1">
      <alignment horizontal="right" vertical="center"/>
    </xf>
    <xf numFmtId="43" fontId="31" fillId="9" borderId="1" xfId="45" applyNumberFormat="1" applyFont="1" applyFill="1" applyBorder="1" applyAlignment="1">
      <alignment horizontal="right" vertical="center"/>
    </xf>
    <xf numFmtId="43" fontId="31" fillId="7" borderId="1" xfId="45" applyNumberFormat="1" applyFont="1" applyFill="1" applyBorder="1" applyAlignment="1">
      <alignment horizontal="right" vertical="center"/>
    </xf>
    <xf numFmtId="4" fontId="31" fillId="0" borderId="0" xfId="45" applyNumberFormat="1" applyFont="1" applyAlignment="1">
      <alignment vertical="center"/>
    </xf>
    <xf numFmtId="10" fontId="31" fillId="0" borderId="0" xfId="45" applyNumberFormat="1" applyFont="1" applyAlignment="1">
      <alignment vertical="center"/>
    </xf>
    <xf numFmtId="49" fontId="7" fillId="7" borderId="1" xfId="0" applyNumberFormat="1" applyFont="1" applyFill="1" applyBorder="1" applyAlignment="1">
      <alignment horizontal="right" vertical="top"/>
    </xf>
    <xf numFmtId="49" fontId="7" fillId="7" borderId="1" xfId="0" applyNumberFormat="1" applyFont="1" applyFill="1" applyBorder="1" applyAlignment="1">
      <alignment horizontal="right" vertical="center"/>
    </xf>
    <xf numFmtId="43" fontId="7" fillId="7" borderId="1" xfId="0" applyNumberFormat="1" applyFont="1" applyFill="1" applyBorder="1" applyAlignment="1">
      <alignment horizontal="right" vertical="top"/>
    </xf>
    <xf numFmtId="184" fontId="2" fillId="13" borderId="1" xfId="0" applyNumberFormat="1" applyFont="1" applyFill="1" applyBorder="1" applyAlignment="1">
      <alignment horizontal="right" vertical="center"/>
    </xf>
    <xf numFmtId="10" fontId="12" fillId="0" borderId="0" xfId="45" applyNumberFormat="1" applyFont="1" applyAlignment="1">
      <alignment horizontal="center" vertical="center"/>
    </xf>
    <xf numFmtId="10" fontId="12" fillId="0" borderId="0" xfId="45" applyNumberFormat="1" applyFont="1" applyAlignment="1">
      <alignment horizontal="right" vertical="center"/>
    </xf>
    <xf numFmtId="0" fontId="7" fillId="3" borderId="0" xfId="0" applyFont="1" applyFill="1" applyAlignment="1">
      <alignment horizontal="center" vertical="center"/>
    </xf>
    <xf numFmtId="43" fontId="8" fillId="7" borderId="1" xfId="0" applyNumberFormat="1" applyFont="1" applyFill="1" applyBorder="1" applyAlignment="1">
      <alignment horizontal="center" vertical="center"/>
    </xf>
    <xf numFmtId="0" fontId="31" fillId="0" borderId="1" xfId="4" applyFont="1" applyBorder="1" applyAlignment="1">
      <alignment horizontal="justify" vertical="center" wrapText="1"/>
    </xf>
    <xf numFmtId="178" fontId="31" fillId="0" borderId="1" xfId="4" applyNumberFormat="1" applyFont="1" applyBorder="1" applyAlignment="1">
      <alignment vertical="center" wrapText="1"/>
    </xf>
    <xf numFmtId="0" fontId="7" fillId="7" borderId="1" xfId="0" applyFont="1" applyFill="1" applyBorder="1">
      <alignment vertical="center"/>
    </xf>
    <xf numFmtId="0" fontId="31" fillId="0" borderId="1" xfId="4" applyFont="1" applyBorder="1" applyAlignment="1">
      <alignment horizontal="left" vertical="center" wrapText="1" indent="1"/>
    </xf>
    <xf numFmtId="0" fontId="31" fillId="0" borderId="1" xfId="0" applyFont="1" applyBorder="1" applyAlignment="1">
      <alignment horizontal="left" vertical="center" wrapText="1" indent="1"/>
    </xf>
    <xf numFmtId="0" fontId="30" fillId="0" borderId="1" xfId="4" applyFont="1" applyBorder="1" applyAlignment="1">
      <alignment horizontal="center" vertical="center" wrapText="1"/>
    </xf>
    <xf numFmtId="178" fontId="30" fillId="0" borderId="1" xfId="4" applyNumberFormat="1" applyFont="1" applyBorder="1" applyAlignment="1">
      <alignment vertical="center" wrapText="1"/>
    </xf>
    <xf numFmtId="43" fontId="31" fillId="0" borderId="1" xfId="4" applyNumberFormat="1" applyFont="1" applyBorder="1" applyAlignment="1">
      <alignment vertical="center" wrapText="1"/>
    </xf>
    <xf numFmtId="0" fontId="7" fillId="0" borderId="1" xfId="4" applyFont="1" applyBorder="1" applyAlignment="1">
      <alignment horizontal="justify" vertical="center" wrapText="1"/>
    </xf>
    <xf numFmtId="178" fontId="7" fillId="0" borderId="1" xfId="4" applyNumberFormat="1" applyFont="1" applyBorder="1" applyAlignment="1">
      <alignment vertical="center" wrapText="1"/>
    </xf>
    <xf numFmtId="0" fontId="7" fillId="0" borderId="1" xfId="4" applyFont="1" applyBorder="1" applyAlignment="1">
      <alignment horizontal="left" vertical="center" wrapText="1" indent="1"/>
    </xf>
    <xf numFmtId="0" fontId="8" fillId="0" borderId="1" xfId="4" applyFont="1" applyBorder="1" applyAlignment="1">
      <alignment horizontal="center" vertical="center" wrapText="1"/>
    </xf>
    <xf numFmtId="178" fontId="8" fillId="0" borderId="1" xfId="4" applyNumberFormat="1" applyFont="1" applyBorder="1" applyAlignment="1">
      <alignment vertical="center" wrapText="1"/>
    </xf>
    <xf numFmtId="0" fontId="7" fillId="0" borderId="1" xfId="4" applyFont="1" applyBorder="1" applyAlignment="1">
      <alignment vertical="center" wrapText="1"/>
    </xf>
    <xf numFmtId="43" fontId="24" fillId="7" borderId="1" xfId="0" applyNumberFormat="1" applyFont="1" applyFill="1" applyBorder="1">
      <alignment vertical="center"/>
    </xf>
    <xf numFmtId="178" fontId="7" fillId="7" borderId="1" xfId="0" applyNumberFormat="1" applyFont="1" applyFill="1" applyBorder="1">
      <alignment vertical="center"/>
    </xf>
    <xf numFmtId="43" fontId="24" fillId="7" borderId="1" xfId="0" applyNumberFormat="1" applyFont="1" applyFill="1" applyBorder="1" applyAlignment="1">
      <alignment vertical="top"/>
    </xf>
    <xf numFmtId="43" fontId="24" fillId="7" borderId="2" xfId="0" applyNumberFormat="1" applyFont="1" applyFill="1" applyBorder="1" applyAlignment="1">
      <alignment vertical="top"/>
    </xf>
    <xf numFmtId="43" fontId="24" fillId="7" borderId="2" xfId="0" applyNumberFormat="1" applyFont="1" applyFill="1" applyBorder="1">
      <alignment vertical="center"/>
    </xf>
    <xf numFmtId="43" fontId="24" fillId="9" borderId="2" xfId="0" applyNumberFormat="1" applyFont="1" applyFill="1" applyBorder="1">
      <alignment vertical="center"/>
    </xf>
    <xf numFmtId="43" fontId="24" fillId="9" borderId="1" xfId="0" applyNumberFormat="1" applyFont="1" applyFill="1" applyBorder="1">
      <alignment vertical="center"/>
    </xf>
    <xf numFmtId="43" fontId="24" fillId="9" borderId="2" xfId="0" applyNumberFormat="1" applyFont="1" applyFill="1" applyBorder="1" applyAlignment="1">
      <alignment vertical="top"/>
    </xf>
    <xf numFmtId="184" fontId="2" fillId="9" borderId="1" xfId="0" applyNumberFormat="1" applyFont="1" applyFill="1" applyBorder="1">
      <alignment vertical="center"/>
    </xf>
    <xf numFmtId="184" fontId="2" fillId="9" borderId="2" xfId="0" applyNumberFormat="1" applyFont="1" applyFill="1" applyBorder="1">
      <alignment vertical="center"/>
    </xf>
    <xf numFmtId="0" fontId="31" fillId="0" borderId="1" xfId="4" applyFont="1" applyBorder="1" applyAlignment="1">
      <alignment vertical="center" wrapText="1"/>
    </xf>
    <xf numFmtId="0" fontId="31" fillId="0" borderId="1" xfId="4" applyFont="1" applyBorder="1" applyAlignment="1" applyProtection="1">
      <alignment horizontal="left" vertical="center" wrapText="1" indent="1"/>
      <protection locked="0"/>
    </xf>
    <xf numFmtId="0" fontId="30" fillId="0" borderId="1" xfId="4" applyFont="1" applyBorder="1" applyAlignment="1">
      <alignment horizontal="center" vertical="center"/>
    </xf>
    <xf numFmtId="178" fontId="30" fillId="0" borderId="1" xfId="4" applyNumberFormat="1" applyFont="1" applyBorder="1" applyAlignment="1">
      <alignment horizontal="right" vertical="center" wrapText="1"/>
    </xf>
    <xf numFmtId="178" fontId="7" fillId="9" borderId="1" xfId="0" applyNumberFormat="1" applyFont="1" applyFill="1" applyBorder="1">
      <alignment vertical="center"/>
    </xf>
    <xf numFmtId="178" fontId="12" fillId="0" borderId="0" xfId="0" applyNumberFormat="1" applyFont="1">
      <alignment vertical="center"/>
    </xf>
    <xf numFmtId="184" fontId="2" fillId="9" borderId="1" xfId="0" applyNumberFormat="1" applyFont="1" applyFill="1" applyBorder="1" applyAlignment="1"/>
    <xf numFmtId="43" fontId="24" fillId="9" borderId="1" xfId="0" applyNumberFormat="1" applyFont="1" applyFill="1" applyBorder="1" applyAlignment="1">
      <alignment vertical="top"/>
    </xf>
    <xf numFmtId="43" fontId="7" fillId="7" borderId="1" xfId="1" applyFont="1" applyFill="1" applyBorder="1" applyAlignment="1">
      <alignment vertical="center"/>
    </xf>
    <xf numFmtId="43" fontId="24" fillId="7" borderId="1" xfId="1" applyFont="1" applyFill="1" applyBorder="1" applyAlignment="1">
      <alignment vertical="center"/>
    </xf>
    <xf numFmtId="43" fontId="24" fillId="7" borderId="2" xfId="1" applyFont="1" applyFill="1" applyBorder="1" applyAlignment="1">
      <alignment vertical="center"/>
    </xf>
    <xf numFmtId="43" fontId="24" fillId="7" borderId="4" xfId="1" applyFont="1" applyFill="1" applyBorder="1" applyAlignment="1">
      <alignment vertical="center"/>
    </xf>
    <xf numFmtId="43" fontId="7" fillId="7" borderId="4" xfId="1" applyFont="1" applyFill="1" applyBorder="1" applyAlignment="1">
      <alignment vertical="center"/>
    </xf>
    <xf numFmtId="43" fontId="24" fillId="9" borderId="1" xfId="1" applyFont="1" applyFill="1" applyBorder="1" applyAlignment="1">
      <alignment vertical="center"/>
    </xf>
    <xf numFmtId="43" fontId="24" fillId="9" borderId="4" xfId="1" applyFont="1" applyFill="1" applyBorder="1" applyAlignment="1">
      <alignment vertical="center"/>
    </xf>
    <xf numFmtId="43" fontId="0" fillId="9" borderId="0" xfId="0" applyNumberFormat="1" applyFill="1">
      <alignment vertical="center"/>
    </xf>
    <xf numFmtId="43" fontId="0" fillId="9" borderId="1" xfId="1" applyFont="1" applyFill="1" applyBorder="1" applyAlignment="1">
      <alignment vertical="center"/>
    </xf>
    <xf numFmtId="43" fontId="0" fillId="9" borderId="0" xfId="1" applyFont="1" applyFill="1" applyAlignment="1">
      <alignment vertical="center"/>
    </xf>
    <xf numFmtId="43" fontId="7" fillId="9" borderId="4" xfId="1" applyFont="1" applyFill="1" applyBorder="1" applyAlignment="1">
      <alignment vertical="center"/>
    </xf>
    <xf numFmtId="43" fontId="2" fillId="9" borderId="1" xfId="0" applyNumberFormat="1" applyFont="1" applyFill="1" applyBorder="1">
      <alignment vertical="center"/>
    </xf>
    <xf numFmtId="43" fontId="2" fillId="9" borderId="1" xfId="1" applyFont="1" applyFill="1" applyBorder="1" applyAlignment="1">
      <alignment vertical="center"/>
    </xf>
    <xf numFmtId="43" fontId="7" fillId="9" borderId="1" xfId="1" applyFont="1" applyFill="1" applyBorder="1" applyAlignment="1">
      <alignment vertical="center"/>
    </xf>
    <xf numFmtId="0" fontId="2" fillId="7" borderId="0" xfId="0" applyFont="1" applyFill="1" applyAlignment="1">
      <alignment horizontal="center" vertical="center"/>
    </xf>
    <xf numFmtId="0" fontId="42" fillId="0" borderId="0" xfId="0" applyFont="1">
      <alignment vertical="center"/>
    </xf>
    <xf numFmtId="10" fontId="33" fillId="0" borderId="0" xfId="0" applyNumberFormat="1" applyFont="1">
      <alignment vertical="center"/>
    </xf>
    <xf numFmtId="0" fontId="43" fillId="0" borderId="1" xfId="0" applyFont="1" applyBorder="1" applyAlignment="1">
      <alignment horizontal="center" vertical="center"/>
    </xf>
    <xf numFmtId="0" fontId="44" fillId="0" borderId="0" xfId="0" applyFont="1">
      <alignment vertical="center"/>
    </xf>
    <xf numFmtId="0" fontId="42" fillId="0" borderId="1" xfId="0" applyFont="1" applyBorder="1" applyAlignment="1">
      <alignment horizontal="justify" vertical="center" wrapText="1"/>
    </xf>
    <xf numFmtId="43" fontId="44" fillId="0" borderId="1" xfId="0" applyNumberFormat="1" applyFont="1" applyBorder="1">
      <alignment vertical="center"/>
    </xf>
    <xf numFmtId="43" fontId="44" fillId="0" borderId="0" xfId="0" applyNumberFormat="1" applyFont="1">
      <alignment vertical="center"/>
    </xf>
    <xf numFmtId="10" fontId="44" fillId="0" borderId="0" xfId="0" applyNumberFormat="1" applyFont="1">
      <alignment vertical="center"/>
    </xf>
    <xf numFmtId="0" fontId="45" fillId="0" borderId="1" xfId="0" applyFont="1" applyBorder="1" applyAlignment="1">
      <alignment horizontal="justify" vertical="center" wrapText="1"/>
    </xf>
    <xf numFmtId="43" fontId="46" fillId="0" borderId="1" xfId="0" applyNumberFormat="1" applyFont="1" applyBorder="1">
      <alignment vertical="center"/>
    </xf>
    <xf numFmtId="0" fontId="46" fillId="0" borderId="0" xfId="0" applyFont="1">
      <alignment vertical="center"/>
    </xf>
    <xf numFmtId="43" fontId="46" fillId="0" borderId="0" xfId="0" applyNumberFormat="1" applyFont="1">
      <alignment vertical="center"/>
    </xf>
    <xf numFmtId="10" fontId="44" fillId="0" borderId="1" xfId="0" applyNumberFormat="1" applyFont="1" applyBorder="1">
      <alignment vertical="center"/>
    </xf>
    <xf numFmtId="177" fontId="44" fillId="0" borderId="1" xfId="0" applyNumberFormat="1" applyFont="1" applyBorder="1">
      <alignment vertical="center"/>
    </xf>
    <xf numFmtId="0" fontId="47" fillId="0" borderId="1" xfId="0" applyFont="1" applyBorder="1" applyAlignment="1">
      <alignment horizontal="center" vertical="center"/>
    </xf>
    <xf numFmtId="0" fontId="44" fillId="0" borderId="1" xfId="0" applyFont="1" applyBorder="1">
      <alignment vertical="center"/>
    </xf>
    <xf numFmtId="0" fontId="44" fillId="0" borderId="1" xfId="0" applyFont="1" applyBorder="1" applyAlignment="1">
      <alignment horizontal="center" vertical="center"/>
    </xf>
    <xf numFmtId="9" fontId="31" fillId="0" borderId="0" xfId="45" applyNumberFormat="1" applyFont="1" applyAlignment="1">
      <alignment horizontal="center" vertical="center"/>
    </xf>
    <xf numFmtId="0" fontId="44" fillId="7" borderId="0" xfId="0" applyFont="1" applyFill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10" fontId="8" fillId="10" borderId="9" xfId="0" applyNumberFormat="1" applyFont="1" applyFill="1" applyBorder="1" applyAlignment="1">
      <alignment horizontal="center" vertical="center"/>
    </xf>
    <xf numFmtId="0" fontId="8" fillId="10" borderId="0" xfId="0" applyFont="1" applyFill="1" applyAlignment="1">
      <alignment horizontal="center" vertical="center"/>
    </xf>
    <xf numFmtId="0" fontId="31" fillId="0" borderId="2" xfId="45" applyFont="1" applyBorder="1" applyAlignment="1">
      <alignment horizontal="center" vertical="center"/>
    </xf>
    <xf numFmtId="0" fontId="31" fillId="0" borderId="3" xfId="45" applyFont="1" applyBorder="1" applyAlignment="1">
      <alignment horizontal="center" vertical="center"/>
    </xf>
    <xf numFmtId="0" fontId="31" fillId="0" borderId="4" xfId="45" applyFont="1" applyBorder="1" applyAlignment="1">
      <alignment horizontal="center" vertical="center"/>
    </xf>
    <xf numFmtId="43" fontId="30" fillId="10" borderId="9" xfId="45" applyNumberFormat="1" applyFont="1" applyFill="1" applyBorder="1" applyAlignment="1">
      <alignment horizontal="center" vertical="center"/>
    </xf>
    <xf numFmtId="0" fontId="8" fillId="10" borderId="9" xfId="0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8" fillId="3" borderId="9" xfId="0" applyFont="1" applyFill="1" applyBorder="1" applyAlignment="1">
      <alignment horizontal="center" vertical="center"/>
    </xf>
    <xf numFmtId="43" fontId="8" fillId="0" borderId="1" xfId="0" applyNumberFormat="1" applyFont="1" applyBorder="1" applyAlignment="1">
      <alignment horizontal="center" vertical="center"/>
    </xf>
    <xf numFmtId="43" fontId="7" fillId="0" borderId="1" xfId="0" applyNumberFormat="1" applyFont="1" applyBorder="1" applyAlignment="1">
      <alignment horizontal="center" vertical="center"/>
    </xf>
    <xf numFmtId="43" fontId="7" fillId="0" borderId="2" xfId="0" applyNumberFormat="1" applyFont="1" applyBorder="1" applyAlignment="1">
      <alignment horizontal="center" vertical="center"/>
    </xf>
    <xf numFmtId="43" fontId="7" fillId="0" borderId="3" xfId="0" applyNumberFormat="1" applyFont="1" applyBorder="1" applyAlignment="1">
      <alignment horizontal="center" vertical="center"/>
    </xf>
    <xf numFmtId="43" fontId="7" fillId="0" borderId="4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10" fontId="7" fillId="3" borderId="9" xfId="0" applyNumberFormat="1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10" fontId="8" fillId="0" borderId="1" xfId="0" applyNumberFormat="1" applyFont="1" applyBorder="1" applyAlignment="1">
      <alignment horizontal="center" vertical="center"/>
    </xf>
    <xf numFmtId="0" fontId="17" fillId="0" borderId="0" xfId="13" applyFont="1" applyAlignment="1" applyProtection="1">
      <alignment horizontal="center" vertical="center" wrapText="1"/>
      <protection locked="0"/>
    </xf>
    <xf numFmtId="43" fontId="16" fillId="0" borderId="0" xfId="0" applyNumberFormat="1" applyFont="1" applyAlignment="1">
      <alignment horizontal="center" vertical="center"/>
    </xf>
    <xf numFmtId="0" fontId="16" fillId="0" borderId="0" xfId="13" applyFont="1" applyAlignment="1" applyProtection="1">
      <alignment horizontal="center" vertical="center" wrapText="1"/>
      <protection locked="0"/>
    </xf>
    <xf numFmtId="176" fontId="16" fillId="0" borderId="0" xfId="54" applyFont="1" applyFill="1" applyBorder="1" applyAlignment="1" applyProtection="1">
      <alignment horizontal="center" vertical="center" wrapText="1"/>
      <protection locked="0"/>
    </xf>
    <xf numFmtId="0" fontId="1" fillId="0" borderId="1" xfId="0" applyFont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43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43" fontId="3" fillId="6" borderId="1" xfId="0" applyNumberFormat="1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43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4" fillId="0" borderId="0" xfId="0" applyFont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9" fillId="3" borderId="0" xfId="0" applyFont="1" applyFill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0" fontId="10" fillId="3" borderId="9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3" fontId="1" fillId="0" borderId="1" xfId="0" applyNumberFormat="1" applyFont="1" applyBorder="1" applyAlignment="1">
      <alignment horizontal="center" vertical="center"/>
    </xf>
    <xf numFmtId="43" fontId="8" fillId="0" borderId="2" xfId="0" applyNumberFormat="1" applyFont="1" applyBorder="1" applyAlignment="1">
      <alignment horizontal="center" vertical="center"/>
    </xf>
    <xf numFmtId="10" fontId="8" fillId="0" borderId="3" xfId="0" applyNumberFormat="1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43" fontId="42" fillId="0" borderId="0" xfId="0" applyNumberFormat="1" applyFont="1">
      <alignment vertical="center"/>
    </xf>
  </cellXfs>
  <cellStyles count="55">
    <cellStyle name="百分比" xfId="2" builtinId="5"/>
    <cellStyle name="百分比 2" xfId="3" xr:uid="{00000000-0005-0000-0000-000031000000}"/>
    <cellStyle name="常规" xfId="0" builtinId="0"/>
    <cellStyle name="常规 10" xfId="4" xr:uid="{00000000-0005-0000-0000-000032000000}"/>
    <cellStyle name="常规 10 6" xfId="5" xr:uid="{00000000-0005-0000-0000-000033000000}"/>
    <cellStyle name="常规 12 2 2" xfId="6" xr:uid="{00000000-0005-0000-0000-000034000000}"/>
    <cellStyle name="常规 15" xfId="7" xr:uid="{00000000-0005-0000-0000-000035000000}"/>
    <cellStyle name="常规 15 2" xfId="8" xr:uid="{00000000-0005-0000-0000-000036000000}"/>
    <cellStyle name="常规 16" xfId="9" xr:uid="{00000000-0005-0000-0000-000037000000}"/>
    <cellStyle name="常规 19" xfId="10" xr:uid="{00000000-0005-0000-0000-000038000000}"/>
    <cellStyle name="常规 2" xfId="11" xr:uid="{00000000-0005-0000-0000-000039000000}"/>
    <cellStyle name="常规 2 13" xfId="12" xr:uid="{00000000-0005-0000-0000-00003A000000}"/>
    <cellStyle name="常规 2 2" xfId="13" xr:uid="{00000000-0005-0000-0000-00003B000000}"/>
    <cellStyle name="常规 2 21" xfId="14" xr:uid="{00000000-0005-0000-0000-00003C000000}"/>
    <cellStyle name="常规 2 28" xfId="15" xr:uid="{00000000-0005-0000-0000-00003D000000}"/>
    <cellStyle name="常规 2 3" xfId="16" xr:uid="{00000000-0005-0000-0000-00003E000000}"/>
    <cellStyle name="常规 2 30" xfId="17" xr:uid="{00000000-0005-0000-0000-00003F000000}"/>
    <cellStyle name="常规 2 41" xfId="18" xr:uid="{00000000-0005-0000-0000-000040000000}"/>
    <cellStyle name="常规 2 50" xfId="19" xr:uid="{00000000-0005-0000-0000-000041000000}"/>
    <cellStyle name="常规 2 6" xfId="20" xr:uid="{00000000-0005-0000-0000-000042000000}"/>
    <cellStyle name="常规 2 7" xfId="21" xr:uid="{00000000-0005-0000-0000-000043000000}"/>
    <cellStyle name="常规 21" xfId="22" xr:uid="{00000000-0005-0000-0000-000044000000}"/>
    <cellStyle name="常规 23 24" xfId="23" xr:uid="{00000000-0005-0000-0000-000045000000}"/>
    <cellStyle name="常规 23 41" xfId="24" xr:uid="{00000000-0005-0000-0000-000046000000}"/>
    <cellStyle name="常规 23 48" xfId="25" xr:uid="{00000000-0005-0000-0000-000047000000}"/>
    <cellStyle name="常规 25" xfId="26" xr:uid="{00000000-0005-0000-0000-000048000000}"/>
    <cellStyle name="常规 28" xfId="27" xr:uid="{00000000-0005-0000-0000-000049000000}"/>
    <cellStyle name="常规 3" xfId="28" xr:uid="{00000000-0005-0000-0000-00004A000000}"/>
    <cellStyle name="常规 36" xfId="29" xr:uid="{00000000-0005-0000-0000-00004B000000}"/>
    <cellStyle name="常规 37" xfId="30" xr:uid="{00000000-0005-0000-0000-00004C000000}"/>
    <cellStyle name="常规 39" xfId="31" xr:uid="{00000000-0005-0000-0000-00004D000000}"/>
    <cellStyle name="常规 4" xfId="32" xr:uid="{00000000-0005-0000-0000-00004E000000}"/>
    <cellStyle name="常规 41" xfId="33" xr:uid="{00000000-0005-0000-0000-00004F000000}"/>
    <cellStyle name="常规 42" xfId="34" xr:uid="{00000000-0005-0000-0000-000050000000}"/>
    <cellStyle name="常规 44" xfId="35" xr:uid="{00000000-0005-0000-0000-000051000000}"/>
    <cellStyle name="常规 46" xfId="36" xr:uid="{00000000-0005-0000-0000-000052000000}"/>
    <cellStyle name="常规 49" xfId="37" xr:uid="{00000000-0005-0000-0000-000053000000}"/>
    <cellStyle name="常规 53" xfId="38" xr:uid="{00000000-0005-0000-0000-000054000000}"/>
    <cellStyle name="常规 55" xfId="39" xr:uid="{00000000-0005-0000-0000-000055000000}"/>
    <cellStyle name="常规 7" xfId="40" xr:uid="{00000000-0005-0000-0000-000056000000}"/>
    <cellStyle name="常规 8" xfId="41" xr:uid="{00000000-0005-0000-0000-000057000000}"/>
    <cellStyle name="常规 9" xfId="42" xr:uid="{00000000-0005-0000-0000-000058000000}"/>
    <cellStyle name="常规 9 2" xfId="43" xr:uid="{00000000-0005-0000-0000-000059000000}"/>
    <cellStyle name="常规 9 6" xfId="44" xr:uid="{00000000-0005-0000-0000-00005A000000}"/>
    <cellStyle name="常规_报表格式 2" xfId="45" xr:uid="{00000000-0005-0000-0000-00005B000000}"/>
    <cellStyle name="千位分隔" xfId="1" builtinId="3"/>
    <cellStyle name="千位分隔 12" xfId="46" xr:uid="{00000000-0005-0000-0000-00005C000000}"/>
    <cellStyle name="千位分隔 13" xfId="47" xr:uid="{00000000-0005-0000-0000-00005D000000}"/>
    <cellStyle name="千位分隔 16" xfId="48" xr:uid="{00000000-0005-0000-0000-00005E000000}"/>
    <cellStyle name="千位分隔 2" xfId="49" xr:uid="{00000000-0005-0000-0000-00005F000000}"/>
    <cellStyle name="千位分隔 9" xfId="50" xr:uid="{00000000-0005-0000-0000-000060000000}"/>
    <cellStyle name="千位分隔 9 2" xfId="51" xr:uid="{00000000-0005-0000-0000-000061000000}"/>
    <cellStyle name="千位分隔 9 3" xfId="52" xr:uid="{00000000-0005-0000-0000-000062000000}"/>
    <cellStyle name="千位分隔_CA-新亚工具三年期审定表（新准则）" xfId="53" xr:uid="{00000000-0005-0000-0000-000063000000}"/>
    <cellStyle name="千位分隔_工作底稿(汇总)" xfId="54" xr:uid="{00000000-0005-0000-0000-00006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gram%20Files%20(x86)\Wind\DataBrowse\XLA\WindFunc.xla" TargetMode="External"/><Relationship Id="rId1" Type="http://schemas.openxmlformats.org/officeDocument/2006/relationships/externalLinkPath" Target="/Program%20Files%20(x86)/Wind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  <sheetName val="WindFunc"/>
    </sheetNames>
    <definedNames>
      <definedName name="b_info_couponrate"/>
      <definedName name="b_info_maturitydate"/>
      <definedName name="b_info_name"/>
      <definedName name="b_info_outstandingbalance"/>
      <definedName name="b_info_repurchasedate"/>
      <definedName name="b_info_term2"/>
      <definedName name="b_issue_amountact"/>
      <definedName name="b_issue_firstissue"/>
    </definedNames>
    <sheetDataSet>
      <sheetData sheetId="0"/>
      <sheetData sheetId="1"/>
      <sheetData sheetId="2"/>
      <sheetData sheetId="3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"/>
  <sheetViews>
    <sheetView workbookViewId="0">
      <selection activeCell="C4" sqref="C4"/>
    </sheetView>
  </sheetViews>
  <sheetFormatPr defaultColWidth="9" defaultRowHeight="12.75" x14ac:dyDescent="0.3"/>
  <cols>
    <col min="1" max="1" width="9" style="2"/>
    <col min="2" max="2" width="13.06640625" style="2" customWidth="1"/>
    <col min="3" max="3" width="11" style="2" customWidth="1"/>
    <col min="4" max="16384" width="9" style="2"/>
  </cols>
  <sheetData>
    <row r="1" spans="1:7" x14ac:dyDescent="0.3">
      <c r="A1" s="415" t="s">
        <v>0</v>
      </c>
      <c r="B1" s="415"/>
      <c r="C1" s="415"/>
      <c r="D1" s="415"/>
      <c r="E1" s="415"/>
      <c r="F1" s="415"/>
      <c r="G1" s="415"/>
    </row>
    <row r="2" spans="1:7" x14ac:dyDescent="0.3">
      <c r="A2" s="416" t="s">
        <v>1</v>
      </c>
      <c r="B2" s="2" t="s">
        <v>2</v>
      </c>
      <c r="C2" s="414" t="s">
        <v>1230</v>
      </c>
      <c r="D2" s="395" t="s">
        <v>3</v>
      </c>
      <c r="E2" s="395" t="s">
        <v>4</v>
      </c>
      <c r="F2" s="395" t="s">
        <v>5</v>
      </c>
      <c r="G2" s="395" t="s">
        <v>6</v>
      </c>
    </row>
    <row r="3" spans="1:7" x14ac:dyDescent="0.3">
      <c r="A3" s="416"/>
      <c r="B3" s="2" t="s">
        <v>7</v>
      </c>
      <c r="C3" s="414" t="s">
        <v>1231</v>
      </c>
      <c r="D3" s="395" t="s">
        <v>8</v>
      </c>
      <c r="E3" s="395" t="s">
        <v>9</v>
      </c>
      <c r="F3" s="395" t="s">
        <v>10</v>
      </c>
      <c r="G3" s="395" t="s">
        <v>11</v>
      </c>
    </row>
  </sheetData>
  <mergeCells count="2">
    <mergeCell ref="A1:G1"/>
    <mergeCell ref="A2:A3"/>
  </mergeCells>
  <phoneticPr fontId="41" type="noConversion"/>
  <pageMargins left="0.7" right="0.7" top="0.75" bottom="0.75" header="0.3" footer="0.3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23"/>
  <sheetViews>
    <sheetView workbookViewId="0">
      <selection activeCell="C9" sqref="C9"/>
    </sheetView>
  </sheetViews>
  <sheetFormatPr defaultColWidth="9" defaultRowHeight="12.75" x14ac:dyDescent="0.3"/>
  <cols>
    <col min="1" max="1" width="27" style="68" customWidth="1"/>
    <col min="2" max="2" width="16.46484375" style="68" customWidth="1"/>
    <col min="3" max="3" width="15.06640625" style="68" customWidth="1"/>
    <col min="4" max="4" width="16.46484375" style="68" customWidth="1"/>
    <col min="5" max="6" width="14.06640625" style="68" customWidth="1"/>
    <col min="7" max="7" width="9" style="68"/>
    <col min="8" max="8" width="11.3984375" style="68" customWidth="1"/>
    <col min="9" max="9" width="12.3984375" style="68" customWidth="1"/>
    <col min="10" max="16384" width="9" style="68"/>
  </cols>
  <sheetData>
    <row r="1" spans="1:9" x14ac:dyDescent="0.3">
      <c r="A1" s="28"/>
      <c r="B1" s="270" t="str">
        <f>首页!C2</f>
        <v>2024年9月末</v>
      </c>
      <c r="C1" s="270" t="str">
        <f>首页!D2</f>
        <v>2023年末</v>
      </c>
      <c r="D1" s="270" t="str">
        <f>首页!E2</f>
        <v>2022年末</v>
      </c>
      <c r="E1" s="270" t="str">
        <f>首页!F2</f>
        <v>2021年末</v>
      </c>
      <c r="F1" s="270" t="str">
        <f>首页!G2</f>
        <v>2020年末</v>
      </c>
    </row>
    <row r="2" spans="1:9" x14ac:dyDescent="0.3">
      <c r="A2" s="31" t="s">
        <v>300</v>
      </c>
      <c r="B2" s="70">
        <f>'合并-is'!B39</f>
        <v>290.88101100003126</v>
      </c>
      <c r="C2" s="70">
        <f>'合并-is'!C39</f>
        <v>22991.79332499993</v>
      </c>
      <c r="D2" s="70">
        <f>'合并-is'!D39</f>
        <v>32959.265893999982</v>
      </c>
      <c r="E2" s="70">
        <f>'合并-is'!E39</f>
        <v>31867.212232999995</v>
      </c>
      <c r="F2" s="70">
        <f>'合并-is'!F39</f>
        <v>28573.975574000047</v>
      </c>
      <c r="H2" s="68">
        <v>329592658.94</v>
      </c>
    </row>
    <row r="3" spans="1:9" x14ac:dyDescent="0.3">
      <c r="A3" s="31" t="s">
        <v>301</v>
      </c>
      <c r="B3" s="70">
        <f>'合并-is'!B22</f>
        <v>0</v>
      </c>
      <c r="C3" s="70">
        <f>'合并-is'!C22</f>
        <v>114035.889056</v>
      </c>
      <c r="D3" s="70">
        <f>'合并-is'!D22</f>
        <v>126103.376603</v>
      </c>
      <c r="E3" s="70">
        <f>'合并-is'!E22</f>
        <v>119170.577255</v>
      </c>
      <c r="F3" s="70">
        <f>'合并-is'!F22</f>
        <v>102772.46719299999</v>
      </c>
      <c r="H3" s="68">
        <v>1261033766.03</v>
      </c>
    </row>
    <row r="4" spans="1:9" x14ac:dyDescent="0.3">
      <c r="A4" s="28" t="s">
        <v>302</v>
      </c>
      <c r="B4" s="70">
        <f>B2+B3</f>
        <v>290.88101100003126</v>
      </c>
      <c r="C4" s="70">
        <f>C2+C3</f>
        <v>137027.68238099993</v>
      </c>
      <c r="D4" s="70">
        <f t="shared" ref="D4:F4" si="0">D2+D3</f>
        <v>159062.64249699999</v>
      </c>
      <c r="E4" s="70">
        <f t="shared" si="0"/>
        <v>151037.78948799998</v>
      </c>
      <c r="F4" s="70">
        <f t="shared" si="0"/>
        <v>131346.44276700003</v>
      </c>
      <c r="H4" s="68">
        <f>H2+H3</f>
        <v>1590626424.97</v>
      </c>
      <c r="I4" s="68">
        <f>H4/10000</f>
        <v>159062.64249699999</v>
      </c>
    </row>
    <row r="5" spans="1:9" x14ac:dyDescent="0.3">
      <c r="A5" s="31" t="s">
        <v>303</v>
      </c>
      <c r="B5" s="70">
        <f>'合并-cf'!B54</f>
        <v>0</v>
      </c>
      <c r="C5" s="70">
        <f>'合并-cf'!C54</f>
        <v>19849.060150999998</v>
      </c>
      <c r="D5" s="70">
        <f>'合并-cf'!D54</f>
        <v>14810.439634999999</v>
      </c>
      <c r="E5" s="70">
        <f>'合并-cf'!E54</f>
        <v>8417.1032099999993</v>
      </c>
      <c r="F5" s="70">
        <f>'合并-cf'!F54</f>
        <v>7167.2382819999993</v>
      </c>
      <c r="I5" s="80">
        <f>I4+C5+C6</f>
        <v>179439.49246999997</v>
      </c>
    </row>
    <row r="6" spans="1:9" x14ac:dyDescent="0.3">
      <c r="A6" s="31" t="s">
        <v>304</v>
      </c>
      <c r="B6" s="70">
        <f>'合并-cf'!B55</f>
        <v>0</v>
      </c>
      <c r="C6" s="70">
        <f>'合并-cf'!C55</f>
        <v>527.78982199999996</v>
      </c>
      <c r="D6" s="70">
        <f>'合并-cf'!D55</f>
        <v>646.33975399999997</v>
      </c>
      <c r="E6" s="70">
        <f>'合并-cf'!E55</f>
        <v>645.15669100000002</v>
      </c>
      <c r="F6" s="70">
        <f>'合并-cf'!F55</f>
        <v>587.58520399999998</v>
      </c>
    </row>
    <row r="7" spans="1:9" x14ac:dyDescent="0.3">
      <c r="A7" s="31" t="s">
        <v>305</v>
      </c>
      <c r="B7" s="70">
        <f>'合并-cf'!B56</f>
        <v>0</v>
      </c>
      <c r="C7" s="70">
        <f>'合并-cf'!C56</f>
        <v>0</v>
      </c>
      <c r="D7" s="70">
        <f>'合并-cf'!D56</f>
        <v>0</v>
      </c>
      <c r="E7" s="70">
        <f>'合并-cf'!E56</f>
        <v>0</v>
      </c>
      <c r="F7" s="70">
        <f>'合并-cf'!F56</f>
        <v>0</v>
      </c>
    </row>
    <row r="8" spans="1:9" x14ac:dyDescent="0.3">
      <c r="A8" s="28" t="s">
        <v>306</v>
      </c>
      <c r="B8" s="70">
        <f t="shared" ref="B8:F8" si="1">B4+SUM(B5:B7)</f>
        <v>290.88101100003126</v>
      </c>
      <c r="C8" s="70">
        <f t="shared" si="1"/>
        <v>157404.53235399994</v>
      </c>
      <c r="D8" s="70">
        <f t="shared" si="1"/>
        <v>174519.421886</v>
      </c>
      <c r="E8" s="70">
        <f t="shared" si="1"/>
        <v>160100.04938899999</v>
      </c>
      <c r="F8" s="70">
        <f t="shared" si="1"/>
        <v>139101.26625300004</v>
      </c>
    </row>
    <row r="9" spans="1:9" s="80" customFormat="1" x14ac:dyDescent="0.3">
      <c r="A9" s="106" t="s">
        <v>307</v>
      </c>
      <c r="B9" s="271"/>
      <c r="C9" s="271">
        <v>52433.52</v>
      </c>
      <c r="D9" s="271">
        <v>61423.786968</v>
      </c>
      <c r="E9" s="271">
        <v>57005.294131000002</v>
      </c>
      <c r="F9" s="271">
        <v>27427.585672000001</v>
      </c>
    </row>
    <row r="10" spans="1:9" x14ac:dyDescent="0.3">
      <c r="A10" s="28" t="s">
        <v>308</v>
      </c>
      <c r="B10" s="34" t="e">
        <f>B4/(B3+B9)</f>
        <v>#DIV/0!</v>
      </c>
      <c r="C10" s="34">
        <f>C4/(C3+C9)</f>
        <v>0.82314031844075375</v>
      </c>
      <c r="D10" s="34">
        <f t="shared" ref="D10:F10" si="2">D4/(D3+D9)</f>
        <v>0.84821121094159257</v>
      </c>
      <c r="E10" s="34">
        <f t="shared" si="2"/>
        <v>0.85731257237307668</v>
      </c>
      <c r="F10" s="34">
        <f t="shared" si="2"/>
        <v>1.0088048343819698</v>
      </c>
    </row>
    <row r="11" spans="1:9" x14ac:dyDescent="0.3">
      <c r="A11" s="28" t="s">
        <v>309</v>
      </c>
      <c r="B11" s="34" t="e">
        <f>B8/(B3+B9)</f>
        <v>#DIV/0!</v>
      </c>
      <c r="C11" s="34">
        <f>C8/(C3+C9)</f>
        <v>0.94554629133722301</v>
      </c>
      <c r="D11" s="34">
        <f>D8/(D3+D9)</f>
        <v>0.93063542669073063</v>
      </c>
      <c r="E11" s="34">
        <f t="shared" ref="E11:F11" si="3">E8/(E3+E9)</f>
        <v>0.90875128432441232</v>
      </c>
      <c r="F11" s="34">
        <f t="shared" si="3"/>
        <v>1.0683656664658148</v>
      </c>
    </row>
    <row r="12" spans="1:9" x14ac:dyDescent="0.3">
      <c r="A12" s="31" t="s">
        <v>60</v>
      </c>
      <c r="B12" s="70">
        <f>'合并-bs'!B47</f>
        <v>328258.53939499997</v>
      </c>
      <c r="C12" s="70">
        <f>'合并-bs'!C47</f>
        <v>286684.63133200002</v>
      </c>
      <c r="D12" s="70">
        <f>'合并-bs'!D47</f>
        <v>273787.01435300004</v>
      </c>
      <c r="E12" s="70">
        <f>'合并-bs'!E47</f>
        <v>223595.36625999998</v>
      </c>
      <c r="F12" s="70">
        <f>'合并-bs'!F47</f>
        <v>117107.009179</v>
      </c>
    </row>
    <row r="13" spans="1:9" x14ac:dyDescent="0.3">
      <c r="A13" s="31" t="s">
        <v>61</v>
      </c>
      <c r="B13" s="70">
        <f>'合并-bs'!B48</f>
        <v>0</v>
      </c>
      <c r="C13" s="70">
        <f>'合并-bs'!C48</f>
        <v>0</v>
      </c>
      <c r="D13" s="70">
        <f>'合并-bs'!D48</f>
        <v>0</v>
      </c>
      <c r="E13" s="70">
        <f>'合并-bs'!E48</f>
        <v>0</v>
      </c>
      <c r="F13" s="70">
        <f>'合并-bs'!F48</f>
        <v>0</v>
      </c>
    </row>
    <row r="14" spans="1:9" x14ac:dyDescent="0.3">
      <c r="A14" s="31" t="s">
        <v>64</v>
      </c>
      <c r="B14" s="70">
        <f>'合并-bs'!B51</f>
        <v>164200</v>
      </c>
      <c r="C14" s="70">
        <f>'合并-bs'!C51</f>
        <v>40520</v>
      </c>
      <c r="D14" s="70">
        <f>'合并-bs'!D51</f>
        <v>121217.20360199999</v>
      </c>
      <c r="E14" s="70">
        <f>'合并-bs'!E51</f>
        <v>128440</v>
      </c>
      <c r="F14" s="70">
        <f>'合并-bs'!F51</f>
        <v>118506.585099</v>
      </c>
    </row>
    <row r="15" spans="1:9" x14ac:dyDescent="0.3">
      <c r="A15" s="31" t="s">
        <v>310</v>
      </c>
      <c r="B15" s="70">
        <f>'合并-bs'!B60</f>
        <v>772420.26084499992</v>
      </c>
      <c r="C15" s="70">
        <f>'合并-bs'!C60</f>
        <v>882339.84503600001</v>
      </c>
      <c r="D15" s="70">
        <f>'合并-bs'!D60</f>
        <v>429194.06271100004</v>
      </c>
      <c r="E15" s="70">
        <f>'合并-bs'!E60</f>
        <v>366739.71048100002</v>
      </c>
      <c r="F15" s="70">
        <f>'合并-bs'!F60</f>
        <v>220488.63929499997</v>
      </c>
    </row>
    <row r="16" spans="1:9" x14ac:dyDescent="0.3">
      <c r="A16" s="31" t="s">
        <v>77</v>
      </c>
      <c r="B16" s="70">
        <f>'合并-bs'!B64</f>
        <v>1157759.483004</v>
      </c>
      <c r="C16" s="70">
        <f>'合并-bs'!C64</f>
        <v>921871.16391299991</v>
      </c>
      <c r="D16" s="70">
        <f>'合并-bs'!D64</f>
        <v>787232.25028000004</v>
      </c>
      <c r="E16" s="70">
        <f>'合并-bs'!E64</f>
        <v>542280.72326700005</v>
      </c>
      <c r="F16" s="70">
        <f>'合并-bs'!F64</f>
        <v>380982.57841199997</v>
      </c>
    </row>
    <row r="17" spans="1:6" x14ac:dyDescent="0.3">
      <c r="A17" s="31" t="s">
        <v>78</v>
      </c>
      <c r="B17" s="70">
        <f>'合并-bs'!B65</f>
        <v>180141.94301700001</v>
      </c>
      <c r="C17" s="70">
        <f>'合并-bs'!C65</f>
        <v>443600.99190200004</v>
      </c>
      <c r="D17" s="70">
        <f>'合并-bs'!D65</f>
        <v>851342.51196000003</v>
      </c>
      <c r="E17" s="70">
        <f>'合并-bs'!E65</f>
        <v>574034.50741099997</v>
      </c>
      <c r="F17" s="70">
        <f>'合并-bs'!F65</f>
        <v>615633.49983300001</v>
      </c>
    </row>
    <row r="18" spans="1:6" x14ac:dyDescent="0.3">
      <c r="A18" s="105" t="s">
        <v>311</v>
      </c>
      <c r="B18" s="271"/>
      <c r="C18" s="271"/>
      <c r="D18" s="271">
        <v>169251.796072</v>
      </c>
      <c r="E18" s="271">
        <v>161467.29999999999</v>
      </c>
      <c r="F18" s="271">
        <v>134136.15</v>
      </c>
    </row>
    <row r="19" spans="1:6" x14ac:dyDescent="0.3">
      <c r="A19" s="105" t="s">
        <v>85</v>
      </c>
      <c r="B19" s="271"/>
      <c r="C19" s="271"/>
      <c r="D19" s="271"/>
      <c r="E19" s="271"/>
      <c r="F19" s="271"/>
    </row>
    <row r="20" spans="1:6" x14ac:dyDescent="0.3">
      <c r="A20" s="105" t="s">
        <v>312</v>
      </c>
      <c r="B20" s="271">
        <f>'合并-bs'!B61</f>
        <v>541161.83429499995</v>
      </c>
      <c r="C20" s="271">
        <f>'合并-bs'!C61</f>
        <v>291857.77127099998</v>
      </c>
      <c r="D20" s="271">
        <f>'合并-bs'!D61</f>
        <v>191936.04471400002</v>
      </c>
      <c r="E20" s="271">
        <f>'合并-bs'!E61</f>
        <v>619261.78961500002</v>
      </c>
      <c r="F20" s="271">
        <f>'合并-bs'!F61</f>
        <v>426189</v>
      </c>
    </row>
    <row r="21" spans="1:6" x14ac:dyDescent="0.3">
      <c r="A21" s="31" t="s">
        <v>313</v>
      </c>
      <c r="B21" s="70">
        <f>'合并-bs'!B79</f>
        <v>0</v>
      </c>
      <c r="C21" s="70">
        <f>'合并-bs'!C79</f>
        <v>0</v>
      </c>
      <c r="D21" s="70">
        <f>'合并-bs'!D79</f>
        <v>0</v>
      </c>
      <c r="E21" s="70">
        <f>'合并-bs'!E79</f>
        <v>0</v>
      </c>
      <c r="F21" s="70">
        <f>'合并-bs'!F79</f>
        <v>0</v>
      </c>
    </row>
    <row r="22" spans="1:6" x14ac:dyDescent="0.3">
      <c r="A22" s="28" t="s">
        <v>314</v>
      </c>
      <c r="B22" s="70">
        <f>B16+B17+B12+B13+B14+B15+B20</f>
        <v>3143942.0605560001</v>
      </c>
      <c r="C22" s="70">
        <f t="shared" ref="C22:F22" si="4">C16+C17+C12+C13+C14+C15+C20</f>
        <v>2866874.4034540001</v>
      </c>
      <c r="D22" s="70">
        <f t="shared" si="4"/>
        <v>2654709.0876200004</v>
      </c>
      <c r="E22" s="70">
        <f t="shared" si="4"/>
        <v>2454352.0970340003</v>
      </c>
      <c r="F22" s="70">
        <f t="shared" si="4"/>
        <v>1878907.3118179999</v>
      </c>
    </row>
    <row r="23" spans="1:6" x14ac:dyDescent="0.3">
      <c r="A23" s="28" t="s">
        <v>315</v>
      </c>
      <c r="B23" s="272">
        <f>B8/B22</f>
        <v>9.2521110566709845E-5</v>
      </c>
      <c r="C23" s="272">
        <f>C8/C22</f>
        <v>5.4904579065047115E-2</v>
      </c>
      <c r="D23" s="272">
        <f>D8/D22</f>
        <v>6.5739565476253425E-2</v>
      </c>
      <c r="E23" s="272">
        <f>E8/E22</f>
        <v>6.5231084644487389E-2</v>
      </c>
      <c r="F23" s="272">
        <f>F8/F22</f>
        <v>7.4033064525363915E-2</v>
      </c>
    </row>
  </sheetData>
  <phoneticPr fontId="41" type="noConversion"/>
  <pageMargins left="0.7" right="0.7" top="0.75" bottom="0.75" header="0.3" footer="0.3"/>
  <pageSetup paperSize="9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filterMode="1"/>
  <dimension ref="A1:R434"/>
  <sheetViews>
    <sheetView topLeftCell="A373" zoomScale="90" zoomScaleNormal="90" workbookViewId="0">
      <selection activeCell="E392" sqref="E392"/>
    </sheetView>
  </sheetViews>
  <sheetFormatPr defaultColWidth="9" defaultRowHeight="13.5" x14ac:dyDescent="0.3"/>
  <cols>
    <col min="1" max="1" width="8.53125" customWidth="1"/>
    <col min="2" max="2" width="48.9296875" customWidth="1"/>
    <col min="3" max="3" width="20.53125" customWidth="1"/>
    <col min="4" max="6" width="17.06640625" customWidth="1"/>
    <col min="7" max="7" width="10.3984375" customWidth="1"/>
    <col min="8" max="9" width="20.19921875" customWidth="1"/>
    <col min="10" max="11" width="15.46484375" customWidth="1"/>
    <col min="12" max="14" width="16.06640625" customWidth="1"/>
    <col min="15" max="15" width="17.06640625" customWidth="1"/>
    <col min="16" max="16" width="15.46484375" customWidth="1"/>
    <col min="17" max="17" width="11.53125" customWidth="1"/>
    <col min="18" max="18" width="12.3984375" customWidth="1"/>
  </cols>
  <sheetData>
    <row r="1" spans="1:18" x14ac:dyDescent="0.3">
      <c r="A1" s="228" t="s">
        <v>316</v>
      </c>
      <c r="B1" s="229" t="s">
        <v>317</v>
      </c>
      <c r="C1" s="230" t="s">
        <v>318</v>
      </c>
      <c r="D1" s="230" t="s">
        <v>319</v>
      </c>
      <c r="E1" s="231" t="s">
        <v>320</v>
      </c>
      <c r="F1" s="231" t="s">
        <v>321</v>
      </c>
      <c r="G1" s="232" t="s">
        <v>322</v>
      </c>
      <c r="H1" s="228" t="s">
        <v>323</v>
      </c>
      <c r="I1" s="228" t="s">
        <v>324</v>
      </c>
      <c r="J1" s="231" t="s">
        <v>325</v>
      </c>
      <c r="K1" s="231" t="s">
        <v>326</v>
      </c>
      <c r="L1" s="231" t="s">
        <v>327</v>
      </c>
      <c r="M1" s="231" t="s">
        <v>328</v>
      </c>
      <c r="N1" s="231" t="s">
        <v>329</v>
      </c>
      <c r="O1" s="231" t="s">
        <v>330</v>
      </c>
      <c r="P1" s="231" t="s">
        <v>331</v>
      </c>
      <c r="Q1" s="231" t="s">
        <v>332</v>
      </c>
      <c r="R1" s="231" t="s">
        <v>333</v>
      </c>
    </row>
    <row r="2" spans="1:18" x14ac:dyDescent="0.3">
      <c r="A2" s="233" t="s">
        <v>334</v>
      </c>
      <c r="B2" s="234" t="s">
        <v>335</v>
      </c>
      <c r="C2" s="235" t="s">
        <v>336</v>
      </c>
      <c r="D2" s="236">
        <v>2102475265.9300001</v>
      </c>
      <c r="E2" s="237">
        <v>2102475265.9300001</v>
      </c>
      <c r="F2" s="237">
        <v>1689383189.6300001</v>
      </c>
      <c r="G2" s="238"/>
      <c r="H2" s="228"/>
      <c r="I2" s="256" t="s">
        <v>337</v>
      </c>
      <c r="J2" s="237">
        <v>200205561.78999999</v>
      </c>
      <c r="K2" s="237">
        <v>487905660.38</v>
      </c>
      <c r="L2" s="237">
        <v>179647869.80000001</v>
      </c>
      <c r="M2" s="237">
        <v>523724411.86000001</v>
      </c>
      <c r="N2" s="237">
        <v>297899685.80000001</v>
      </c>
      <c r="O2" s="237"/>
      <c r="P2" s="236">
        <f t="shared" ref="P2:P41" si="0">F2-SUM(J2:O2)</f>
        <v>0</v>
      </c>
      <c r="Q2" s="260"/>
      <c r="R2" s="251" t="s">
        <v>338</v>
      </c>
    </row>
    <row r="3" spans="1:18" hidden="1" x14ac:dyDescent="0.3">
      <c r="A3" s="233" t="s">
        <v>334</v>
      </c>
      <c r="B3" s="234" t="s">
        <v>339</v>
      </c>
      <c r="C3" s="234"/>
      <c r="D3" s="236">
        <v>1401037000</v>
      </c>
      <c r="E3" s="239">
        <f>1401037000-40000000</f>
        <v>1361037000</v>
      </c>
      <c r="F3" s="237">
        <v>1491037000</v>
      </c>
      <c r="G3" s="240" t="s">
        <v>340</v>
      </c>
      <c r="H3" s="228" t="s">
        <v>341</v>
      </c>
      <c r="I3" s="256" t="s">
        <v>342</v>
      </c>
      <c r="J3" s="237">
        <v>695000000</v>
      </c>
      <c r="K3" s="237">
        <v>596037000</v>
      </c>
      <c r="L3" s="237"/>
      <c r="M3" s="237" t="s">
        <v>343</v>
      </c>
      <c r="N3" s="237" t="s">
        <v>343</v>
      </c>
      <c r="O3" s="237" t="s">
        <v>343</v>
      </c>
      <c r="P3" s="236">
        <f t="shared" si="0"/>
        <v>200000000</v>
      </c>
      <c r="Q3" s="260"/>
      <c r="R3" s="251" t="s">
        <v>338</v>
      </c>
    </row>
    <row r="4" spans="1:18" x14ac:dyDescent="0.3">
      <c r="A4" s="241" t="s">
        <v>344</v>
      </c>
      <c r="B4" s="236" t="s">
        <v>345</v>
      </c>
      <c r="C4" s="242" t="s">
        <v>336</v>
      </c>
      <c r="D4" s="236">
        <f>E4</f>
        <v>1411037000</v>
      </c>
      <c r="E4" s="236">
        <v>1411037000</v>
      </c>
      <c r="F4" s="236">
        <v>1411037000</v>
      </c>
      <c r="G4" s="240" t="s">
        <v>346</v>
      </c>
      <c r="H4" s="228"/>
      <c r="I4" s="256" t="s">
        <v>337</v>
      </c>
      <c r="J4" s="236"/>
      <c r="K4" s="236"/>
      <c r="L4" s="236"/>
      <c r="M4" s="236"/>
      <c r="N4" s="236"/>
      <c r="O4" s="236">
        <v>1411037000</v>
      </c>
      <c r="P4" s="236">
        <f t="shared" si="0"/>
        <v>0</v>
      </c>
      <c r="Q4" s="260"/>
      <c r="R4" s="251" t="s">
        <v>338</v>
      </c>
    </row>
    <row r="5" spans="1:18" x14ac:dyDescent="0.3">
      <c r="A5" s="233" t="s">
        <v>334</v>
      </c>
      <c r="B5" s="234" t="s">
        <v>347</v>
      </c>
      <c r="C5" s="235" t="s">
        <v>336</v>
      </c>
      <c r="D5" s="236">
        <v>4127800000</v>
      </c>
      <c r="E5" s="237">
        <f>4127800000-2657800000</f>
        <v>1470000000</v>
      </c>
      <c r="F5" s="237">
        <v>1270000000</v>
      </c>
      <c r="G5" s="238"/>
      <c r="H5" s="228"/>
      <c r="I5" s="256" t="s">
        <v>337</v>
      </c>
      <c r="J5" s="237">
        <v>200000000</v>
      </c>
      <c r="K5" s="237">
        <v>480000000</v>
      </c>
      <c r="L5" s="237" t="s">
        <v>343</v>
      </c>
      <c r="M5" s="237">
        <v>300000000</v>
      </c>
      <c r="N5" s="237">
        <v>290000000</v>
      </c>
      <c r="O5" s="237" t="s">
        <v>343</v>
      </c>
      <c r="P5" s="236">
        <f t="shared" si="0"/>
        <v>0</v>
      </c>
      <c r="Q5" s="260"/>
      <c r="R5" s="251" t="s">
        <v>338</v>
      </c>
    </row>
    <row r="6" spans="1:18" x14ac:dyDescent="0.3">
      <c r="A6" s="233" t="s">
        <v>334</v>
      </c>
      <c r="B6" s="234" t="s">
        <v>348</v>
      </c>
      <c r="C6" s="235" t="s">
        <v>336</v>
      </c>
      <c r="D6" s="236">
        <v>544000000</v>
      </c>
      <c r="E6" s="237">
        <v>544000000</v>
      </c>
      <c r="F6" s="237">
        <v>1044900000</v>
      </c>
      <c r="G6" s="238"/>
      <c r="H6" s="228"/>
      <c r="I6" s="256" t="s">
        <v>337</v>
      </c>
      <c r="J6" s="237">
        <v>885664291.65999997</v>
      </c>
      <c r="K6" s="237">
        <v>159235708.34</v>
      </c>
      <c r="L6" s="237"/>
      <c r="M6" s="237"/>
      <c r="N6" s="237" t="s">
        <v>343</v>
      </c>
      <c r="O6" s="237" t="s">
        <v>343</v>
      </c>
      <c r="P6" s="236">
        <f t="shared" si="0"/>
        <v>0</v>
      </c>
      <c r="Q6" s="260"/>
      <c r="R6" s="251" t="s">
        <v>338</v>
      </c>
    </row>
    <row r="7" spans="1:18" x14ac:dyDescent="0.3">
      <c r="A7" s="233" t="s">
        <v>349</v>
      </c>
      <c r="B7" s="234" t="s">
        <v>345</v>
      </c>
      <c r="C7" s="235" t="s">
        <v>336</v>
      </c>
      <c r="D7" s="236">
        <f>E7</f>
        <v>750000000</v>
      </c>
      <c r="E7" s="237">
        <v>750000000</v>
      </c>
      <c r="F7" s="237">
        <v>750000000</v>
      </c>
      <c r="G7" s="238"/>
      <c r="H7" s="228"/>
      <c r="I7" s="256" t="s">
        <v>337</v>
      </c>
      <c r="J7" s="237"/>
      <c r="K7" s="237">
        <v>750000000</v>
      </c>
      <c r="L7" s="237"/>
      <c r="M7" s="237"/>
      <c r="N7" s="237"/>
      <c r="O7" s="237"/>
      <c r="P7" s="236">
        <f t="shared" si="0"/>
        <v>0</v>
      </c>
      <c r="Q7" s="260"/>
      <c r="R7" s="251" t="s">
        <v>338</v>
      </c>
    </row>
    <row r="8" spans="1:18" hidden="1" x14ac:dyDescent="0.3">
      <c r="A8" s="233" t="s">
        <v>350</v>
      </c>
      <c r="B8" s="243" t="s">
        <v>351</v>
      </c>
      <c r="C8" s="243"/>
      <c r="D8" s="236">
        <f>E8</f>
        <v>935836972.55999994</v>
      </c>
      <c r="E8" s="236">
        <v>935836972.55999994</v>
      </c>
      <c r="F8" s="236">
        <v>676355474.14999998</v>
      </c>
      <c r="G8" s="240" t="s">
        <v>340</v>
      </c>
      <c r="H8" s="228" t="s">
        <v>341</v>
      </c>
      <c r="I8" s="256" t="s">
        <v>352</v>
      </c>
      <c r="J8" s="236">
        <v>676355474.14999998</v>
      </c>
      <c r="K8" s="236"/>
      <c r="L8" s="236"/>
      <c r="M8" s="236"/>
      <c r="N8" s="236"/>
      <c r="O8" s="236"/>
      <c r="P8" s="236">
        <f t="shared" si="0"/>
        <v>0</v>
      </c>
      <c r="Q8" s="260"/>
      <c r="R8" s="228" t="s">
        <v>338</v>
      </c>
    </row>
    <row r="9" spans="1:18" hidden="1" x14ac:dyDescent="0.3">
      <c r="A9" s="233" t="s">
        <v>353</v>
      </c>
      <c r="B9" s="236" t="s">
        <v>354</v>
      </c>
      <c r="C9" s="236"/>
      <c r="D9" s="236">
        <f>E9</f>
        <v>174727303.91</v>
      </c>
      <c r="E9" s="236">
        <v>174727303.91</v>
      </c>
      <c r="F9" s="236">
        <v>609495689.63</v>
      </c>
      <c r="G9" s="240" t="s">
        <v>340</v>
      </c>
      <c r="H9" s="228" t="s">
        <v>341</v>
      </c>
      <c r="I9" s="256" t="s">
        <v>352</v>
      </c>
      <c r="J9" s="236">
        <v>609495689.63</v>
      </c>
      <c r="K9" s="236"/>
      <c r="L9" s="236"/>
      <c r="M9" s="236"/>
      <c r="N9" s="236"/>
      <c r="O9" s="236"/>
      <c r="P9" s="236">
        <f t="shared" si="0"/>
        <v>0</v>
      </c>
      <c r="Q9" s="260"/>
      <c r="R9" s="228" t="s">
        <v>338</v>
      </c>
    </row>
    <row r="10" spans="1:18" hidden="1" x14ac:dyDescent="0.3">
      <c r="A10" s="233" t="s">
        <v>355</v>
      </c>
      <c r="B10" s="234" t="s">
        <v>356</v>
      </c>
      <c r="C10" s="234"/>
      <c r="D10" s="236">
        <f>E10</f>
        <v>0</v>
      </c>
      <c r="E10" s="237"/>
      <c r="F10" s="237">
        <v>568000000</v>
      </c>
      <c r="G10" s="240" t="s">
        <v>340</v>
      </c>
      <c r="H10" s="228" t="s">
        <v>341</v>
      </c>
      <c r="I10" s="256" t="s">
        <v>342</v>
      </c>
      <c r="J10" s="237">
        <v>568000000</v>
      </c>
      <c r="K10" s="237"/>
      <c r="L10" s="237"/>
      <c r="M10" s="237"/>
      <c r="N10" s="237"/>
      <c r="O10" s="237"/>
      <c r="P10" s="236">
        <f t="shared" si="0"/>
        <v>0</v>
      </c>
      <c r="Q10" s="260"/>
      <c r="R10" s="228" t="s">
        <v>338</v>
      </c>
    </row>
    <row r="11" spans="1:18" hidden="1" x14ac:dyDescent="0.3">
      <c r="A11" s="233" t="s">
        <v>357</v>
      </c>
      <c r="B11" s="236" t="s">
        <v>351</v>
      </c>
      <c r="C11" s="236"/>
      <c r="D11" s="236">
        <f>E11</f>
        <v>579755890.28999996</v>
      </c>
      <c r="E11" s="236">
        <v>579755890.28999996</v>
      </c>
      <c r="F11" s="236">
        <v>495197325.57999998</v>
      </c>
      <c r="G11" s="240" t="s">
        <v>340</v>
      </c>
      <c r="H11" s="228" t="s">
        <v>341</v>
      </c>
      <c r="I11" s="256" t="s">
        <v>352</v>
      </c>
      <c r="J11" s="236">
        <v>495197325.57999998</v>
      </c>
      <c r="K11" s="236"/>
      <c r="L11" s="236"/>
      <c r="M11" s="236"/>
      <c r="N11" s="236"/>
      <c r="O11" s="236"/>
      <c r="P11" s="236">
        <f t="shared" si="0"/>
        <v>0</v>
      </c>
      <c r="Q11" s="260"/>
      <c r="R11" s="228" t="s">
        <v>338</v>
      </c>
    </row>
    <row r="12" spans="1:18" hidden="1" x14ac:dyDescent="0.3">
      <c r="A12" s="233" t="s">
        <v>334</v>
      </c>
      <c r="B12" s="234" t="s">
        <v>358</v>
      </c>
      <c r="C12" s="234"/>
      <c r="D12" s="236">
        <v>966486498.39999998</v>
      </c>
      <c r="E12" s="237">
        <v>966486498.39999998</v>
      </c>
      <c r="F12" s="237">
        <v>492934681.20999998</v>
      </c>
      <c r="G12" s="240" t="s">
        <v>340</v>
      </c>
      <c r="H12" s="228" t="s">
        <v>341</v>
      </c>
      <c r="I12" s="256" t="s">
        <v>342</v>
      </c>
      <c r="J12" s="237">
        <v>492934681.20999998</v>
      </c>
      <c r="K12" s="237"/>
      <c r="L12" s="237" t="s">
        <v>343</v>
      </c>
      <c r="M12" s="237" t="s">
        <v>343</v>
      </c>
      <c r="N12" s="237" t="s">
        <v>343</v>
      </c>
      <c r="O12" s="237" t="s">
        <v>343</v>
      </c>
      <c r="P12" s="236">
        <f t="shared" si="0"/>
        <v>0</v>
      </c>
      <c r="Q12" s="260"/>
      <c r="R12" s="251" t="s">
        <v>338</v>
      </c>
    </row>
    <row r="13" spans="1:18" x14ac:dyDescent="0.3">
      <c r="A13" s="233" t="s">
        <v>334</v>
      </c>
      <c r="B13" s="234" t="s">
        <v>359</v>
      </c>
      <c r="C13" s="235" t="s">
        <v>336</v>
      </c>
      <c r="D13" s="236">
        <v>482853300</v>
      </c>
      <c r="E13" s="237">
        <v>482853300</v>
      </c>
      <c r="F13" s="237">
        <v>482853300</v>
      </c>
      <c r="G13" s="238"/>
      <c r="H13" s="228"/>
      <c r="I13" s="256" t="s">
        <v>337</v>
      </c>
      <c r="J13" s="237"/>
      <c r="K13" s="237">
        <v>482853300</v>
      </c>
      <c r="L13" s="237"/>
      <c r="M13" s="237"/>
      <c r="N13" s="237"/>
      <c r="O13" s="237"/>
      <c r="P13" s="236">
        <f t="shared" si="0"/>
        <v>0</v>
      </c>
      <c r="Q13" s="260"/>
      <c r="R13" s="251" t="s">
        <v>338</v>
      </c>
    </row>
    <row r="14" spans="1:18" x14ac:dyDescent="0.3">
      <c r="A14" s="233" t="s">
        <v>360</v>
      </c>
      <c r="B14" s="234" t="s">
        <v>361</v>
      </c>
      <c r="C14" s="244" t="s">
        <v>362</v>
      </c>
      <c r="D14" s="236">
        <f>E14</f>
        <v>440000000</v>
      </c>
      <c r="E14" s="237">
        <v>440000000</v>
      </c>
      <c r="F14" s="237">
        <v>440000000</v>
      </c>
      <c r="G14" s="238"/>
      <c r="H14" s="228"/>
      <c r="I14" s="256" t="s">
        <v>337</v>
      </c>
      <c r="J14" s="237"/>
      <c r="K14" s="237" t="s">
        <v>363</v>
      </c>
      <c r="L14" s="237"/>
      <c r="M14" s="237" t="s">
        <v>363</v>
      </c>
      <c r="N14" s="237" t="s">
        <v>363</v>
      </c>
      <c r="O14" s="237">
        <v>440000000</v>
      </c>
      <c r="P14" s="236">
        <f t="shared" si="0"/>
        <v>0</v>
      </c>
      <c r="Q14" s="260"/>
      <c r="R14" s="251" t="s">
        <v>338</v>
      </c>
    </row>
    <row r="15" spans="1:18" hidden="1" x14ac:dyDescent="0.3">
      <c r="A15" s="233" t="s">
        <v>334</v>
      </c>
      <c r="B15" s="234" t="s">
        <v>364</v>
      </c>
      <c r="C15" s="234"/>
      <c r="D15" s="236">
        <v>0</v>
      </c>
      <c r="E15" s="237">
        <v>0</v>
      </c>
      <c r="F15" s="237">
        <v>427243674.45999998</v>
      </c>
      <c r="G15" s="240" t="s">
        <v>340</v>
      </c>
      <c r="H15" s="228" t="s">
        <v>341</v>
      </c>
      <c r="I15" s="256" t="s">
        <v>342</v>
      </c>
      <c r="J15" s="237">
        <v>427243674.45999998</v>
      </c>
      <c r="K15" s="237"/>
      <c r="L15" s="237" t="s">
        <v>343</v>
      </c>
      <c r="M15" s="237" t="s">
        <v>343</v>
      </c>
      <c r="N15" s="237" t="s">
        <v>343</v>
      </c>
      <c r="O15" s="237" t="s">
        <v>343</v>
      </c>
      <c r="P15" s="236">
        <f t="shared" si="0"/>
        <v>0</v>
      </c>
      <c r="Q15" s="260"/>
      <c r="R15" s="251" t="s">
        <v>338</v>
      </c>
    </row>
    <row r="16" spans="1:18" ht="13.9" x14ac:dyDescent="0.3">
      <c r="A16" s="233" t="s">
        <v>334</v>
      </c>
      <c r="B16" s="245" t="s">
        <v>365</v>
      </c>
      <c r="C16" s="244" t="s">
        <v>362</v>
      </c>
      <c r="D16" s="236">
        <v>0</v>
      </c>
      <c r="E16" s="237"/>
      <c r="F16" s="237">
        <v>410100000</v>
      </c>
      <c r="G16" s="240"/>
      <c r="H16" s="228"/>
      <c r="I16" s="257" t="s">
        <v>337</v>
      </c>
      <c r="J16" s="237">
        <v>410100000</v>
      </c>
      <c r="K16" s="237"/>
      <c r="L16" s="237"/>
      <c r="M16" s="237"/>
      <c r="N16" s="237"/>
      <c r="O16" s="237"/>
      <c r="P16" s="236">
        <f t="shared" si="0"/>
        <v>0</v>
      </c>
      <c r="Q16" s="260"/>
      <c r="R16" s="251" t="s">
        <v>338</v>
      </c>
    </row>
    <row r="17" spans="1:18" ht="13.9" x14ac:dyDescent="0.3">
      <c r="A17" s="233" t="s">
        <v>360</v>
      </c>
      <c r="B17" s="234" t="s">
        <v>366</v>
      </c>
      <c r="C17" s="235" t="s">
        <v>336</v>
      </c>
      <c r="D17" s="236">
        <f>E17</f>
        <v>62668200.239999898</v>
      </c>
      <c r="E17" s="237">
        <v>62668200.239999898</v>
      </c>
      <c r="F17" s="237">
        <v>372483194.48000002</v>
      </c>
      <c r="G17" s="238"/>
      <c r="H17" s="228"/>
      <c r="I17" s="258" t="s">
        <v>337</v>
      </c>
      <c r="J17" s="237">
        <v>309814994.24000001</v>
      </c>
      <c r="K17" s="237" t="s">
        <v>363</v>
      </c>
      <c r="L17" s="237">
        <v>62668200.239999898</v>
      </c>
      <c r="M17" s="237" t="s">
        <v>363</v>
      </c>
      <c r="N17" s="237" t="s">
        <v>363</v>
      </c>
      <c r="O17" s="237" t="s">
        <v>363</v>
      </c>
      <c r="P17" s="236">
        <f t="shared" si="0"/>
        <v>0</v>
      </c>
      <c r="Q17" s="260"/>
      <c r="R17" s="228" t="s">
        <v>338</v>
      </c>
    </row>
    <row r="18" spans="1:18" ht="13.9" x14ac:dyDescent="0.3">
      <c r="A18" s="233" t="s">
        <v>334</v>
      </c>
      <c r="B18" s="245" t="s">
        <v>367</v>
      </c>
      <c r="C18" s="246" t="s">
        <v>362</v>
      </c>
      <c r="D18" s="236">
        <v>0</v>
      </c>
      <c r="E18" s="237"/>
      <c r="F18" s="237">
        <v>330000000</v>
      </c>
      <c r="G18" s="238"/>
      <c r="H18" s="228"/>
      <c r="I18" s="256" t="s">
        <v>368</v>
      </c>
      <c r="J18" s="237">
        <v>330000000</v>
      </c>
      <c r="K18" s="237">
        <v>0</v>
      </c>
      <c r="L18" s="237">
        <v>0</v>
      </c>
      <c r="M18" s="237">
        <v>0</v>
      </c>
      <c r="N18" s="237">
        <v>0</v>
      </c>
      <c r="O18" s="237">
        <v>0</v>
      </c>
      <c r="P18" s="236">
        <f t="shared" si="0"/>
        <v>0</v>
      </c>
      <c r="Q18" s="260"/>
      <c r="R18" s="251" t="s">
        <v>338</v>
      </c>
    </row>
    <row r="19" spans="1:18" ht="13.9" x14ac:dyDescent="0.3">
      <c r="A19" s="233" t="s">
        <v>334</v>
      </c>
      <c r="B19" s="245" t="s">
        <v>369</v>
      </c>
      <c r="C19" s="246" t="s">
        <v>362</v>
      </c>
      <c r="D19" s="236">
        <v>0</v>
      </c>
      <c r="E19" s="237"/>
      <c r="F19" s="237">
        <v>274400000</v>
      </c>
      <c r="G19" s="238"/>
      <c r="H19" s="228"/>
      <c r="I19" s="256" t="s">
        <v>337</v>
      </c>
      <c r="J19" s="237">
        <v>274400000</v>
      </c>
      <c r="K19" s="237"/>
      <c r="L19" s="237"/>
      <c r="M19" s="237"/>
      <c r="N19" s="237"/>
      <c r="O19" s="237"/>
      <c r="P19" s="236">
        <f t="shared" si="0"/>
        <v>0</v>
      </c>
      <c r="Q19" s="260"/>
      <c r="R19" s="251" t="s">
        <v>338</v>
      </c>
    </row>
    <row r="20" spans="1:18" hidden="1" x14ac:dyDescent="0.3">
      <c r="A20" s="233" t="s">
        <v>334</v>
      </c>
      <c r="B20" s="234" t="s">
        <v>370</v>
      </c>
      <c r="C20" s="234"/>
      <c r="D20" s="236">
        <v>0</v>
      </c>
      <c r="E20" s="237"/>
      <c r="F20" s="237">
        <v>251871184.30000001</v>
      </c>
      <c r="G20" s="240" t="s">
        <v>340</v>
      </c>
      <c r="H20" s="228" t="s">
        <v>341</v>
      </c>
      <c r="I20" s="256" t="s">
        <v>342</v>
      </c>
      <c r="J20" s="237">
        <v>251871184.30000001</v>
      </c>
      <c r="K20" s="237"/>
      <c r="L20" s="237"/>
      <c r="M20" s="237"/>
      <c r="N20" s="237"/>
      <c r="O20" s="237"/>
      <c r="P20" s="236">
        <f t="shared" si="0"/>
        <v>0</v>
      </c>
      <c r="Q20" s="260"/>
      <c r="R20" s="251" t="s">
        <v>338</v>
      </c>
    </row>
    <row r="21" spans="1:18" x14ac:dyDescent="0.3">
      <c r="A21" s="233" t="s">
        <v>350</v>
      </c>
      <c r="B21" s="236" t="s">
        <v>371</v>
      </c>
      <c r="C21" s="235" t="s">
        <v>336</v>
      </c>
      <c r="D21" s="236">
        <f>E21</f>
        <v>234878508.08000001</v>
      </c>
      <c r="E21" s="236">
        <v>234878508.08000001</v>
      </c>
      <c r="F21" s="236">
        <v>234327795.56999999</v>
      </c>
      <c r="G21" s="240"/>
      <c r="H21" s="228"/>
      <c r="I21" s="256" t="s">
        <v>337</v>
      </c>
      <c r="J21" s="236"/>
      <c r="K21" s="236">
        <v>226896828.97999999</v>
      </c>
      <c r="L21" s="236">
        <v>7430966.5899999999</v>
      </c>
      <c r="M21" s="236"/>
      <c r="N21" s="236"/>
      <c r="O21" s="236"/>
      <c r="P21" s="236">
        <f t="shared" si="0"/>
        <v>0</v>
      </c>
      <c r="Q21" s="256"/>
      <c r="R21" s="228" t="s">
        <v>338</v>
      </c>
    </row>
    <row r="22" spans="1:18" hidden="1" x14ac:dyDescent="0.3">
      <c r="A22" s="233" t="s">
        <v>372</v>
      </c>
      <c r="B22" s="236" t="s">
        <v>354</v>
      </c>
      <c r="C22" s="236"/>
      <c r="D22" s="236">
        <f>E22</f>
        <v>43587008.270000003</v>
      </c>
      <c r="E22" s="236">
        <v>43587008.270000003</v>
      </c>
      <c r="F22" s="236">
        <v>215228147.91</v>
      </c>
      <c r="G22" s="240" t="s">
        <v>340</v>
      </c>
      <c r="H22" s="228" t="s">
        <v>341</v>
      </c>
      <c r="I22" s="256" t="s">
        <v>352</v>
      </c>
      <c r="J22" s="236">
        <v>215228147.91</v>
      </c>
      <c r="K22" s="236"/>
      <c r="L22" s="236"/>
      <c r="M22" s="236"/>
      <c r="N22" s="236"/>
      <c r="O22" s="236"/>
      <c r="P22" s="236">
        <f t="shared" si="0"/>
        <v>0</v>
      </c>
      <c r="Q22" s="260"/>
      <c r="R22" s="228" t="s">
        <v>338</v>
      </c>
    </row>
    <row r="23" spans="1:18" hidden="1" x14ac:dyDescent="0.3">
      <c r="A23" s="233" t="s">
        <v>334</v>
      </c>
      <c r="B23" s="234" t="s">
        <v>373</v>
      </c>
      <c r="C23" s="234"/>
      <c r="D23" s="236">
        <v>0</v>
      </c>
      <c r="E23" s="237"/>
      <c r="F23" s="237">
        <v>172542600</v>
      </c>
      <c r="G23" s="240" t="s">
        <v>340</v>
      </c>
      <c r="H23" s="228" t="s">
        <v>341</v>
      </c>
      <c r="I23" s="256" t="s">
        <v>342</v>
      </c>
      <c r="J23" s="237">
        <v>172542600</v>
      </c>
      <c r="K23" s="237"/>
      <c r="L23" s="237"/>
      <c r="M23" s="237"/>
      <c r="N23" s="237"/>
      <c r="O23" s="237"/>
      <c r="P23" s="236">
        <f t="shared" si="0"/>
        <v>0</v>
      </c>
      <c r="Q23" s="260"/>
      <c r="R23" s="251" t="s">
        <v>338</v>
      </c>
    </row>
    <row r="24" spans="1:18" x14ac:dyDescent="0.3">
      <c r="A24" s="241" t="s">
        <v>344</v>
      </c>
      <c r="B24" s="236" t="s">
        <v>374</v>
      </c>
      <c r="C24" s="242" t="s">
        <v>336</v>
      </c>
      <c r="D24" s="247">
        <f>E24</f>
        <v>69647588.519999996</v>
      </c>
      <c r="E24" s="247">
        <v>69647588.519999996</v>
      </c>
      <c r="F24" s="236">
        <v>104948189.20999999</v>
      </c>
      <c r="G24" s="248"/>
      <c r="H24" s="249"/>
      <c r="I24" s="259" t="s">
        <v>337</v>
      </c>
      <c r="J24" s="247">
        <v>104948189.20999999</v>
      </c>
      <c r="K24" s="247"/>
      <c r="L24" s="247"/>
      <c r="M24" s="247"/>
      <c r="N24" s="247"/>
      <c r="O24" s="247"/>
      <c r="P24" s="247">
        <f t="shared" si="0"/>
        <v>0</v>
      </c>
      <c r="Q24" s="261"/>
      <c r="R24" s="251" t="s">
        <v>338</v>
      </c>
    </row>
    <row r="25" spans="1:18" ht="13.9" x14ac:dyDescent="0.3">
      <c r="A25" s="233" t="s">
        <v>334</v>
      </c>
      <c r="B25" s="245" t="s">
        <v>375</v>
      </c>
      <c r="C25" s="250" t="s">
        <v>362</v>
      </c>
      <c r="D25" s="236">
        <v>100000000</v>
      </c>
      <c r="E25" s="237">
        <v>100000000</v>
      </c>
      <c r="F25" s="237">
        <v>100000000</v>
      </c>
      <c r="G25" s="238"/>
      <c r="H25" s="228"/>
      <c r="I25" s="256" t="s">
        <v>337</v>
      </c>
      <c r="J25" s="237"/>
      <c r="K25" s="237" t="s">
        <v>343</v>
      </c>
      <c r="L25" s="237" t="s">
        <v>343</v>
      </c>
      <c r="M25" s="237" t="s">
        <v>343</v>
      </c>
      <c r="N25" s="237" t="s">
        <v>343</v>
      </c>
      <c r="O25" s="237">
        <v>100000000</v>
      </c>
      <c r="P25" s="236">
        <f t="shared" si="0"/>
        <v>0</v>
      </c>
      <c r="Q25" s="260"/>
      <c r="R25" s="251" t="s">
        <v>338</v>
      </c>
    </row>
    <row r="26" spans="1:18" hidden="1" x14ac:dyDescent="0.3">
      <c r="A26" s="233" t="s">
        <v>349</v>
      </c>
      <c r="B26" s="234" t="s">
        <v>376</v>
      </c>
      <c r="C26" s="234"/>
      <c r="D26" s="236">
        <f>E26</f>
        <v>100000000</v>
      </c>
      <c r="E26" s="237">
        <v>100000000</v>
      </c>
      <c r="F26" s="237">
        <v>80000000</v>
      </c>
      <c r="G26" s="240" t="s">
        <v>340</v>
      </c>
      <c r="H26" s="228" t="s">
        <v>341</v>
      </c>
      <c r="I26" s="256" t="s">
        <v>342</v>
      </c>
      <c r="J26" s="237">
        <v>80000000</v>
      </c>
      <c r="K26" s="237"/>
      <c r="L26" s="237"/>
      <c r="M26" s="237"/>
      <c r="N26" s="237"/>
      <c r="O26" s="237"/>
      <c r="P26" s="236">
        <f t="shared" si="0"/>
        <v>0</v>
      </c>
      <c r="Q26" s="260"/>
      <c r="R26" s="251" t="s">
        <v>338</v>
      </c>
    </row>
    <row r="27" spans="1:18" x14ac:dyDescent="0.3">
      <c r="A27" s="233" t="s">
        <v>334</v>
      </c>
      <c r="B27" s="236" t="s">
        <v>377</v>
      </c>
      <c r="C27" s="235" t="s">
        <v>336</v>
      </c>
      <c r="D27" s="236">
        <v>75000000</v>
      </c>
      <c r="E27" s="236">
        <v>75000000</v>
      </c>
      <c r="F27" s="236">
        <v>75000000</v>
      </c>
      <c r="G27" s="240"/>
      <c r="H27" s="228"/>
      <c r="I27" s="256" t="s">
        <v>337</v>
      </c>
      <c r="J27" s="236"/>
      <c r="K27" s="236" t="s">
        <v>343</v>
      </c>
      <c r="L27" s="236" t="s">
        <v>343</v>
      </c>
      <c r="M27" s="236" t="s">
        <v>343</v>
      </c>
      <c r="N27" s="236" t="s">
        <v>343</v>
      </c>
      <c r="O27" s="236">
        <v>75000000</v>
      </c>
      <c r="P27" s="236">
        <f t="shared" si="0"/>
        <v>0</v>
      </c>
      <c r="Q27" s="260"/>
      <c r="R27" s="228" t="s">
        <v>338</v>
      </c>
    </row>
    <row r="28" spans="1:18" hidden="1" x14ac:dyDescent="0.3">
      <c r="A28" s="241" t="s">
        <v>344</v>
      </c>
      <c r="B28" s="236" t="s">
        <v>354</v>
      </c>
      <c r="C28" s="236"/>
      <c r="D28" s="236">
        <f>E28</f>
        <v>226503518.52000001</v>
      </c>
      <c r="E28" s="236">
        <v>226503518.52000001</v>
      </c>
      <c r="F28" s="236">
        <v>70000000</v>
      </c>
      <c r="G28" s="240" t="s">
        <v>340</v>
      </c>
      <c r="H28" s="251" t="s">
        <v>341</v>
      </c>
      <c r="I28" s="256" t="s">
        <v>352</v>
      </c>
      <c r="J28" s="236"/>
      <c r="K28" s="236"/>
      <c r="L28" s="236"/>
      <c r="M28" s="236">
        <v>70000000</v>
      </c>
      <c r="N28" s="236"/>
      <c r="O28" s="236"/>
      <c r="P28" s="236">
        <f t="shared" si="0"/>
        <v>0</v>
      </c>
      <c r="Q28" s="260"/>
      <c r="R28" s="251" t="s">
        <v>338</v>
      </c>
    </row>
    <row r="29" spans="1:18" hidden="1" x14ac:dyDescent="0.3">
      <c r="A29" s="233" t="s">
        <v>334</v>
      </c>
      <c r="B29" s="234" t="s">
        <v>378</v>
      </c>
      <c r="C29" s="234"/>
      <c r="D29" s="236">
        <v>60907954.75</v>
      </c>
      <c r="E29" s="237">
        <v>60907954.75</v>
      </c>
      <c r="F29" s="237">
        <v>65868110.079999998</v>
      </c>
      <c r="G29" s="240" t="s">
        <v>340</v>
      </c>
      <c r="H29" s="228" t="s">
        <v>341</v>
      </c>
      <c r="I29" s="256" t="s">
        <v>342</v>
      </c>
      <c r="J29" s="237">
        <v>65868110.079999998</v>
      </c>
      <c r="K29" s="237"/>
      <c r="L29" s="237"/>
      <c r="M29" s="237" t="s">
        <v>343</v>
      </c>
      <c r="N29" s="237" t="s">
        <v>343</v>
      </c>
      <c r="O29" s="237" t="s">
        <v>343</v>
      </c>
      <c r="P29" s="236">
        <f t="shared" si="0"/>
        <v>0</v>
      </c>
      <c r="Q29" s="260"/>
      <c r="R29" s="251" t="s">
        <v>338</v>
      </c>
    </row>
    <row r="30" spans="1:18" x14ac:dyDescent="0.3">
      <c r="A30" s="233" t="s">
        <v>334</v>
      </c>
      <c r="B30" s="234" t="s">
        <v>379</v>
      </c>
      <c r="C30" s="235" t="s">
        <v>336</v>
      </c>
      <c r="D30" s="236">
        <v>117739750</v>
      </c>
      <c r="E30" s="237">
        <v>117739750</v>
      </c>
      <c r="F30" s="237">
        <v>57985130</v>
      </c>
      <c r="G30" s="238"/>
      <c r="H30" s="228"/>
      <c r="I30" s="256" t="s">
        <v>337</v>
      </c>
      <c r="J30" s="237">
        <v>17356130</v>
      </c>
      <c r="K30" s="237">
        <v>40629000</v>
      </c>
      <c r="L30" s="237"/>
      <c r="M30" s="237" t="s">
        <v>343</v>
      </c>
      <c r="N30" s="237" t="s">
        <v>343</v>
      </c>
      <c r="O30" s="237" t="s">
        <v>343</v>
      </c>
      <c r="P30" s="236">
        <f t="shared" si="0"/>
        <v>0</v>
      </c>
      <c r="Q30" s="260"/>
      <c r="R30" s="251" t="s">
        <v>338</v>
      </c>
    </row>
    <row r="31" spans="1:18" x14ac:dyDescent="0.3">
      <c r="A31" s="241" t="s">
        <v>344</v>
      </c>
      <c r="B31" s="236" t="s">
        <v>380</v>
      </c>
      <c r="C31" s="242" t="s">
        <v>336</v>
      </c>
      <c r="D31" s="236">
        <f>E31</f>
        <v>22982318.989999998</v>
      </c>
      <c r="E31" s="252">
        <v>22982318.989999998</v>
      </c>
      <c r="F31" s="252">
        <v>53740998.020000003</v>
      </c>
      <c r="G31" s="240" t="s">
        <v>346</v>
      </c>
      <c r="H31" s="228"/>
      <c r="I31" s="256" t="s">
        <v>368</v>
      </c>
      <c r="J31" s="236">
        <v>30758679.030000001</v>
      </c>
      <c r="K31" s="236">
        <v>1423630.12</v>
      </c>
      <c r="L31" s="236">
        <v>2262788.87</v>
      </c>
      <c r="M31" s="236">
        <v>1826000</v>
      </c>
      <c r="N31" s="236">
        <v>14304900</v>
      </c>
      <c r="O31" s="236">
        <v>3165000</v>
      </c>
      <c r="P31" s="236">
        <f t="shared" si="0"/>
        <v>0</v>
      </c>
      <c r="Q31" s="260"/>
      <c r="R31" s="251" t="s">
        <v>338</v>
      </c>
    </row>
    <row r="32" spans="1:18" x14ac:dyDescent="0.3">
      <c r="A32" s="233" t="s">
        <v>360</v>
      </c>
      <c r="B32" s="253" t="s">
        <v>381</v>
      </c>
      <c r="C32" s="244" t="s">
        <v>362</v>
      </c>
      <c r="D32" s="236">
        <f>E32</f>
        <v>50162347.490000002</v>
      </c>
      <c r="E32" s="237">
        <v>50162347.490000002</v>
      </c>
      <c r="F32" s="237">
        <v>50162347.490000002</v>
      </c>
      <c r="G32" s="238"/>
      <c r="H32" s="228"/>
      <c r="I32" s="256" t="s">
        <v>337</v>
      </c>
      <c r="J32" s="237"/>
      <c r="K32" s="237" t="s">
        <v>363</v>
      </c>
      <c r="L32" s="237"/>
      <c r="M32" s="237" t="s">
        <v>363</v>
      </c>
      <c r="N32" s="237" t="s">
        <v>363</v>
      </c>
      <c r="O32" s="237">
        <v>50162347.490000002</v>
      </c>
      <c r="P32" s="236">
        <f t="shared" si="0"/>
        <v>0</v>
      </c>
      <c r="Q32" s="260"/>
      <c r="R32" s="251" t="s">
        <v>338</v>
      </c>
    </row>
    <row r="33" spans="1:18" x14ac:dyDescent="0.3">
      <c r="A33" s="233" t="s">
        <v>382</v>
      </c>
      <c r="B33" s="234" t="s">
        <v>383</v>
      </c>
      <c r="C33" s="244" t="s">
        <v>362</v>
      </c>
      <c r="D33" s="236">
        <f>E33</f>
        <v>0</v>
      </c>
      <c r="E33" s="237"/>
      <c r="F33" s="237">
        <v>50000000</v>
      </c>
      <c r="G33" s="240" t="s">
        <v>340</v>
      </c>
      <c r="H33" s="228" t="s">
        <v>384</v>
      </c>
      <c r="I33" s="256" t="s">
        <v>384</v>
      </c>
      <c r="J33" s="237">
        <v>50000000</v>
      </c>
      <c r="K33" s="237"/>
      <c r="L33" s="237"/>
      <c r="M33" s="237"/>
      <c r="N33" s="237"/>
      <c r="O33" s="237"/>
      <c r="P33" s="236">
        <f t="shared" si="0"/>
        <v>0</v>
      </c>
      <c r="Q33" s="260"/>
      <c r="R33" s="228" t="s">
        <v>338</v>
      </c>
    </row>
    <row r="34" spans="1:18" x14ac:dyDescent="0.3">
      <c r="A34" s="233" t="s">
        <v>360</v>
      </c>
      <c r="B34" s="234" t="s">
        <v>385</v>
      </c>
      <c r="C34" s="244" t="s">
        <v>362</v>
      </c>
      <c r="D34" s="236">
        <f>E34</f>
        <v>45000000</v>
      </c>
      <c r="E34" s="237">
        <v>45000000</v>
      </c>
      <c r="F34" s="237">
        <v>45000000</v>
      </c>
      <c r="G34" s="238"/>
      <c r="H34" s="228"/>
      <c r="I34" s="256" t="s">
        <v>368</v>
      </c>
      <c r="J34" s="237"/>
      <c r="K34" s="237">
        <v>45000000</v>
      </c>
      <c r="L34" s="237"/>
      <c r="M34" s="237" t="s">
        <v>363</v>
      </c>
      <c r="N34" s="237" t="s">
        <v>363</v>
      </c>
      <c r="O34" s="237" t="s">
        <v>363</v>
      </c>
      <c r="P34" s="236">
        <f t="shared" si="0"/>
        <v>0</v>
      </c>
      <c r="Q34" s="260"/>
      <c r="R34" s="251" t="s">
        <v>338</v>
      </c>
    </row>
    <row r="35" spans="1:18" x14ac:dyDescent="0.3">
      <c r="A35" s="233" t="s">
        <v>334</v>
      </c>
      <c r="B35" s="234" t="s">
        <v>386</v>
      </c>
      <c r="C35" s="244" t="s">
        <v>362</v>
      </c>
      <c r="D35" s="236">
        <v>0</v>
      </c>
      <c r="E35" s="237">
        <v>0</v>
      </c>
      <c r="F35" s="237">
        <v>33086224.149999999</v>
      </c>
      <c r="G35" s="240"/>
      <c r="H35" s="228"/>
      <c r="I35" s="257" t="s">
        <v>337</v>
      </c>
      <c r="J35" s="237">
        <v>33086224.149999999</v>
      </c>
      <c r="K35" s="237" t="s">
        <v>343</v>
      </c>
      <c r="L35" s="237" t="s">
        <v>343</v>
      </c>
      <c r="M35" s="237" t="s">
        <v>343</v>
      </c>
      <c r="N35" s="237" t="s">
        <v>343</v>
      </c>
      <c r="O35" s="237" t="s">
        <v>343</v>
      </c>
      <c r="P35" s="236">
        <f t="shared" si="0"/>
        <v>0</v>
      </c>
      <c r="Q35" s="260"/>
      <c r="R35" s="228" t="s">
        <v>338</v>
      </c>
    </row>
    <row r="36" spans="1:18" ht="13.9" x14ac:dyDescent="0.3">
      <c r="A36" s="233" t="s">
        <v>334</v>
      </c>
      <c r="B36" s="245" t="s">
        <v>387</v>
      </c>
      <c r="C36" s="244" t="s">
        <v>362</v>
      </c>
      <c r="D36" s="236">
        <v>25514700</v>
      </c>
      <c r="E36" s="237">
        <v>25514700</v>
      </c>
      <c r="F36" s="237">
        <v>25514700</v>
      </c>
      <c r="G36" s="238"/>
      <c r="H36" s="228"/>
      <c r="I36" s="256" t="s">
        <v>337</v>
      </c>
      <c r="J36" s="237"/>
      <c r="K36" s="237">
        <v>25514700</v>
      </c>
      <c r="L36" s="237" t="s">
        <v>343</v>
      </c>
      <c r="M36" s="237" t="s">
        <v>343</v>
      </c>
      <c r="N36" s="237" t="s">
        <v>343</v>
      </c>
      <c r="O36" s="237" t="s">
        <v>343</v>
      </c>
      <c r="P36" s="236">
        <f t="shared" si="0"/>
        <v>0</v>
      </c>
      <c r="Q36" s="260"/>
      <c r="R36" s="251" t="s">
        <v>338</v>
      </c>
    </row>
    <row r="37" spans="1:18" hidden="1" x14ac:dyDescent="0.3">
      <c r="A37" s="233" t="s">
        <v>350</v>
      </c>
      <c r="B37" s="236" t="s">
        <v>388</v>
      </c>
      <c r="C37" s="236"/>
      <c r="D37" s="236">
        <f>E37</f>
        <v>8637675.8399999999</v>
      </c>
      <c r="E37" s="236">
        <v>8637675.8399999999</v>
      </c>
      <c r="F37" s="236">
        <v>23269547.260000002</v>
      </c>
      <c r="G37" s="254" t="s">
        <v>340</v>
      </c>
      <c r="H37" s="228" t="s">
        <v>341</v>
      </c>
      <c r="I37" s="256" t="s">
        <v>352</v>
      </c>
      <c r="J37" s="236">
        <v>23269547.260000002</v>
      </c>
      <c r="K37" s="236"/>
      <c r="L37" s="236"/>
      <c r="M37" s="236"/>
      <c r="N37" s="236"/>
      <c r="O37" s="236"/>
      <c r="P37" s="236">
        <f t="shared" si="0"/>
        <v>0</v>
      </c>
      <c r="Q37" s="260"/>
      <c r="R37" s="228" t="s">
        <v>338</v>
      </c>
    </row>
    <row r="38" spans="1:18" hidden="1" x14ac:dyDescent="0.3">
      <c r="A38" s="233" t="s">
        <v>357</v>
      </c>
      <c r="B38" s="236" t="s">
        <v>389</v>
      </c>
      <c r="C38" s="236"/>
      <c r="D38" s="236">
        <f>E38</f>
        <v>20000000</v>
      </c>
      <c r="E38" s="236">
        <v>20000000</v>
      </c>
      <c r="F38" s="236">
        <v>20090600</v>
      </c>
      <c r="G38" s="240" t="s">
        <v>340</v>
      </c>
      <c r="H38" s="251" t="s">
        <v>341</v>
      </c>
      <c r="I38" s="256" t="s">
        <v>352</v>
      </c>
      <c r="J38" s="236">
        <v>90600</v>
      </c>
      <c r="K38" s="236">
        <v>20000000</v>
      </c>
      <c r="L38" s="236"/>
      <c r="M38" s="236"/>
      <c r="N38" s="236"/>
      <c r="O38" s="236"/>
      <c r="P38" s="236">
        <f t="shared" si="0"/>
        <v>0</v>
      </c>
      <c r="Q38" s="256"/>
      <c r="R38" s="228" t="s">
        <v>338</v>
      </c>
    </row>
    <row r="39" spans="1:18" x14ac:dyDescent="0.3">
      <c r="A39" s="241" t="s">
        <v>344</v>
      </c>
      <c r="B39" s="236" t="s">
        <v>390</v>
      </c>
      <c r="C39" s="242" t="s">
        <v>336</v>
      </c>
      <c r="D39" s="236">
        <f>E39</f>
        <v>0</v>
      </c>
      <c r="E39" s="236">
        <v>0</v>
      </c>
      <c r="F39" s="236">
        <v>19072000</v>
      </c>
      <c r="G39" s="240" t="s">
        <v>346</v>
      </c>
      <c r="H39" s="228"/>
      <c r="I39" s="256" t="s">
        <v>368</v>
      </c>
      <c r="J39" s="236">
        <v>19072000</v>
      </c>
      <c r="K39" s="236"/>
      <c r="L39" s="236"/>
      <c r="M39" s="236"/>
      <c r="N39" s="236"/>
      <c r="O39" s="236"/>
      <c r="P39" s="236">
        <f t="shared" si="0"/>
        <v>0</v>
      </c>
      <c r="Q39" s="260"/>
      <c r="R39" s="228" t="s">
        <v>338</v>
      </c>
    </row>
    <row r="40" spans="1:18" x14ac:dyDescent="0.3">
      <c r="A40" s="241" t="s">
        <v>344</v>
      </c>
      <c r="B40" s="236" t="s">
        <v>391</v>
      </c>
      <c r="C40" s="242" t="s">
        <v>336</v>
      </c>
      <c r="D40" s="236">
        <f>E40</f>
        <v>0</v>
      </c>
      <c r="E40" s="236"/>
      <c r="F40" s="236">
        <v>17414511.719999999</v>
      </c>
      <c r="G40" s="240" t="s">
        <v>346</v>
      </c>
      <c r="H40" s="228"/>
      <c r="I40" s="256" t="s">
        <v>368</v>
      </c>
      <c r="J40" s="236">
        <v>17414511.719999999</v>
      </c>
      <c r="K40" s="236"/>
      <c r="L40" s="236"/>
      <c r="M40" s="236"/>
      <c r="N40" s="236"/>
      <c r="O40" s="236"/>
      <c r="P40" s="236">
        <f t="shared" si="0"/>
        <v>0</v>
      </c>
      <c r="Q40" s="260"/>
      <c r="R40" s="251" t="s">
        <v>338</v>
      </c>
    </row>
    <row r="41" spans="1:18" hidden="1" x14ac:dyDescent="0.3">
      <c r="A41" s="233" t="s">
        <v>334</v>
      </c>
      <c r="B41" s="234" t="s">
        <v>392</v>
      </c>
      <c r="C41" s="234"/>
      <c r="D41" s="236">
        <v>13644888.890000001</v>
      </c>
      <c r="E41" s="237">
        <v>13644888.890000001</v>
      </c>
      <c r="F41" s="237">
        <v>13750000</v>
      </c>
      <c r="G41" s="240" t="s">
        <v>340</v>
      </c>
      <c r="H41" s="228" t="s">
        <v>341</v>
      </c>
      <c r="I41" s="256" t="s">
        <v>342</v>
      </c>
      <c r="J41" s="237">
        <v>105111.109999999</v>
      </c>
      <c r="K41" s="237">
        <v>13644888.890000001</v>
      </c>
      <c r="L41" s="237" t="s">
        <v>343</v>
      </c>
      <c r="M41" s="237" t="s">
        <v>343</v>
      </c>
      <c r="N41" s="237" t="s">
        <v>343</v>
      </c>
      <c r="O41" s="237" t="s">
        <v>343</v>
      </c>
      <c r="P41" s="236">
        <f t="shared" si="0"/>
        <v>0</v>
      </c>
      <c r="Q41" s="260"/>
      <c r="R41" s="251" t="s">
        <v>338</v>
      </c>
    </row>
    <row r="42" spans="1:18" x14ac:dyDescent="0.3">
      <c r="A42" s="241" t="s">
        <v>344</v>
      </c>
      <c r="B42" s="242" t="s">
        <v>393</v>
      </c>
      <c r="C42" s="242"/>
      <c r="D42" s="236">
        <f>E42</f>
        <v>12842760</v>
      </c>
      <c r="E42" s="236">
        <v>12842760</v>
      </c>
      <c r="F42" s="236">
        <v>12842760</v>
      </c>
      <c r="G42" s="240" t="s">
        <v>346</v>
      </c>
      <c r="H42" s="228"/>
      <c r="I42" s="256" t="s">
        <v>337</v>
      </c>
      <c r="J42" s="236"/>
      <c r="K42" s="236"/>
      <c r="L42" s="236">
        <v>12842760</v>
      </c>
      <c r="M42" s="236"/>
      <c r="N42" s="236"/>
      <c r="O42" s="236"/>
      <c r="P42" s="236">
        <f>SUBTOTAL(9,J42:O42)-F42</f>
        <v>0</v>
      </c>
      <c r="Q42" s="260"/>
      <c r="R42" s="251" t="s">
        <v>338</v>
      </c>
    </row>
    <row r="43" spans="1:18" x14ac:dyDescent="0.3">
      <c r="A43" s="241" t="s">
        <v>344</v>
      </c>
      <c r="B43" s="236" t="s">
        <v>394</v>
      </c>
      <c r="C43" s="236"/>
      <c r="D43" s="236">
        <f>E43</f>
        <v>12193532.460000001</v>
      </c>
      <c r="E43" s="236">
        <v>12193532.460000001</v>
      </c>
      <c r="F43" s="236">
        <v>12193532.460000001</v>
      </c>
      <c r="G43" s="240" t="s">
        <v>346</v>
      </c>
      <c r="H43" s="228"/>
      <c r="I43" s="256" t="s">
        <v>368</v>
      </c>
      <c r="J43" s="236"/>
      <c r="K43" s="236"/>
      <c r="L43" s="236"/>
      <c r="M43" s="236"/>
      <c r="N43" s="236"/>
      <c r="O43" s="236">
        <v>12193532.460000001</v>
      </c>
      <c r="P43" s="236">
        <f t="shared" ref="P43:P106" si="1">F43-SUM(J43:O43)</f>
        <v>0</v>
      </c>
      <c r="Q43" s="260"/>
      <c r="R43" s="251" t="s">
        <v>338</v>
      </c>
    </row>
    <row r="44" spans="1:18" x14ac:dyDescent="0.3">
      <c r="A44" s="241" t="s">
        <v>344</v>
      </c>
      <c r="B44" s="236" t="s">
        <v>395</v>
      </c>
      <c r="C44" s="236"/>
      <c r="D44" s="236">
        <f>E44</f>
        <v>19692500.879999999</v>
      </c>
      <c r="E44" s="252">
        <v>19692500.879999999</v>
      </c>
      <c r="F44" s="252">
        <v>11810140</v>
      </c>
      <c r="G44" s="240" t="s">
        <v>346</v>
      </c>
      <c r="H44" s="228"/>
      <c r="I44" s="256" t="s">
        <v>337</v>
      </c>
      <c r="J44" s="236"/>
      <c r="K44" s="236">
        <v>4527060</v>
      </c>
      <c r="L44" s="236">
        <v>7283080</v>
      </c>
      <c r="M44" s="236"/>
      <c r="N44" s="236"/>
      <c r="O44" s="236"/>
      <c r="P44" s="236">
        <f t="shared" si="1"/>
        <v>0</v>
      </c>
      <c r="Q44" s="260"/>
      <c r="R44" s="251" t="s">
        <v>396</v>
      </c>
    </row>
    <row r="45" spans="1:18" x14ac:dyDescent="0.3">
      <c r="A45" s="241" t="s">
        <v>344</v>
      </c>
      <c r="B45" s="236" t="s">
        <v>397</v>
      </c>
      <c r="C45" s="236"/>
      <c r="D45" s="236">
        <f>E45</f>
        <v>9492481.2300000004</v>
      </c>
      <c r="E45" s="236">
        <v>9492481.2300000004</v>
      </c>
      <c r="F45" s="236">
        <v>10628047.27</v>
      </c>
      <c r="G45" s="240" t="s">
        <v>346</v>
      </c>
      <c r="H45" s="228"/>
      <c r="I45" s="256" t="s">
        <v>368</v>
      </c>
      <c r="J45" s="236">
        <v>1135566.04</v>
      </c>
      <c r="K45" s="236">
        <v>257068.65</v>
      </c>
      <c r="L45" s="236"/>
      <c r="M45" s="236"/>
      <c r="N45" s="236"/>
      <c r="O45" s="236">
        <v>9235412.5800000001</v>
      </c>
      <c r="P45" s="236">
        <f t="shared" si="1"/>
        <v>0</v>
      </c>
      <c r="Q45" s="260"/>
      <c r="R45" s="251" t="s">
        <v>338</v>
      </c>
    </row>
    <row r="46" spans="1:18" x14ac:dyDescent="0.3">
      <c r="A46" s="233" t="s">
        <v>334</v>
      </c>
      <c r="B46" s="234" t="s">
        <v>398</v>
      </c>
      <c r="C46" s="235" t="s">
        <v>336</v>
      </c>
      <c r="D46" s="236">
        <v>9850000</v>
      </c>
      <c r="E46" s="237">
        <v>9850000</v>
      </c>
      <c r="F46" s="237">
        <v>10528000</v>
      </c>
      <c r="G46" s="238"/>
      <c r="H46" s="228"/>
      <c r="I46" s="256" t="s">
        <v>337</v>
      </c>
      <c r="J46" s="237">
        <v>678000</v>
      </c>
      <c r="K46" s="237">
        <v>500000</v>
      </c>
      <c r="L46" s="237">
        <v>2400000</v>
      </c>
      <c r="M46" s="237">
        <v>6950000</v>
      </c>
      <c r="N46" s="237"/>
      <c r="O46" s="237"/>
      <c r="P46" s="236">
        <f t="shared" si="1"/>
        <v>0</v>
      </c>
      <c r="Q46" s="260"/>
      <c r="R46" s="251" t="s">
        <v>338</v>
      </c>
    </row>
    <row r="47" spans="1:18" hidden="1" x14ac:dyDescent="0.3">
      <c r="A47" s="233" t="s">
        <v>334</v>
      </c>
      <c r="B47" s="234" t="s">
        <v>399</v>
      </c>
      <c r="C47" s="234"/>
      <c r="D47" s="236">
        <v>0</v>
      </c>
      <c r="E47" s="237"/>
      <c r="F47" s="237">
        <v>10500000</v>
      </c>
      <c r="G47" s="240" t="s">
        <v>340</v>
      </c>
      <c r="H47" s="228" t="s">
        <v>341</v>
      </c>
      <c r="I47" s="256" t="s">
        <v>342</v>
      </c>
      <c r="J47" s="237">
        <v>10500000</v>
      </c>
      <c r="K47" s="237"/>
      <c r="L47" s="237"/>
      <c r="M47" s="237"/>
      <c r="N47" s="237"/>
      <c r="O47" s="237"/>
      <c r="P47" s="236">
        <f t="shared" si="1"/>
        <v>0</v>
      </c>
      <c r="Q47" s="260"/>
      <c r="R47" s="251" t="s">
        <v>338</v>
      </c>
    </row>
    <row r="48" spans="1:18" x14ac:dyDescent="0.3">
      <c r="A48" s="241" t="s">
        <v>344</v>
      </c>
      <c r="B48" s="236" t="s">
        <v>400</v>
      </c>
      <c r="C48" s="236"/>
      <c r="D48" s="236">
        <f>E48</f>
        <v>10000000</v>
      </c>
      <c r="E48" s="236">
        <v>10000000</v>
      </c>
      <c r="F48" s="236">
        <v>10000000</v>
      </c>
      <c r="G48" s="240" t="s">
        <v>346</v>
      </c>
      <c r="H48" s="228"/>
      <c r="I48" s="256" t="s">
        <v>368</v>
      </c>
      <c r="J48" s="236"/>
      <c r="K48" s="236">
        <v>10000000</v>
      </c>
      <c r="L48" s="236"/>
      <c r="M48" s="236"/>
      <c r="N48" s="236"/>
      <c r="O48" s="236"/>
      <c r="P48" s="236">
        <f t="shared" si="1"/>
        <v>0</v>
      </c>
      <c r="Q48" s="260"/>
      <c r="R48" s="251" t="s">
        <v>338</v>
      </c>
    </row>
    <row r="49" spans="1:18" ht="13.9" x14ac:dyDescent="0.3">
      <c r="A49" s="233" t="s">
        <v>355</v>
      </c>
      <c r="B49" s="245" t="s">
        <v>365</v>
      </c>
      <c r="C49" s="244" t="s">
        <v>362</v>
      </c>
      <c r="D49" s="236">
        <f>E49</f>
        <v>0</v>
      </c>
      <c r="E49" s="237"/>
      <c r="F49" s="237">
        <v>10000000</v>
      </c>
      <c r="G49" s="240"/>
      <c r="H49" s="228"/>
      <c r="I49" s="257" t="s">
        <v>337</v>
      </c>
      <c r="J49" s="237">
        <v>10000000</v>
      </c>
      <c r="K49" s="237"/>
      <c r="L49" s="237"/>
      <c r="M49" s="237"/>
      <c r="N49" s="237"/>
      <c r="O49" s="237"/>
      <c r="P49" s="236">
        <f t="shared" si="1"/>
        <v>0</v>
      </c>
      <c r="Q49" s="260"/>
      <c r="R49" s="251" t="s">
        <v>338</v>
      </c>
    </row>
    <row r="50" spans="1:18" hidden="1" x14ac:dyDescent="0.3">
      <c r="A50" s="233" t="s">
        <v>350</v>
      </c>
      <c r="B50" s="243" t="s">
        <v>401</v>
      </c>
      <c r="C50" s="243"/>
      <c r="D50" s="236">
        <f>E50</f>
        <v>4212163.05</v>
      </c>
      <c r="E50" s="236">
        <v>4212163.05</v>
      </c>
      <c r="F50" s="236">
        <v>8738235.6300000008</v>
      </c>
      <c r="G50" s="240" t="s">
        <v>340</v>
      </c>
      <c r="H50" s="228" t="s">
        <v>341</v>
      </c>
      <c r="I50" s="256" t="s">
        <v>352</v>
      </c>
      <c r="J50" s="236">
        <v>8738235.6300000008</v>
      </c>
      <c r="K50" s="236"/>
      <c r="L50" s="236"/>
      <c r="M50" s="236"/>
      <c r="N50" s="236"/>
      <c r="O50" s="236"/>
      <c r="P50" s="236">
        <f t="shared" si="1"/>
        <v>0</v>
      </c>
      <c r="Q50" s="260"/>
      <c r="R50" s="228" t="s">
        <v>338</v>
      </c>
    </row>
    <row r="51" spans="1:18" x14ac:dyDescent="0.3">
      <c r="A51" s="241" t="s">
        <v>344</v>
      </c>
      <c r="B51" s="236" t="s">
        <v>402</v>
      </c>
      <c r="C51" s="236"/>
      <c r="D51" s="236">
        <f>E51</f>
        <v>13831459</v>
      </c>
      <c r="E51" s="236">
        <v>13831459</v>
      </c>
      <c r="F51" s="236">
        <v>6424851.4400000004</v>
      </c>
      <c r="G51" s="240" t="s">
        <v>346</v>
      </c>
      <c r="H51" s="228"/>
      <c r="I51" s="256" t="s">
        <v>368</v>
      </c>
      <c r="J51" s="236"/>
      <c r="K51" s="236"/>
      <c r="L51" s="236">
        <v>6424851.4400000004</v>
      </c>
      <c r="M51" s="236"/>
      <c r="N51" s="236"/>
      <c r="O51" s="236"/>
      <c r="P51" s="236">
        <f t="shared" si="1"/>
        <v>0</v>
      </c>
      <c r="Q51" s="260"/>
      <c r="R51" s="228" t="s">
        <v>338</v>
      </c>
    </row>
    <row r="52" spans="1:18" x14ac:dyDescent="0.3">
      <c r="A52" s="241" t="s">
        <v>344</v>
      </c>
      <c r="B52" s="236" t="s">
        <v>393</v>
      </c>
      <c r="C52" s="255" t="s">
        <v>362</v>
      </c>
      <c r="D52" s="236">
        <f>E52</f>
        <v>6171600</v>
      </c>
      <c r="E52" s="236">
        <v>6171600</v>
      </c>
      <c r="F52" s="236">
        <v>6171600</v>
      </c>
      <c r="G52" s="240" t="s">
        <v>346</v>
      </c>
      <c r="H52" s="228"/>
      <c r="I52" s="256" t="s">
        <v>337</v>
      </c>
      <c r="J52" s="236"/>
      <c r="K52" s="236"/>
      <c r="L52" s="236">
        <v>6171600</v>
      </c>
      <c r="M52" s="236"/>
      <c r="N52" s="236"/>
      <c r="O52" s="236"/>
      <c r="P52" s="236">
        <f t="shared" si="1"/>
        <v>0</v>
      </c>
      <c r="Q52" s="260"/>
      <c r="R52" s="228" t="s">
        <v>338</v>
      </c>
    </row>
    <row r="53" spans="1:18" x14ac:dyDescent="0.3">
      <c r="A53" s="233" t="s">
        <v>334</v>
      </c>
      <c r="B53" s="234" t="s">
        <v>403</v>
      </c>
      <c r="C53" s="235" t="s">
        <v>362</v>
      </c>
      <c r="D53" s="236">
        <v>6000000</v>
      </c>
      <c r="E53" s="237">
        <v>6000000</v>
      </c>
      <c r="F53" s="237">
        <v>6000000</v>
      </c>
      <c r="G53" s="240"/>
      <c r="H53" s="228"/>
      <c r="I53" s="257" t="s">
        <v>337</v>
      </c>
      <c r="J53" s="237"/>
      <c r="K53" s="237" t="s">
        <v>343</v>
      </c>
      <c r="L53" s="237">
        <v>6000000</v>
      </c>
      <c r="M53" s="237" t="s">
        <v>343</v>
      </c>
      <c r="N53" s="237" t="s">
        <v>343</v>
      </c>
      <c r="O53" s="237" t="s">
        <v>343</v>
      </c>
      <c r="P53" s="236">
        <f t="shared" si="1"/>
        <v>0</v>
      </c>
      <c r="Q53" s="260"/>
      <c r="R53" s="251" t="s">
        <v>338</v>
      </c>
    </row>
    <row r="54" spans="1:18" x14ac:dyDescent="0.3">
      <c r="A54" s="233" t="s">
        <v>334</v>
      </c>
      <c r="B54" s="234" t="s">
        <v>404</v>
      </c>
      <c r="C54" s="235" t="s">
        <v>336</v>
      </c>
      <c r="D54" s="236">
        <v>5900000</v>
      </c>
      <c r="E54" s="237">
        <v>5900000</v>
      </c>
      <c r="F54" s="237">
        <v>5900000</v>
      </c>
      <c r="G54" s="238"/>
      <c r="H54" s="228"/>
      <c r="I54" s="256" t="s">
        <v>337</v>
      </c>
      <c r="J54" s="237"/>
      <c r="K54" s="237">
        <v>5900000</v>
      </c>
      <c r="L54" s="237" t="s">
        <v>343</v>
      </c>
      <c r="M54" s="237" t="s">
        <v>343</v>
      </c>
      <c r="N54" s="237" t="s">
        <v>343</v>
      </c>
      <c r="O54" s="237" t="s">
        <v>343</v>
      </c>
      <c r="P54" s="236">
        <f t="shared" si="1"/>
        <v>0</v>
      </c>
      <c r="Q54" s="260"/>
      <c r="R54" s="251" t="s">
        <v>338</v>
      </c>
    </row>
    <row r="55" spans="1:18" x14ac:dyDescent="0.3">
      <c r="A55" s="233" t="s">
        <v>334</v>
      </c>
      <c r="B55" s="234" t="s">
        <v>405</v>
      </c>
      <c r="C55" s="235" t="s">
        <v>362</v>
      </c>
      <c r="D55" s="236">
        <v>23400000</v>
      </c>
      <c r="E55" s="237">
        <v>23400000</v>
      </c>
      <c r="F55" s="237">
        <v>5400000</v>
      </c>
      <c r="G55" s="240" t="s">
        <v>340</v>
      </c>
      <c r="H55" s="228" t="s">
        <v>384</v>
      </c>
      <c r="I55" s="256" t="s">
        <v>384</v>
      </c>
      <c r="J55" s="237"/>
      <c r="K55" s="237">
        <v>5400000</v>
      </c>
      <c r="L55" s="237" t="s">
        <v>343</v>
      </c>
      <c r="M55" s="237"/>
      <c r="N55" s="237" t="s">
        <v>343</v>
      </c>
      <c r="O55" s="237" t="s">
        <v>343</v>
      </c>
      <c r="P55" s="236">
        <f t="shared" si="1"/>
        <v>0</v>
      </c>
      <c r="Q55" s="260"/>
      <c r="R55" s="251" t="s">
        <v>338</v>
      </c>
    </row>
    <row r="56" spans="1:18" x14ac:dyDescent="0.3">
      <c r="A56" s="241" t="s">
        <v>344</v>
      </c>
      <c r="B56" s="236" t="s">
        <v>406</v>
      </c>
      <c r="C56" s="242" t="s">
        <v>362</v>
      </c>
      <c r="D56" s="236">
        <f>E56</f>
        <v>2029400</v>
      </c>
      <c r="E56" s="236">
        <v>2029400</v>
      </c>
      <c r="F56" s="236">
        <v>4315100</v>
      </c>
      <c r="G56" s="240" t="s">
        <v>346</v>
      </c>
      <c r="H56" s="228"/>
      <c r="I56" s="256" t="s">
        <v>337</v>
      </c>
      <c r="J56" s="236">
        <v>2285700</v>
      </c>
      <c r="K56" s="236"/>
      <c r="L56" s="236"/>
      <c r="M56" s="236">
        <v>2029400</v>
      </c>
      <c r="N56" s="236"/>
      <c r="O56" s="236"/>
      <c r="P56" s="236">
        <f t="shared" si="1"/>
        <v>0</v>
      </c>
      <c r="Q56" s="260"/>
      <c r="R56" s="228" t="s">
        <v>338</v>
      </c>
    </row>
    <row r="57" spans="1:18" x14ac:dyDescent="0.3">
      <c r="A57" s="241" t="s">
        <v>344</v>
      </c>
      <c r="B57" s="236" t="s">
        <v>407</v>
      </c>
      <c r="C57" s="236"/>
      <c r="D57" s="236">
        <f>E57</f>
        <v>0</v>
      </c>
      <c r="E57" s="236"/>
      <c r="F57" s="236">
        <v>3951098.92</v>
      </c>
      <c r="G57" s="240" t="s">
        <v>346</v>
      </c>
      <c r="H57" s="228"/>
      <c r="I57" s="256" t="s">
        <v>368</v>
      </c>
      <c r="J57" s="236">
        <v>3951098.92</v>
      </c>
      <c r="K57" s="236"/>
      <c r="L57" s="236"/>
      <c r="M57" s="236"/>
      <c r="N57" s="236"/>
      <c r="O57" s="236"/>
      <c r="P57" s="236">
        <f t="shared" si="1"/>
        <v>0</v>
      </c>
      <c r="Q57" s="260"/>
      <c r="R57" s="251" t="s">
        <v>338</v>
      </c>
    </row>
    <row r="58" spans="1:18" hidden="1" x14ac:dyDescent="0.3">
      <c r="A58" s="233" t="s">
        <v>350</v>
      </c>
      <c r="B58" s="236" t="s">
        <v>408</v>
      </c>
      <c r="C58" s="236"/>
      <c r="D58" s="236">
        <f>E58</f>
        <v>0</v>
      </c>
      <c r="E58" s="236"/>
      <c r="F58" s="236">
        <v>3910099.8</v>
      </c>
      <c r="G58" s="240" t="s">
        <v>340</v>
      </c>
      <c r="H58" s="228" t="s">
        <v>341</v>
      </c>
      <c r="I58" s="256" t="s">
        <v>352</v>
      </c>
      <c r="J58" s="236">
        <v>3910099.8</v>
      </c>
      <c r="K58" s="236"/>
      <c r="L58" s="236"/>
      <c r="M58" s="236"/>
      <c r="N58" s="236"/>
      <c r="O58" s="236"/>
      <c r="P58" s="236">
        <f t="shared" si="1"/>
        <v>0</v>
      </c>
      <c r="Q58" s="256"/>
      <c r="R58" s="228" t="s">
        <v>338</v>
      </c>
    </row>
    <row r="59" spans="1:18" hidden="1" x14ac:dyDescent="0.3">
      <c r="A59" s="233" t="s">
        <v>350</v>
      </c>
      <c r="B59" s="243" t="s">
        <v>409</v>
      </c>
      <c r="C59" s="243"/>
      <c r="D59" s="236">
        <f>E59</f>
        <v>4352567.6500000004</v>
      </c>
      <c r="E59" s="236">
        <v>4352567.6500000004</v>
      </c>
      <c r="F59" s="236">
        <v>3574158.74</v>
      </c>
      <c r="G59" s="240" t="s">
        <v>340</v>
      </c>
      <c r="H59" s="228" t="s">
        <v>341</v>
      </c>
      <c r="I59" s="256" t="s">
        <v>352</v>
      </c>
      <c r="J59" s="236">
        <v>3574158.74</v>
      </c>
      <c r="K59" s="236"/>
      <c r="L59" s="236"/>
      <c r="M59" s="236"/>
      <c r="N59" s="236"/>
      <c r="O59" s="236"/>
      <c r="P59" s="236">
        <f t="shared" si="1"/>
        <v>0</v>
      </c>
      <c r="Q59" s="260"/>
      <c r="R59" s="228" t="s">
        <v>338</v>
      </c>
    </row>
    <row r="60" spans="1:18" x14ac:dyDescent="0.3">
      <c r="A60" s="241" t="s">
        <v>344</v>
      </c>
      <c r="B60" s="236" t="s">
        <v>410</v>
      </c>
      <c r="C60" s="236"/>
      <c r="D60" s="236">
        <f>E60</f>
        <v>6205520</v>
      </c>
      <c r="E60" s="252">
        <v>6205520</v>
      </c>
      <c r="F60" s="252">
        <v>3438200</v>
      </c>
      <c r="G60" s="240" t="s">
        <v>346</v>
      </c>
      <c r="H60" s="228"/>
      <c r="I60" s="256" t="s">
        <v>337</v>
      </c>
      <c r="J60" s="236"/>
      <c r="K60" s="236"/>
      <c r="L60" s="236">
        <v>3438200</v>
      </c>
      <c r="M60" s="236"/>
      <c r="N60" s="236"/>
      <c r="O60" s="236"/>
      <c r="P60" s="236">
        <f t="shared" si="1"/>
        <v>0</v>
      </c>
      <c r="Q60" s="260"/>
      <c r="R60" s="251" t="s">
        <v>396</v>
      </c>
    </row>
    <row r="61" spans="1:18" x14ac:dyDescent="0.3">
      <c r="A61" s="233" t="s">
        <v>334</v>
      </c>
      <c r="B61" s="234" t="s">
        <v>411</v>
      </c>
      <c r="C61" s="235" t="s">
        <v>362</v>
      </c>
      <c r="D61" s="236">
        <v>0</v>
      </c>
      <c r="E61" s="237"/>
      <c r="F61" s="237">
        <v>3283092.65</v>
      </c>
      <c r="G61" s="240"/>
      <c r="H61" s="228"/>
      <c r="I61" s="257" t="s">
        <v>337</v>
      </c>
      <c r="J61" s="237">
        <v>3283092.65</v>
      </c>
      <c r="K61" s="237"/>
      <c r="L61" s="237"/>
      <c r="M61" s="237"/>
      <c r="N61" s="237"/>
      <c r="O61" s="237"/>
      <c r="P61" s="236">
        <f t="shared" si="1"/>
        <v>0</v>
      </c>
      <c r="Q61" s="260"/>
      <c r="R61" s="228" t="s">
        <v>338</v>
      </c>
    </row>
    <row r="62" spans="1:18" x14ac:dyDescent="0.3">
      <c r="A62" s="241" t="s">
        <v>344</v>
      </c>
      <c r="B62" s="236" t="s">
        <v>406</v>
      </c>
      <c r="C62" s="255" t="s">
        <v>362</v>
      </c>
      <c r="D62" s="236">
        <f>E62</f>
        <v>3132820</v>
      </c>
      <c r="E62" s="236">
        <v>3132820</v>
      </c>
      <c r="F62" s="236">
        <v>3132820</v>
      </c>
      <c r="G62" s="240" t="s">
        <v>346</v>
      </c>
      <c r="H62" s="228"/>
      <c r="I62" s="256" t="s">
        <v>337</v>
      </c>
      <c r="J62" s="236"/>
      <c r="K62" s="236"/>
      <c r="L62" s="236">
        <v>3132820</v>
      </c>
      <c r="M62" s="236"/>
      <c r="N62" s="236"/>
      <c r="O62" s="236"/>
      <c r="P62" s="236">
        <f t="shared" si="1"/>
        <v>0</v>
      </c>
      <c r="Q62" s="260"/>
      <c r="R62" s="228" t="s">
        <v>338</v>
      </c>
    </row>
    <row r="63" spans="1:18" x14ac:dyDescent="0.3">
      <c r="A63" s="241" t="s">
        <v>344</v>
      </c>
      <c r="B63" s="236" t="s">
        <v>412</v>
      </c>
      <c r="C63" s="235" t="s">
        <v>336</v>
      </c>
      <c r="D63" s="236">
        <f>E63</f>
        <v>2937000</v>
      </c>
      <c r="E63" s="236">
        <v>2937000</v>
      </c>
      <c r="F63" s="236">
        <v>2937000</v>
      </c>
      <c r="G63" s="240" t="s">
        <v>346</v>
      </c>
      <c r="H63" s="228"/>
      <c r="I63" s="256" t="s">
        <v>337</v>
      </c>
      <c r="J63" s="236"/>
      <c r="K63" s="236"/>
      <c r="L63" s="236">
        <v>2937000</v>
      </c>
      <c r="M63" s="236"/>
      <c r="N63" s="236"/>
      <c r="O63" s="236"/>
      <c r="P63" s="236">
        <f t="shared" si="1"/>
        <v>0</v>
      </c>
      <c r="Q63" s="260"/>
      <c r="R63" s="251" t="s">
        <v>338</v>
      </c>
    </row>
    <row r="64" spans="1:18" x14ac:dyDescent="0.3">
      <c r="A64" s="233" t="s">
        <v>334</v>
      </c>
      <c r="B64" s="234" t="s">
        <v>413</v>
      </c>
      <c r="C64" s="235" t="s">
        <v>336</v>
      </c>
      <c r="D64" s="236">
        <v>2880000</v>
      </c>
      <c r="E64" s="237">
        <v>2880000</v>
      </c>
      <c r="F64" s="237">
        <v>2893000</v>
      </c>
      <c r="G64" s="238"/>
      <c r="H64" s="228"/>
      <c r="I64" s="256" t="s">
        <v>368</v>
      </c>
      <c r="J64" s="237">
        <v>2253000</v>
      </c>
      <c r="K64" s="237">
        <v>640000</v>
      </c>
      <c r="L64" s="237" t="s">
        <v>343</v>
      </c>
      <c r="M64" s="237" t="s">
        <v>343</v>
      </c>
      <c r="N64" s="237" t="s">
        <v>343</v>
      </c>
      <c r="O64" s="237" t="s">
        <v>343</v>
      </c>
      <c r="P64" s="236">
        <f t="shared" si="1"/>
        <v>0</v>
      </c>
      <c r="Q64" s="260"/>
      <c r="R64" s="251" t="s">
        <v>396</v>
      </c>
    </row>
    <row r="65" spans="1:18" x14ac:dyDescent="0.3">
      <c r="A65" s="233" t="s">
        <v>360</v>
      </c>
      <c r="B65" s="234" t="s">
        <v>414</v>
      </c>
      <c r="C65" s="234"/>
      <c r="D65" s="236">
        <f t="shared" ref="D65:D70" si="2">E65</f>
        <v>2775100</v>
      </c>
      <c r="E65" s="237">
        <v>2775100</v>
      </c>
      <c r="F65" s="237">
        <v>2775100</v>
      </c>
      <c r="G65" s="240" t="s">
        <v>340</v>
      </c>
      <c r="H65" s="228" t="s">
        <v>415</v>
      </c>
      <c r="I65" s="256" t="s">
        <v>415</v>
      </c>
      <c r="J65" s="237"/>
      <c r="K65" s="237" t="s">
        <v>363</v>
      </c>
      <c r="L65" s="237"/>
      <c r="M65" s="237" t="s">
        <v>363</v>
      </c>
      <c r="N65" s="237" t="s">
        <v>363</v>
      </c>
      <c r="O65" s="237">
        <v>2775100</v>
      </c>
      <c r="P65" s="236">
        <f t="shared" si="1"/>
        <v>0</v>
      </c>
      <c r="Q65" s="260"/>
      <c r="R65" s="251" t="s">
        <v>338</v>
      </c>
    </row>
    <row r="66" spans="1:18" x14ac:dyDescent="0.3">
      <c r="A66" s="241" t="s">
        <v>344</v>
      </c>
      <c r="B66" s="236" t="s">
        <v>393</v>
      </c>
      <c r="C66" s="236"/>
      <c r="D66" s="236">
        <f t="shared" si="2"/>
        <v>2642993.69</v>
      </c>
      <c r="E66" s="236">
        <v>2642993.69</v>
      </c>
      <c r="F66" s="236">
        <v>2642993.69</v>
      </c>
      <c r="G66" s="240" t="s">
        <v>346</v>
      </c>
      <c r="H66" s="228"/>
      <c r="I66" s="256" t="s">
        <v>337</v>
      </c>
      <c r="J66" s="236"/>
      <c r="K66" s="236"/>
      <c r="L66" s="236"/>
      <c r="M66" s="236"/>
      <c r="N66" s="236">
        <v>2642993.69</v>
      </c>
      <c r="O66" s="236"/>
      <c r="P66" s="236">
        <f t="shared" si="1"/>
        <v>0</v>
      </c>
      <c r="Q66" s="260"/>
      <c r="R66" s="228" t="s">
        <v>338</v>
      </c>
    </row>
    <row r="67" spans="1:18" x14ac:dyDescent="0.3">
      <c r="A67" s="241" t="s">
        <v>344</v>
      </c>
      <c r="B67" s="236" t="s">
        <v>416</v>
      </c>
      <c r="C67" s="236"/>
      <c r="D67" s="236">
        <f t="shared" si="2"/>
        <v>0</v>
      </c>
      <c r="E67" s="236"/>
      <c r="F67" s="236">
        <v>2571090</v>
      </c>
      <c r="G67" s="240" t="s">
        <v>346</v>
      </c>
      <c r="H67" s="228"/>
      <c r="I67" s="256" t="s">
        <v>368</v>
      </c>
      <c r="J67" s="236">
        <v>2571090</v>
      </c>
      <c r="K67" s="236"/>
      <c r="L67" s="236"/>
      <c r="M67" s="236"/>
      <c r="N67" s="236"/>
      <c r="O67" s="236"/>
      <c r="P67" s="236">
        <f t="shared" si="1"/>
        <v>0</v>
      </c>
      <c r="Q67" s="260"/>
      <c r="R67" s="251" t="s">
        <v>338</v>
      </c>
    </row>
    <row r="68" spans="1:18" x14ac:dyDescent="0.3">
      <c r="A68" s="241" t="s">
        <v>344</v>
      </c>
      <c r="B68" s="236" t="s">
        <v>417</v>
      </c>
      <c r="C68" s="236"/>
      <c r="D68" s="236">
        <f t="shared" si="2"/>
        <v>0</v>
      </c>
      <c r="E68" s="236">
        <v>0</v>
      </c>
      <c r="F68" s="236">
        <v>2569886</v>
      </c>
      <c r="G68" s="240" t="s">
        <v>346</v>
      </c>
      <c r="H68" s="228"/>
      <c r="I68" s="256" t="s">
        <v>368</v>
      </c>
      <c r="J68" s="236">
        <v>2569886</v>
      </c>
      <c r="K68" s="236"/>
      <c r="L68" s="236"/>
      <c r="M68" s="236"/>
      <c r="N68" s="236"/>
      <c r="O68" s="236"/>
      <c r="P68" s="236">
        <f t="shared" si="1"/>
        <v>0</v>
      </c>
      <c r="Q68" s="260"/>
      <c r="R68" s="228" t="s">
        <v>338</v>
      </c>
    </row>
    <row r="69" spans="1:18" x14ac:dyDescent="0.3">
      <c r="A69" s="241" t="s">
        <v>344</v>
      </c>
      <c r="B69" s="236" t="s">
        <v>418</v>
      </c>
      <c r="C69" s="236"/>
      <c r="D69" s="236">
        <f t="shared" si="2"/>
        <v>2177950.38</v>
      </c>
      <c r="E69" s="236">
        <v>2177950.38</v>
      </c>
      <c r="F69" s="236">
        <v>2177950.38</v>
      </c>
      <c r="G69" s="240" t="s">
        <v>346</v>
      </c>
      <c r="H69" s="228"/>
      <c r="I69" s="256" t="s">
        <v>368</v>
      </c>
      <c r="J69" s="236"/>
      <c r="K69" s="236"/>
      <c r="L69" s="236">
        <v>2177950.38</v>
      </c>
      <c r="M69" s="236"/>
      <c r="N69" s="236"/>
      <c r="O69" s="236"/>
      <c r="P69" s="236">
        <f t="shared" si="1"/>
        <v>0</v>
      </c>
      <c r="Q69" s="260"/>
      <c r="R69" s="251" t="s">
        <v>338</v>
      </c>
    </row>
    <row r="70" spans="1:18" x14ac:dyDescent="0.3">
      <c r="A70" s="241" t="s">
        <v>344</v>
      </c>
      <c r="B70" s="236" t="s">
        <v>419</v>
      </c>
      <c r="C70" s="236"/>
      <c r="D70" s="236">
        <f t="shared" si="2"/>
        <v>2154994.29</v>
      </c>
      <c r="E70" s="236">
        <v>2154994.29</v>
      </c>
      <c r="F70" s="236">
        <v>2162672.7200000002</v>
      </c>
      <c r="G70" s="240" t="s">
        <v>346</v>
      </c>
      <c r="H70" s="228"/>
      <c r="I70" s="256" t="s">
        <v>368</v>
      </c>
      <c r="J70" s="236">
        <v>7678.4300000001704</v>
      </c>
      <c r="K70" s="236"/>
      <c r="L70" s="236">
        <v>54994.29</v>
      </c>
      <c r="M70" s="236"/>
      <c r="N70" s="236"/>
      <c r="O70" s="236">
        <v>2100000</v>
      </c>
      <c r="P70" s="236">
        <f t="shared" si="1"/>
        <v>0</v>
      </c>
      <c r="Q70" s="260"/>
      <c r="R70" s="228" t="s">
        <v>338</v>
      </c>
    </row>
    <row r="71" spans="1:18" x14ac:dyDescent="0.3">
      <c r="A71" s="233" t="s">
        <v>334</v>
      </c>
      <c r="B71" s="236" t="s">
        <v>420</v>
      </c>
      <c r="C71" s="235" t="s">
        <v>336</v>
      </c>
      <c r="D71" s="236">
        <v>2100000</v>
      </c>
      <c r="E71" s="236">
        <v>2100000</v>
      </c>
      <c r="F71" s="236">
        <v>2100000</v>
      </c>
      <c r="G71" s="240"/>
      <c r="H71" s="228"/>
      <c r="I71" s="256" t="s">
        <v>337</v>
      </c>
      <c r="J71" s="236"/>
      <c r="K71" s="236" t="s">
        <v>343</v>
      </c>
      <c r="L71" s="236">
        <v>2100000</v>
      </c>
      <c r="M71" s="236" t="s">
        <v>343</v>
      </c>
      <c r="N71" s="236" t="s">
        <v>343</v>
      </c>
      <c r="O71" s="236" t="s">
        <v>343</v>
      </c>
      <c r="P71" s="236">
        <f t="shared" si="1"/>
        <v>0</v>
      </c>
      <c r="Q71" s="260"/>
      <c r="R71" s="228" t="s">
        <v>338</v>
      </c>
    </row>
    <row r="72" spans="1:18" x14ac:dyDescent="0.3">
      <c r="A72" s="241" t="s">
        <v>344</v>
      </c>
      <c r="B72" s="236" t="s">
        <v>421</v>
      </c>
      <c r="C72" s="236"/>
      <c r="D72" s="236">
        <f>E72</f>
        <v>2000000</v>
      </c>
      <c r="E72" s="236">
        <v>2000000</v>
      </c>
      <c r="F72" s="236">
        <v>2000000</v>
      </c>
      <c r="G72" s="240" t="s">
        <v>346</v>
      </c>
      <c r="H72" s="228"/>
      <c r="I72" s="256" t="s">
        <v>337</v>
      </c>
      <c r="J72" s="236"/>
      <c r="K72" s="236"/>
      <c r="L72" s="236">
        <v>2000000</v>
      </c>
      <c r="M72" s="236"/>
      <c r="N72" s="236"/>
      <c r="O72" s="236"/>
      <c r="P72" s="236">
        <f t="shared" si="1"/>
        <v>0</v>
      </c>
      <c r="Q72" s="260"/>
      <c r="R72" s="251" t="s">
        <v>338</v>
      </c>
    </row>
    <row r="73" spans="1:18" x14ac:dyDescent="0.3">
      <c r="A73" s="241" t="s">
        <v>344</v>
      </c>
      <c r="B73" s="236" t="s">
        <v>422</v>
      </c>
      <c r="C73" s="236"/>
      <c r="D73" s="236">
        <f>E73</f>
        <v>2000000</v>
      </c>
      <c r="E73" s="236">
        <v>2000000</v>
      </c>
      <c r="F73" s="236">
        <v>2000000</v>
      </c>
      <c r="G73" s="240" t="s">
        <v>346</v>
      </c>
      <c r="H73" s="228"/>
      <c r="I73" s="256" t="s">
        <v>337</v>
      </c>
      <c r="J73" s="236"/>
      <c r="K73" s="236"/>
      <c r="L73" s="236">
        <v>2000000</v>
      </c>
      <c r="M73" s="236"/>
      <c r="N73" s="236"/>
      <c r="O73" s="236"/>
      <c r="P73" s="236">
        <f t="shared" si="1"/>
        <v>0</v>
      </c>
      <c r="Q73" s="260"/>
      <c r="R73" s="251" t="s">
        <v>338</v>
      </c>
    </row>
    <row r="74" spans="1:18" x14ac:dyDescent="0.3">
      <c r="A74" s="233" t="s">
        <v>334</v>
      </c>
      <c r="B74" s="234" t="s">
        <v>423</v>
      </c>
      <c r="C74" s="235" t="s">
        <v>336</v>
      </c>
      <c r="D74" s="236">
        <v>2000000</v>
      </c>
      <c r="E74" s="237">
        <v>2000000</v>
      </c>
      <c r="F74" s="237">
        <v>2000000</v>
      </c>
      <c r="G74" s="238"/>
      <c r="H74" s="228"/>
      <c r="I74" s="256" t="s">
        <v>368</v>
      </c>
      <c r="J74" s="237">
        <v>2000000</v>
      </c>
      <c r="K74" s="237"/>
      <c r="L74" s="237" t="s">
        <v>343</v>
      </c>
      <c r="M74" s="237" t="s">
        <v>343</v>
      </c>
      <c r="N74" s="237" t="s">
        <v>343</v>
      </c>
      <c r="O74" s="237" t="s">
        <v>343</v>
      </c>
      <c r="P74" s="236">
        <f t="shared" si="1"/>
        <v>0</v>
      </c>
      <c r="Q74" s="260"/>
      <c r="R74" s="251" t="s">
        <v>396</v>
      </c>
    </row>
    <row r="75" spans="1:18" x14ac:dyDescent="0.3">
      <c r="A75" s="241" t="s">
        <v>344</v>
      </c>
      <c r="B75" s="236" t="s">
        <v>393</v>
      </c>
      <c r="C75" s="236"/>
      <c r="D75" s="236">
        <f>E75</f>
        <v>1703000</v>
      </c>
      <c r="E75" s="236">
        <v>1703000</v>
      </c>
      <c r="F75" s="236">
        <v>1703000</v>
      </c>
      <c r="G75" s="240" t="s">
        <v>346</v>
      </c>
      <c r="H75" s="228"/>
      <c r="I75" s="256" t="s">
        <v>337</v>
      </c>
      <c r="J75" s="236"/>
      <c r="K75" s="236"/>
      <c r="L75" s="236"/>
      <c r="M75" s="236">
        <v>1703000</v>
      </c>
      <c r="N75" s="236"/>
      <c r="O75" s="236"/>
      <c r="P75" s="236">
        <f t="shared" si="1"/>
        <v>0</v>
      </c>
      <c r="Q75" s="260"/>
      <c r="R75" s="228" t="s">
        <v>338</v>
      </c>
    </row>
    <row r="76" spans="1:18" x14ac:dyDescent="0.3">
      <c r="A76" s="241" t="s">
        <v>344</v>
      </c>
      <c r="B76" s="236" t="s">
        <v>393</v>
      </c>
      <c r="C76" s="236"/>
      <c r="D76" s="236">
        <f>E76</f>
        <v>1632000</v>
      </c>
      <c r="E76" s="236">
        <v>1632000</v>
      </c>
      <c r="F76" s="236">
        <v>1632000</v>
      </c>
      <c r="G76" s="240" t="s">
        <v>346</v>
      </c>
      <c r="H76" s="228"/>
      <c r="I76" s="256" t="s">
        <v>337</v>
      </c>
      <c r="J76" s="236"/>
      <c r="K76" s="236"/>
      <c r="L76" s="236"/>
      <c r="M76" s="236">
        <v>1632000</v>
      </c>
      <c r="N76" s="236"/>
      <c r="O76" s="236"/>
      <c r="P76" s="236">
        <f t="shared" si="1"/>
        <v>0</v>
      </c>
      <c r="Q76" s="260"/>
      <c r="R76" s="228" t="s">
        <v>338</v>
      </c>
    </row>
    <row r="77" spans="1:18" x14ac:dyDescent="0.3">
      <c r="A77" s="233" t="s">
        <v>350</v>
      </c>
      <c r="B77" s="236" t="s">
        <v>424</v>
      </c>
      <c r="C77" s="236"/>
      <c r="D77" s="236">
        <f>E77</f>
        <v>1615462.45999999</v>
      </c>
      <c r="E77" s="236">
        <v>1615462.45999999</v>
      </c>
      <c r="F77" s="236">
        <v>1627258.79</v>
      </c>
      <c r="G77" s="240"/>
      <c r="H77" s="228"/>
      <c r="I77" s="256" t="s">
        <v>368</v>
      </c>
      <c r="J77" s="236"/>
      <c r="K77" s="236">
        <v>1627258.79</v>
      </c>
      <c r="L77" s="236"/>
      <c r="M77" s="236"/>
      <c r="N77" s="236"/>
      <c r="O77" s="236"/>
      <c r="P77" s="236">
        <f t="shared" si="1"/>
        <v>0</v>
      </c>
      <c r="Q77" s="260"/>
      <c r="R77" s="228" t="s">
        <v>338</v>
      </c>
    </row>
    <row r="78" spans="1:18" x14ac:dyDescent="0.3">
      <c r="A78" s="241" t="s">
        <v>344</v>
      </c>
      <c r="B78" s="236" t="s">
        <v>393</v>
      </c>
      <c r="C78" s="236"/>
      <c r="D78" s="236">
        <f>E78</f>
        <v>1587700</v>
      </c>
      <c r="E78" s="236">
        <v>1587700</v>
      </c>
      <c r="F78" s="236">
        <v>1587700</v>
      </c>
      <c r="G78" s="240" t="s">
        <v>346</v>
      </c>
      <c r="H78" s="228"/>
      <c r="I78" s="256" t="s">
        <v>337</v>
      </c>
      <c r="J78" s="236"/>
      <c r="K78" s="236"/>
      <c r="L78" s="236"/>
      <c r="M78" s="236">
        <v>1587700</v>
      </c>
      <c r="N78" s="236"/>
      <c r="O78" s="236"/>
      <c r="P78" s="236">
        <f t="shared" si="1"/>
        <v>0</v>
      </c>
      <c r="Q78" s="260"/>
      <c r="R78" s="228" t="s">
        <v>338</v>
      </c>
    </row>
    <row r="79" spans="1:18" x14ac:dyDescent="0.3">
      <c r="A79" s="241" t="s">
        <v>344</v>
      </c>
      <c r="B79" s="236" t="s">
        <v>425</v>
      </c>
      <c r="C79" s="236"/>
      <c r="D79" s="236">
        <f>E79</f>
        <v>1369784.85</v>
      </c>
      <c r="E79" s="236">
        <v>1369784.85</v>
      </c>
      <c r="F79" s="236">
        <v>1569784.85</v>
      </c>
      <c r="G79" s="240" t="s">
        <v>346</v>
      </c>
      <c r="H79" s="228"/>
      <c r="I79" s="256" t="s">
        <v>368</v>
      </c>
      <c r="J79" s="236">
        <v>200000</v>
      </c>
      <c r="K79" s="236">
        <v>869784.85</v>
      </c>
      <c r="L79" s="236">
        <v>500000</v>
      </c>
      <c r="M79" s="236"/>
      <c r="N79" s="236"/>
      <c r="O79" s="236"/>
      <c r="P79" s="236">
        <f t="shared" si="1"/>
        <v>0</v>
      </c>
      <c r="Q79" s="260"/>
      <c r="R79" s="251" t="s">
        <v>338</v>
      </c>
    </row>
    <row r="80" spans="1:18" x14ac:dyDescent="0.3">
      <c r="A80" s="233" t="s">
        <v>334</v>
      </c>
      <c r="B80" s="236" t="s">
        <v>426</v>
      </c>
      <c r="C80" s="242" t="s">
        <v>362</v>
      </c>
      <c r="D80" s="236">
        <v>0</v>
      </c>
      <c r="E80" s="236">
        <v>0</v>
      </c>
      <c r="F80" s="236">
        <v>1521679.34</v>
      </c>
      <c r="G80" s="240" t="s">
        <v>340</v>
      </c>
      <c r="H80" s="228" t="s">
        <v>384</v>
      </c>
      <c r="I80" s="256" t="s">
        <v>384</v>
      </c>
      <c r="J80" s="236">
        <v>1521679.34</v>
      </c>
      <c r="K80" s="236" t="s">
        <v>343</v>
      </c>
      <c r="L80" s="236" t="s">
        <v>343</v>
      </c>
      <c r="M80" s="236" t="s">
        <v>343</v>
      </c>
      <c r="N80" s="236" t="s">
        <v>343</v>
      </c>
      <c r="O80" s="236" t="s">
        <v>343</v>
      </c>
      <c r="P80" s="236">
        <f t="shared" si="1"/>
        <v>0</v>
      </c>
      <c r="Q80" s="260"/>
      <c r="R80" s="251" t="s">
        <v>338</v>
      </c>
    </row>
    <row r="81" spans="1:18" x14ac:dyDescent="0.3">
      <c r="A81" s="241" t="s">
        <v>344</v>
      </c>
      <c r="B81" s="236" t="s">
        <v>427</v>
      </c>
      <c r="C81" s="236"/>
      <c r="D81" s="236">
        <f>E81</f>
        <v>1456325.58</v>
      </c>
      <c r="E81" s="236">
        <v>1456325.58</v>
      </c>
      <c r="F81" s="236">
        <v>1456325.58</v>
      </c>
      <c r="G81" s="240" t="s">
        <v>346</v>
      </c>
      <c r="H81" s="228"/>
      <c r="I81" s="256" t="s">
        <v>368</v>
      </c>
      <c r="J81" s="236"/>
      <c r="K81" s="236"/>
      <c r="L81" s="236"/>
      <c r="M81" s="236"/>
      <c r="N81" s="236"/>
      <c r="O81" s="236">
        <v>1456325.58</v>
      </c>
      <c r="P81" s="236">
        <f t="shared" si="1"/>
        <v>0</v>
      </c>
      <c r="Q81" s="260"/>
      <c r="R81" s="228" t="s">
        <v>338</v>
      </c>
    </row>
    <row r="82" spans="1:18" x14ac:dyDescent="0.3">
      <c r="A82" s="241" t="s">
        <v>344</v>
      </c>
      <c r="B82" s="236" t="s">
        <v>428</v>
      </c>
      <c r="C82" s="255" t="s">
        <v>362</v>
      </c>
      <c r="D82" s="236">
        <f>E82</f>
        <v>1420803.3</v>
      </c>
      <c r="E82" s="236">
        <v>1420803.3</v>
      </c>
      <c r="F82" s="236">
        <v>1420803.3</v>
      </c>
      <c r="G82" s="240" t="s">
        <v>346</v>
      </c>
      <c r="H82" s="228"/>
      <c r="I82" s="256" t="s">
        <v>368</v>
      </c>
      <c r="J82" s="236"/>
      <c r="K82" s="236">
        <v>1040803.3</v>
      </c>
      <c r="L82" s="236"/>
      <c r="M82" s="236"/>
      <c r="N82" s="236"/>
      <c r="O82" s="236">
        <v>380000</v>
      </c>
      <c r="P82" s="236">
        <f t="shared" si="1"/>
        <v>0</v>
      </c>
      <c r="Q82" s="260"/>
      <c r="R82" s="251" t="s">
        <v>338</v>
      </c>
    </row>
    <row r="83" spans="1:18" x14ac:dyDescent="0.3">
      <c r="A83" s="241" t="s">
        <v>344</v>
      </c>
      <c r="B83" s="243" t="s">
        <v>427</v>
      </c>
      <c r="C83" s="243"/>
      <c r="D83" s="236">
        <f>E83</f>
        <v>1393521.07</v>
      </c>
      <c r="E83" s="236">
        <v>1393521.07</v>
      </c>
      <c r="F83" s="236">
        <v>1393521.07</v>
      </c>
      <c r="G83" s="240" t="s">
        <v>346</v>
      </c>
      <c r="H83" s="228"/>
      <c r="I83" s="256" t="s">
        <v>368</v>
      </c>
      <c r="J83" s="236"/>
      <c r="K83" s="236"/>
      <c r="L83" s="236"/>
      <c r="M83" s="236"/>
      <c r="N83" s="236"/>
      <c r="O83" s="236">
        <v>1393521.07</v>
      </c>
      <c r="P83" s="236">
        <f t="shared" si="1"/>
        <v>0</v>
      </c>
      <c r="Q83" s="256"/>
      <c r="R83" s="228" t="s">
        <v>338</v>
      </c>
    </row>
    <row r="84" spans="1:18" x14ac:dyDescent="0.3">
      <c r="A84" s="233" t="s">
        <v>334</v>
      </c>
      <c r="B84" s="236" t="s">
        <v>429</v>
      </c>
      <c r="C84" s="255" t="s">
        <v>362</v>
      </c>
      <c r="D84" s="236">
        <v>12324040.029999999</v>
      </c>
      <c r="E84" s="236">
        <v>12324040.029999999</v>
      </c>
      <c r="F84" s="236">
        <v>1386841.5300000301</v>
      </c>
      <c r="G84" s="240" t="s">
        <v>340</v>
      </c>
      <c r="H84" s="228" t="s">
        <v>430</v>
      </c>
      <c r="I84" s="256" t="s">
        <v>415</v>
      </c>
      <c r="J84" s="236"/>
      <c r="K84" s="236">
        <v>1386841.5300000301</v>
      </c>
      <c r="L84" s="236">
        <v>0</v>
      </c>
      <c r="M84" s="236" t="s">
        <v>343</v>
      </c>
      <c r="N84" s="236" t="s">
        <v>343</v>
      </c>
      <c r="O84" s="236" t="s">
        <v>343</v>
      </c>
      <c r="P84" s="236">
        <f t="shared" si="1"/>
        <v>0</v>
      </c>
      <c r="Q84" s="260"/>
      <c r="R84" s="251" t="s">
        <v>338</v>
      </c>
    </row>
    <row r="85" spans="1:18" x14ac:dyDescent="0.3">
      <c r="A85" s="241" t="s">
        <v>344</v>
      </c>
      <c r="B85" s="236" t="s">
        <v>431</v>
      </c>
      <c r="C85" s="236"/>
      <c r="D85" s="236">
        <f>E85</f>
        <v>1487387.4</v>
      </c>
      <c r="E85" s="236">
        <v>1487387.4</v>
      </c>
      <c r="F85" s="236">
        <v>1377387.4</v>
      </c>
      <c r="G85" s="240" t="s">
        <v>346</v>
      </c>
      <c r="H85" s="228"/>
      <c r="I85" s="256" t="s">
        <v>368</v>
      </c>
      <c r="J85" s="236"/>
      <c r="K85" s="236"/>
      <c r="L85" s="236"/>
      <c r="M85" s="236"/>
      <c r="N85" s="236">
        <v>1377387.4</v>
      </c>
      <c r="O85" s="236"/>
      <c r="P85" s="236">
        <f t="shared" si="1"/>
        <v>0</v>
      </c>
      <c r="Q85" s="260"/>
      <c r="R85" s="251" t="s">
        <v>338</v>
      </c>
    </row>
    <row r="86" spans="1:18" x14ac:dyDescent="0.3">
      <c r="A86" s="241" t="s">
        <v>344</v>
      </c>
      <c r="B86" s="236" t="s">
        <v>432</v>
      </c>
      <c r="C86" s="236"/>
      <c r="D86" s="236">
        <f>E86</f>
        <v>1322231.8999999999</v>
      </c>
      <c r="E86" s="236">
        <v>1322231.8999999999</v>
      </c>
      <c r="F86" s="236">
        <v>1322231.8999999999</v>
      </c>
      <c r="G86" s="240" t="s">
        <v>346</v>
      </c>
      <c r="H86" s="228"/>
      <c r="I86" s="256" t="s">
        <v>368</v>
      </c>
      <c r="J86" s="236"/>
      <c r="K86" s="236"/>
      <c r="L86" s="236"/>
      <c r="M86" s="236">
        <v>1322231.8999999999</v>
      </c>
      <c r="N86" s="236"/>
      <c r="O86" s="236"/>
      <c r="P86" s="236">
        <f t="shared" si="1"/>
        <v>0</v>
      </c>
      <c r="Q86" s="260"/>
      <c r="R86" s="251" t="s">
        <v>338</v>
      </c>
    </row>
    <row r="87" spans="1:18" x14ac:dyDescent="0.3">
      <c r="A87" s="241" t="s">
        <v>344</v>
      </c>
      <c r="B87" s="243" t="s">
        <v>427</v>
      </c>
      <c r="C87" s="243"/>
      <c r="D87" s="236">
        <f>E87</f>
        <v>1255190.18</v>
      </c>
      <c r="E87" s="236">
        <v>1255190.18</v>
      </c>
      <c r="F87" s="236">
        <v>1255190.18</v>
      </c>
      <c r="G87" s="240" t="s">
        <v>346</v>
      </c>
      <c r="H87" s="228"/>
      <c r="I87" s="256" t="s">
        <v>368</v>
      </c>
      <c r="J87" s="236"/>
      <c r="K87" s="236"/>
      <c r="L87" s="236"/>
      <c r="M87" s="236"/>
      <c r="N87" s="236"/>
      <c r="O87" s="236">
        <v>1255190.18</v>
      </c>
      <c r="P87" s="236">
        <f t="shared" si="1"/>
        <v>0</v>
      </c>
      <c r="Q87" s="256"/>
      <c r="R87" s="228" t="s">
        <v>338</v>
      </c>
    </row>
    <row r="88" spans="1:18" x14ac:dyDescent="0.3">
      <c r="A88" s="241" t="s">
        <v>344</v>
      </c>
      <c r="B88" s="236" t="s">
        <v>406</v>
      </c>
      <c r="C88" s="236"/>
      <c r="D88" s="236">
        <f>E88</f>
        <v>1240348</v>
      </c>
      <c r="E88" s="236">
        <v>1240348</v>
      </c>
      <c r="F88" s="236">
        <v>1240348</v>
      </c>
      <c r="G88" s="240" t="s">
        <v>346</v>
      </c>
      <c r="H88" s="228"/>
      <c r="I88" s="256" t="s">
        <v>337</v>
      </c>
      <c r="J88" s="236"/>
      <c r="K88" s="236"/>
      <c r="L88" s="236"/>
      <c r="M88" s="236">
        <v>1240348</v>
      </c>
      <c r="N88" s="236"/>
      <c r="O88" s="236"/>
      <c r="P88" s="236">
        <f t="shared" si="1"/>
        <v>0</v>
      </c>
      <c r="Q88" s="260"/>
      <c r="R88" s="228" t="s">
        <v>338</v>
      </c>
    </row>
    <row r="89" spans="1:18" x14ac:dyDescent="0.3">
      <c r="A89" s="233" t="s">
        <v>334</v>
      </c>
      <c r="B89" s="234" t="s">
        <v>433</v>
      </c>
      <c r="C89" s="234"/>
      <c r="D89" s="236">
        <v>1098267.78</v>
      </c>
      <c r="E89" s="237">
        <v>1098267.78</v>
      </c>
      <c r="F89" s="237">
        <v>1098267.77999997</v>
      </c>
      <c r="G89" s="238"/>
      <c r="H89" s="228"/>
      <c r="I89" s="256" t="s">
        <v>337</v>
      </c>
      <c r="J89" s="237"/>
      <c r="K89" s="237">
        <v>1098267.78</v>
      </c>
      <c r="L89" s="237" t="s">
        <v>343</v>
      </c>
      <c r="M89" s="237" t="s">
        <v>343</v>
      </c>
      <c r="N89" s="237" t="s">
        <v>343</v>
      </c>
      <c r="O89" s="237" t="s">
        <v>343</v>
      </c>
      <c r="P89" s="236">
        <f t="shared" si="1"/>
        <v>-3.0035153031349182E-8</v>
      </c>
      <c r="Q89" s="260"/>
      <c r="R89" s="251" t="s">
        <v>338</v>
      </c>
    </row>
    <row r="90" spans="1:18" x14ac:dyDescent="0.3">
      <c r="A90" s="241" t="s">
        <v>344</v>
      </c>
      <c r="B90" s="236" t="s">
        <v>393</v>
      </c>
      <c r="C90" s="236"/>
      <c r="D90" s="236">
        <f>E90</f>
        <v>1077000</v>
      </c>
      <c r="E90" s="236">
        <v>1077000</v>
      </c>
      <c r="F90" s="236">
        <v>1077000</v>
      </c>
      <c r="G90" s="240" t="s">
        <v>346</v>
      </c>
      <c r="H90" s="228"/>
      <c r="I90" s="256" t="s">
        <v>337</v>
      </c>
      <c r="J90" s="236"/>
      <c r="K90" s="236"/>
      <c r="L90" s="236">
        <v>1077000</v>
      </c>
      <c r="M90" s="236"/>
      <c r="N90" s="236"/>
      <c r="O90" s="236"/>
      <c r="P90" s="236">
        <f t="shared" si="1"/>
        <v>0</v>
      </c>
      <c r="Q90" s="260"/>
      <c r="R90" s="228" t="s">
        <v>338</v>
      </c>
    </row>
    <row r="91" spans="1:18" x14ac:dyDescent="0.3">
      <c r="A91" s="241" t="s">
        <v>344</v>
      </c>
      <c r="B91" s="236" t="s">
        <v>393</v>
      </c>
      <c r="C91" s="236"/>
      <c r="D91" s="236">
        <f>E91</f>
        <v>1071000</v>
      </c>
      <c r="E91" s="236">
        <v>1071000</v>
      </c>
      <c r="F91" s="236">
        <v>1071000</v>
      </c>
      <c r="G91" s="240" t="s">
        <v>346</v>
      </c>
      <c r="H91" s="228"/>
      <c r="I91" s="256" t="s">
        <v>337</v>
      </c>
      <c r="J91" s="236"/>
      <c r="K91" s="236"/>
      <c r="L91" s="236">
        <v>200000</v>
      </c>
      <c r="M91" s="236">
        <v>871000</v>
      </c>
      <c r="N91" s="236"/>
      <c r="O91" s="236"/>
      <c r="P91" s="236">
        <f t="shared" si="1"/>
        <v>0</v>
      </c>
      <c r="Q91" s="260"/>
      <c r="R91" s="228" t="s">
        <v>338</v>
      </c>
    </row>
    <row r="92" spans="1:18" x14ac:dyDescent="0.3">
      <c r="A92" s="241" t="s">
        <v>344</v>
      </c>
      <c r="B92" s="236" t="s">
        <v>393</v>
      </c>
      <c r="C92" s="236"/>
      <c r="D92" s="236">
        <f>E92</f>
        <v>1038000</v>
      </c>
      <c r="E92" s="236">
        <v>1038000</v>
      </c>
      <c r="F92" s="236">
        <v>1038000</v>
      </c>
      <c r="G92" s="240" t="s">
        <v>346</v>
      </c>
      <c r="H92" s="228"/>
      <c r="I92" s="256" t="s">
        <v>337</v>
      </c>
      <c r="J92" s="236"/>
      <c r="K92" s="236"/>
      <c r="L92" s="236">
        <v>1038000</v>
      </c>
      <c r="M92" s="236"/>
      <c r="N92" s="236"/>
      <c r="O92" s="236"/>
      <c r="P92" s="236">
        <f t="shared" si="1"/>
        <v>0</v>
      </c>
      <c r="Q92" s="260"/>
      <c r="R92" s="228" t="s">
        <v>338</v>
      </c>
    </row>
    <row r="93" spans="1:18" x14ac:dyDescent="0.3">
      <c r="A93" s="241" t="s">
        <v>344</v>
      </c>
      <c r="B93" s="234" t="s">
        <v>393</v>
      </c>
      <c r="C93" s="234"/>
      <c r="D93" s="236">
        <f>E93</f>
        <v>1009000</v>
      </c>
      <c r="E93" s="237">
        <v>1009000</v>
      </c>
      <c r="F93" s="237">
        <v>1009000</v>
      </c>
      <c r="G93" s="238" t="s">
        <v>346</v>
      </c>
      <c r="H93" s="228"/>
      <c r="I93" s="256" t="s">
        <v>337</v>
      </c>
      <c r="J93" s="237"/>
      <c r="K93" s="237"/>
      <c r="L93" s="237"/>
      <c r="M93" s="237">
        <v>1009000</v>
      </c>
      <c r="N93" s="237"/>
      <c r="O93" s="237"/>
      <c r="P93" s="236">
        <f t="shared" si="1"/>
        <v>0</v>
      </c>
      <c r="Q93" s="260"/>
      <c r="R93" s="228" t="s">
        <v>338</v>
      </c>
    </row>
    <row r="94" spans="1:18" x14ac:dyDescent="0.3">
      <c r="A94" s="233" t="s">
        <v>334</v>
      </c>
      <c r="B94" s="234" t="s">
        <v>434</v>
      </c>
      <c r="C94" s="234"/>
      <c r="D94" s="236">
        <v>0</v>
      </c>
      <c r="E94" s="237">
        <v>0</v>
      </c>
      <c r="F94" s="237">
        <v>995100</v>
      </c>
      <c r="G94" s="238"/>
      <c r="H94" s="228"/>
      <c r="I94" s="256" t="s">
        <v>368</v>
      </c>
      <c r="J94" s="237">
        <v>995100</v>
      </c>
      <c r="K94" s="237"/>
      <c r="L94" s="237" t="s">
        <v>343</v>
      </c>
      <c r="M94" s="237" t="s">
        <v>343</v>
      </c>
      <c r="N94" s="237" t="s">
        <v>343</v>
      </c>
      <c r="O94" s="237" t="s">
        <v>343</v>
      </c>
      <c r="P94" s="236">
        <f t="shared" si="1"/>
        <v>0</v>
      </c>
      <c r="Q94" s="260"/>
      <c r="R94" s="251" t="s">
        <v>396</v>
      </c>
    </row>
    <row r="95" spans="1:18" x14ac:dyDescent="0.3">
      <c r="A95" s="241" t="s">
        <v>344</v>
      </c>
      <c r="B95" s="236" t="s">
        <v>435</v>
      </c>
      <c r="C95" s="242" t="s">
        <v>362</v>
      </c>
      <c r="D95" s="236">
        <f>E95</f>
        <v>1462427</v>
      </c>
      <c r="E95" s="236">
        <v>1462427</v>
      </c>
      <c r="F95" s="236">
        <v>992239</v>
      </c>
      <c r="G95" s="240" t="s">
        <v>346</v>
      </c>
      <c r="H95" s="228"/>
      <c r="I95" s="256" t="s">
        <v>337</v>
      </c>
      <c r="J95" s="236"/>
      <c r="K95" s="236">
        <v>992239</v>
      </c>
      <c r="L95" s="236"/>
      <c r="M95" s="236"/>
      <c r="N95" s="236"/>
      <c r="O95" s="236"/>
      <c r="P95" s="236">
        <f t="shared" si="1"/>
        <v>0</v>
      </c>
      <c r="Q95" s="260"/>
      <c r="R95" s="228" t="s">
        <v>396</v>
      </c>
    </row>
    <row r="96" spans="1:18" x14ac:dyDescent="0.3">
      <c r="A96" s="241" t="s">
        <v>344</v>
      </c>
      <c r="B96" s="236" t="s">
        <v>393</v>
      </c>
      <c r="C96" s="236"/>
      <c r="D96" s="236">
        <f>E96</f>
        <v>950000</v>
      </c>
      <c r="E96" s="236">
        <v>950000</v>
      </c>
      <c r="F96" s="236">
        <v>950000</v>
      </c>
      <c r="G96" s="240" t="s">
        <v>346</v>
      </c>
      <c r="H96" s="228"/>
      <c r="I96" s="256" t="s">
        <v>337</v>
      </c>
      <c r="J96" s="236"/>
      <c r="K96" s="236">
        <v>950000</v>
      </c>
      <c r="L96" s="236"/>
      <c r="M96" s="236"/>
      <c r="N96" s="236"/>
      <c r="O96" s="236"/>
      <c r="P96" s="236">
        <f t="shared" si="1"/>
        <v>0</v>
      </c>
      <c r="Q96" s="260"/>
      <c r="R96" s="228" t="s">
        <v>338</v>
      </c>
    </row>
    <row r="97" spans="1:18" x14ac:dyDescent="0.3">
      <c r="A97" s="241" t="s">
        <v>344</v>
      </c>
      <c r="B97" s="243" t="s">
        <v>436</v>
      </c>
      <c r="C97" s="243"/>
      <c r="D97" s="236">
        <f>E97</f>
        <v>942421</v>
      </c>
      <c r="E97" s="236">
        <v>942421</v>
      </c>
      <c r="F97" s="236">
        <v>942421</v>
      </c>
      <c r="G97" s="240" t="s">
        <v>346</v>
      </c>
      <c r="H97" s="228"/>
      <c r="I97" s="256" t="s">
        <v>368</v>
      </c>
      <c r="J97" s="236"/>
      <c r="K97" s="236">
        <v>942421</v>
      </c>
      <c r="L97" s="236"/>
      <c r="M97" s="236"/>
      <c r="N97" s="236"/>
      <c r="O97" s="236"/>
      <c r="P97" s="236">
        <f t="shared" si="1"/>
        <v>0</v>
      </c>
      <c r="Q97" s="256"/>
      <c r="R97" s="228" t="s">
        <v>338</v>
      </c>
    </row>
    <row r="98" spans="1:18" x14ac:dyDescent="0.3">
      <c r="A98" s="241" t="s">
        <v>344</v>
      </c>
      <c r="B98" s="236" t="s">
        <v>393</v>
      </c>
      <c r="C98" s="236"/>
      <c r="D98" s="236">
        <f>E98</f>
        <v>922000</v>
      </c>
      <c r="E98" s="236">
        <v>922000</v>
      </c>
      <c r="F98" s="236">
        <v>922000</v>
      </c>
      <c r="G98" s="240" t="s">
        <v>346</v>
      </c>
      <c r="H98" s="228"/>
      <c r="I98" s="256" t="s">
        <v>337</v>
      </c>
      <c r="J98" s="236"/>
      <c r="K98" s="236"/>
      <c r="L98" s="236"/>
      <c r="M98" s="236">
        <v>922000</v>
      </c>
      <c r="N98" s="236"/>
      <c r="O98" s="236"/>
      <c r="P98" s="236">
        <f t="shared" si="1"/>
        <v>0</v>
      </c>
      <c r="Q98" s="260"/>
      <c r="R98" s="228" t="s">
        <v>338</v>
      </c>
    </row>
    <row r="99" spans="1:18" x14ac:dyDescent="0.3">
      <c r="A99" s="241" t="s">
        <v>344</v>
      </c>
      <c r="B99" s="236" t="s">
        <v>393</v>
      </c>
      <c r="C99" s="236"/>
      <c r="D99" s="236">
        <f>E99</f>
        <v>905000</v>
      </c>
      <c r="E99" s="236">
        <v>905000</v>
      </c>
      <c r="F99" s="236">
        <v>905000</v>
      </c>
      <c r="G99" s="240" t="s">
        <v>346</v>
      </c>
      <c r="H99" s="228"/>
      <c r="I99" s="256" t="s">
        <v>337</v>
      </c>
      <c r="J99" s="236"/>
      <c r="K99" s="236"/>
      <c r="L99" s="236">
        <v>905000</v>
      </c>
      <c r="M99" s="236"/>
      <c r="N99" s="236"/>
      <c r="O99" s="236"/>
      <c r="P99" s="236">
        <f t="shared" si="1"/>
        <v>0</v>
      </c>
      <c r="Q99" s="260"/>
      <c r="R99" s="228" t="s">
        <v>338</v>
      </c>
    </row>
    <row r="100" spans="1:18" hidden="1" x14ac:dyDescent="0.3">
      <c r="A100" s="233" t="s">
        <v>334</v>
      </c>
      <c r="B100" s="234" t="s">
        <v>437</v>
      </c>
      <c r="C100" s="234"/>
      <c r="D100" s="236">
        <v>500000</v>
      </c>
      <c r="E100" s="237">
        <v>500000</v>
      </c>
      <c r="F100" s="237">
        <v>900000</v>
      </c>
      <c r="G100" s="240" t="s">
        <v>340</v>
      </c>
      <c r="H100" s="228" t="s">
        <v>341</v>
      </c>
      <c r="I100" s="256" t="s">
        <v>342</v>
      </c>
      <c r="J100" s="237">
        <v>400000</v>
      </c>
      <c r="K100" s="237">
        <v>500000</v>
      </c>
      <c r="L100" s="237" t="s">
        <v>343</v>
      </c>
      <c r="M100" s="237" t="s">
        <v>343</v>
      </c>
      <c r="N100" s="237" t="s">
        <v>343</v>
      </c>
      <c r="O100" s="237" t="s">
        <v>343</v>
      </c>
      <c r="P100" s="236">
        <f t="shared" si="1"/>
        <v>0</v>
      </c>
      <c r="Q100" s="260"/>
      <c r="R100" s="251" t="s">
        <v>338</v>
      </c>
    </row>
    <row r="101" spans="1:18" x14ac:dyDescent="0.3">
      <c r="A101" s="241" t="s">
        <v>344</v>
      </c>
      <c r="B101" s="236" t="s">
        <v>438</v>
      </c>
      <c r="C101" s="236"/>
      <c r="D101" s="236">
        <f>E101</f>
        <v>890290.77</v>
      </c>
      <c r="E101" s="236">
        <v>890290.77</v>
      </c>
      <c r="F101" s="236">
        <v>890290.77</v>
      </c>
      <c r="G101" s="240" t="s">
        <v>346</v>
      </c>
      <c r="H101" s="228"/>
      <c r="I101" s="256" t="s">
        <v>368</v>
      </c>
      <c r="J101" s="236"/>
      <c r="K101" s="236"/>
      <c r="L101" s="236"/>
      <c r="M101" s="236">
        <v>890290.77</v>
      </c>
      <c r="N101" s="236"/>
      <c r="O101" s="236"/>
      <c r="P101" s="236">
        <f t="shared" si="1"/>
        <v>0</v>
      </c>
      <c r="Q101" s="260"/>
      <c r="R101" s="251" t="s">
        <v>338</v>
      </c>
    </row>
    <row r="102" spans="1:18" x14ac:dyDescent="0.3">
      <c r="A102" s="233" t="s">
        <v>334</v>
      </c>
      <c r="B102" s="234" t="s">
        <v>439</v>
      </c>
      <c r="C102" s="234"/>
      <c r="D102" s="236">
        <v>0</v>
      </c>
      <c r="E102" s="237"/>
      <c r="F102" s="237">
        <v>871550.91</v>
      </c>
      <c r="G102" s="238"/>
      <c r="H102" s="228"/>
      <c r="I102" s="256" t="s">
        <v>368</v>
      </c>
      <c r="J102" s="237">
        <v>871550.91</v>
      </c>
      <c r="K102" s="237"/>
      <c r="L102" s="237"/>
      <c r="M102" s="237"/>
      <c r="N102" s="237"/>
      <c r="O102" s="237"/>
      <c r="P102" s="236">
        <f t="shared" si="1"/>
        <v>0</v>
      </c>
      <c r="Q102" s="260"/>
      <c r="R102" s="251" t="s">
        <v>338</v>
      </c>
    </row>
    <row r="103" spans="1:18" x14ac:dyDescent="0.3">
      <c r="A103" s="241" t="s">
        <v>344</v>
      </c>
      <c r="B103" s="243" t="s">
        <v>393</v>
      </c>
      <c r="C103" s="243"/>
      <c r="D103" s="236">
        <f t="shared" ref="D103:D117" si="3">E103</f>
        <v>857300</v>
      </c>
      <c r="E103" s="236">
        <v>857300</v>
      </c>
      <c r="F103" s="236">
        <v>857300</v>
      </c>
      <c r="G103" s="240" t="s">
        <v>346</v>
      </c>
      <c r="H103" s="228"/>
      <c r="I103" s="256" t="s">
        <v>337</v>
      </c>
      <c r="J103" s="236"/>
      <c r="K103" s="236"/>
      <c r="L103" s="236"/>
      <c r="M103" s="236">
        <v>857300</v>
      </c>
      <c r="N103" s="236"/>
      <c r="O103" s="236"/>
      <c r="P103" s="236">
        <f t="shared" si="1"/>
        <v>0</v>
      </c>
      <c r="Q103" s="256"/>
      <c r="R103" s="228" t="s">
        <v>338</v>
      </c>
    </row>
    <row r="104" spans="1:18" x14ac:dyDescent="0.3">
      <c r="A104" s="241" t="s">
        <v>344</v>
      </c>
      <c r="B104" s="236" t="s">
        <v>406</v>
      </c>
      <c r="C104" s="242" t="s">
        <v>362</v>
      </c>
      <c r="D104" s="236">
        <f t="shared" si="3"/>
        <v>1000000</v>
      </c>
      <c r="E104" s="236">
        <v>1000000</v>
      </c>
      <c r="F104" s="236">
        <v>850000</v>
      </c>
      <c r="G104" s="240" t="s">
        <v>346</v>
      </c>
      <c r="H104" s="228"/>
      <c r="I104" s="256" t="s">
        <v>337</v>
      </c>
      <c r="J104" s="236"/>
      <c r="K104" s="236"/>
      <c r="L104" s="236">
        <v>850000</v>
      </c>
      <c r="M104" s="236"/>
      <c r="N104" s="236"/>
      <c r="O104" s="236"/>
      <c r="P104" s="236">
        <f t="shared" si="1"/>
        <v>0</v>
      </c>
      <c r="Q104" s="260"/>
      <c r="R104" s="228" t="s">
        <v>338</v>
      </c>
    </row>
    <row r="105" spans="1:18" x14ac:dyDescent="0.3">
      <c r="A105" s="241" t="s">
        <v>344</v>
      </c>
      <c r="B105" s="243" t="s">
        <v>393</v>
      </c>
      <c r="C105" s="243"/>
      <c r="D105" s="236">
        <f t="shared" si="3"/>
        <v>821000</v>
      </c>
      <c r="E105" s="236">
        <v>821000</v>
      </c>
      <c r="F105" s="236">
        <v>821000</v>
      </c>
      <c r="G105" s="240" t="s">
        <v>346</v>
      </c>
      <c r="H105" s="228"/>
      <c r="I105" s="256" t="s">
        <v>337</v>
      </c>
      <c r="J105" s="236"/>
      <c r="K105" s="236"/>
      <c r="L105" s="236">
        <v>821000</v>
      </c>
      <c r="M105" s="236"/>
      <c r="N105" s="236"/>
      <c r="O105" s="236"/>
      <c r="P105" s="236">
        <f t="shared" si="1"/>
        <v>0</v>
      </c>
      <c r="Q105" s="256"/>
      <c r="R105" s="251" t="s">
        <v>338</v>
      </c>
    </row>
    <row r="106" spans="1:18" x14ac:dyDescent="0.3">
      <c r="A106" s="241" t="s">
        <v>344</v>
      </c>
      <c r="B106" s="236" t="s">
        <v>440</v>
      </c>
      <c r="C106" s="242" t="s">
        <v>362</v>
      </c>
      <c r="D106" s="236">
        <f t="shared" si="3"/>
        <v>820000</v>
      </c>
      <c r="E106" s="236">
        <v>820000</v>
      </c>
      <c r="F106" s="236">
        <v>820000</v>
      </c>
      <c r="G106" s="240" t="s">
        <v>346</v>
      </c>
      <c r="H106" s="228"/>
      <c r="I106" s="256" t="s">
        <v>368</v>
      </c>
      <c r="J106" s="236"/>
      <c r="K106" s="236"/>
      <c r="L106" s="236"/>
      <c r="M106" s="236">
        <v>820000</v>
      </c>
      <c r="N106" s="236"/>
      <c r="O106" s="236"/>
      <c r="P106" s="236">
        <f t="shared" si="1"/>
        <v>0</v>
      </c>
      <c r="Q106" s="260"/>
      <c r="R106" s="228" t="s">
        <v>338</v>
      </c>
    </row>
    <row r="107" spans="1:18" x14ac:dyDescent="0.3">
      <c r="A107" s="241" t="s">
        <v>344</v>
      </c>
      <c r="B107" s="236" t="s">
        <v>393</v>
      </c>
      <c r="C107" s="236"/>
      <c r="D107" s="236">
        <f t="shared" si="3"/>
        <v>813235.22</v>
      </c>
      <c r="E107" s="236">
        <v>813235.22</v>
      </c>
      <c r="F107" s="236">
        <v>813235.22</v>
      </c>
      <c r="G107" s="240" t="s">
        <v>346</v>
      </c>
      <c r="H107" s="228"/>
      <c r="I107" s="256" t="s">
        <v>337</v>
      </c>
      <c r="J107" s="236"/>
      <c r="K107" s="236"/>
      <c r="L107" s="236">
        <v>400000</v>
      </c>
      <c r="M107" s="236">
        <v>413235.22</v>
      </c>
      <c r="N107" s="236"/>
      <c r="O107" s="236"/>
      <c r="P107" s="236">
        <f t="shared" ref="P107:P170" si="4">F107-SUM(J107:O107)</f>
        <v>0</v>
      </c>
      <c r="Q107" s="260"/>
      <c r="R107" s="228" t="s">
        <v>338</v>
      </c>
    </row>
    <row r="108" spans="1:18" x14ac:dyDescent="0.3">
      <c r="A108" s="233" t="s">
        <v>360</v>
      </c>
      <c r="B108" s="234" t="s">
        <v>441</v>
      </c>
      <c r="C108" s="234"/>
      <c r="D108" s="236">
        <f t="shared" si="3"/>
        <v>797624.09</v>
      </c>
      <c r="E108" s="237">
        <v>797624.09</v>
      </c>
      <c r="F108" s="237">
        <v>797624.09</v>
      </c>
      <c r="G108" s="238"/>
      <c r="H108" s="228"/>
      <c r="I108" s="256" t="s">
        <v>337</v>
      </c>
      <c r="J108" s="237"/>
      <c r="K108" s="237" t="s">
        <v>363</v>
      </c>
      <c r="L108" s="237">
        <v>0</v>
      </c>
      <c r="M108" s="237" t="s">
        <v>363</v>
      </c>
      <c r="N108" s="237" t="s">
        <v>363</v>
      </c>
      <c r="O108" s="237">
        <v>797624.09</v>
      </c>
      <c r="P108" s="236">
        <f t="shared" si="4"/>
        <v>0</v>
      </c>
      <c r="Q108" s="260"/>
      <c r="R108" s="251" t="s">
        <v>338</v>
      </c>
    </row>
    <row r="109" spans="1:18" x14ac:dyDescent="0.3">
      <c r="A109" s="241" t="s">
        <v>344</v>
      </c>
      <c r="B109" s="236" t="s">
        <v>393</v>
      </c>
      <c r="C109" s="236"/>
      <c r="D109" s="236">
        <f t="shared" si="3"/>
        <v>750000</v>
      </c>
      <c r="E109" s="236">
        <v>750000</v>
      </c>
      <c r="F109" s="236">
        <v>750000</v>
      </c>
      <c r="G109" s="240" t="s">
        <v>346</v>
      </c>
      <c r="H109" s="228"/>
      <c r="I109" s="256" t="s">
        <v>337</v>
      </c>
      <c r="J109" s="236"/>
      <c r="K109" s="236"/>
      <c r="L109" s="236">
        <v>750000</v>
      </c>
      <c r="M109" s="236"/>
      <c r="N109" s="236"/>
      <c r="O109" s="236"/>
      <c r="P109" s="236">
        <f t="shared" si="4"/>
        <v>0</v>
      </c>
      <c r="Q109" s="260"/>
      <c r="R109" s="228" t="s">
        <v>338</v>
      </c>
    </row>
    <row r="110" spans="1:18" x14ac:dyDescent="0.3">
      <c r="A110" s="241" t="s">
        <v>344</v>
      </c>
      <c r="B110" s="236" t="s">
        <v>442</v>
      </c>
      <c r="C110" s="236"/>
      <c r="D110" s="236">
        <f t="shared" si="3"/>
        <v>0</v>
      </c>
      <c r="E110" s="236"/>
      <c r="F110" s="236">
        <v>738340</v>
      </c>
      <c r="G110" s="240" t="s">
        <v>346</v>
      </c>
      <c r="H110" s="228"/>
      <c r="I110" s="256" t="s">
        <v>368</v>
      </c>
      <c r="J110" s="236">
        <v>738340</v>
      </c>
      <c r="K110" s="236"/>
      <c r="L110" s="236"/>
      <c r="M110" s="236"/>
      <c r="N110" s="236"/>
      <c r="O110" s="236"/>
      <c r="P110" s="236">
        <f t="shared" si="4"/>
        <v>0</v>
      </c>
      <c r="Q110" s="260"/>
      <c r="R110" s="251" t="s">
        <v>338</v>
      </c>
    </row>
    <row r="111" spans="1:18" x14ac:dyDescent="0.3">
      <c r="A111" s="241" t="s">
        <v>344</v>
      </c>
      <c r="B111" s="236" t="s">
        <v>427</v>
      </c>
      <c r="C111" s="236"/>
      <c r="D111" s="236">
        <f t="shared" si="3"/>
        <v>653600</v>
      </c>
      <c r="E111" s="236">
        <v>653600</v>
      </c>
      <c r="F111" s="236">
        <v>653600</v>
      </c>
      <c r="G111" s="240" t="s">
        <v>346</v>
      </c>
      <c r="H111" s="228"/>
      <c r="I111" s="256" t="s">
        <v>368</v>
      </c>
      <c r="J111" s="236"/>
      <c r="K111" s="236"/>
      <c r="L111" s="236"/>
      <c r="M111" s="236"/>
      <c r="N111" s="236"/>
      <c r="O111" s="236">
        <v>653600</v>
      </c>
      <c r="P111" s="236">
        <f t="shared" si="4"/>
        <v>0</v>
      </c>
      <c r="Q111" s="260"/>
      <c r="R111" s="228" t="s">
        <v>338</v>
      </c>
    </row>
    <row r="112" spans="1:18" x14ac:dyDescent="0.3">
      <c r="A112" s="241" t="s">
        <v>344</v>
      </c>
      <c r="B112" s="236" t="s">
        <v>443</v>
      </c>
      <c r="C112" s="236"/>
      <c r="D112" s="236">
        <f t="shared" si="3"/>
        <v>632541</v>
      </c>
      <c r="E112" s="236">
        <v>632541</v>
      </c>
      <c r="F112" s="236">
        <v>632541</v>
      </c>
      <c r="G112" s="240" t="s">
        <v>346</v>
      </c>
      <c r="H112" s="228"/>
      <c r="I112" s="256" t="s">
        <v>368</v>
      </c>
      <c r="J112" s="236"/>
      <c r="K112" s="236"/>
      <c r="L112" s="236"/>
      <c r="M112" s="236"/>
      <c r="N112" s="236"/>
      <c r="O112" s="236">
        <v>632541</v>
      </c>
      <c r="P112" s="236">
        <f t="shared" si="4"/>
        <v>0</v>
      </c>
      <c r="Q112" s="260"/>
      <c r="R112" s="251" t="s">
        <v>338</v>
      </c>
    </row>
    <row r="113" spans="1:18" x14ac:dyDescent="0.3">
      <c r="A113" s="241" t="s">
        <v>344</v>
      </c>
      <c r="B113" s="236" t="s">
        <v>444</v>
      </c>
      <c r="C113" s="236"/>
      <c r="D113" s="236">
        <f t="shared" si="3"/>
        <v>625093.18999999994</v>
      </c>
      <c r="E113" s="252">
        <v>625093.18999999994</v>
      </c>
      <c r="F113" s="252">
        <v>625093.18999999994</v>
      </c>
      <c r="G113" s="240" t="s">
        <v>346</v>
      </c>
      <c r="H113" s="228"/>
      <c r="I113" s="256" t="s">
        <v>368</v>
      </c>
      <c r="J113" s="236"/>
      <c r="K113" s="236"/>
      <c r="L113" s="236"/>
      <c r="M113" s="236">
        <v>625093.18999999994</v>
      </c>
      <c r="N113" s="236"/>
      <c r="O113" s="236"/>
      <c r="P113" s="236">
        <f t="shared" si="4"/>
        <v>0</v>
      </c>
      <c r="Q113" s="260"/>
      <c r="R113" s="251" t="s">
        <v>338</v>
      </c>
    </row>
    <row r="114" spans="1:18" x14ac:dyDescent="0.3">
      <c r="A114" s="241" t="s">
        <v>344</v>
      </c>
      <c r="B114" s="236" t="s">
        <v>393</v>
      </c>
      <c r="C114" s="236"/>
      <c r="D114" s="236">
        <f t="shared" si="3"/>
        <v>603936.01</v>
      </c>
      <c r="E114" s="236">
        <v>603936.01</v>
      </c>
      <c r="F114" s="236">
        <v>603936.01</v>
      </c>
      <c r="G114" s="240" t="s">
        <v>346</v>
      </c>
      <c r="H114" s="228"/>
      <c r="I114" s="256" t="s">
        <v>337</v>
      </c>
      <c r="J114" s="236"/>
      <c r="K114" s="236"/>
      <c r="L114" s="236">
        <v>603936.01</v>
      </c>
      <c r="M114" s="236"/>
      <c r="N114" s="236"/>
      <c r="O114" s="236"/>
      <c r="P114" s="236">
        <f t="shared" si="4"/>
        <v>0</v>
      </c>
      <c r="Q114" s="260"/>
      <c r="R114" s="228" t="s">
        <v>338</v>
      </c>
    </row>
    <row r="115" spans="1:18" x14ac:dyDescent="0.3">
      <c r="A115" s="241" t="s">
        <v>344</v>
      </c>
      <c r="B115" s="236" t="s">
        <v>445</v>
      </c>
      <c r="C115" s="236"/>
      <c r="D115" s="236">
        <f t="shared" si="3"/>
        <v>600000</v>
      </c>
      <c r="E115" s="236">
        <v>600000</v>
      </c>
      <c r="F115" s="236">
        <v>600000</v>
      </c>
      <c r="G115" s="240" t="s">
        <v>346</v>
      </c>
      <c r="H115" s="228"/>
      <c r="I115" s="256" t="s">
        <v>368</v>
      </c>
      <c r="J115" s="236"/>
      <c r="K115" s="236"/>
      <c r="L115" s="236"/>
      <c r="M115" s="236"/>
      <c r="N115" s="236"/>
      <c r="O115" s="236">
        <v>600000</v>
      </c>
      <c r="P115" s="236">
        <f t="shared" si="4"/>
        <v>0</v>
      </c>
      <c r="Q115" s="260"/>
      <c r="R115" s="228" t="s">
        <v>338</v>
      </c>
    </row>
    <row r="116" spans="1:18" x14ac:dyDescent="0.3">
      <c r="A116" s="241" t="s">
        <v>344</v>
      </c>
      <c r="B116" s="236" t="s">
        <v>446</v>
      </c>
      <c r="C116" s="236"/>
      <c r="D116" s="236">
        <f t="shared" si="3"/>
        <v>0</v>
      </c>
      <c r="E116" s="236"/>
      <c r="F116" s="236">
        <v>580000</v>
      </c>
      <c r="G116" s="240" t="s">
        <v>346</v>
      </c>
      <c r="H116" s="228"/>
      <c r="I116" s="256" t="s">
        <v>368</v>
      </c>
      <c r="J116" s="236">
        <v>580000</v>
      </c>
      <c r="K116" s="236"/>
      <c r="L116" s="236"/>
      <c r="M116" s="236"/>
      <c r="N116" s="236"/>
      <c r="O116" s="236"/>
      <c r="P116" s="236">
        <f t="shared" si="4"/>
        <v>0</v>
      </c>
      <c r="Q116" s="260"/>
      <c r="R116" s="251" t="s">
        <v>338</v>
      </c>
    </row>
    <row r="117" spans="1:18" x14ac:dyDescent="0.3">
      <c r="A117" s="241" t="s">
        <v>344</v>
      </c>
      <c r="B117" s="252" t="s">
        <v>447</v>
      </c>
      <c r="C117" s="252"/>
      <c r="D117" s="236">
        <f t="shared" si="3"/>
        <v>574300</v>
      </c>
      <c r="E117" s="252">
        <v>574300</v>
      </c>
      <c r="F117" s="252">
        <v>573398</v>
      </c>
      <c r="G117" s="262" t="s">
        <v>346</v>
      </c>
      <c r="H117" s="263"/>
      <c r="I117" s="264" t="s">
        <v>368</v>
      </c>
      <c r="J117" s="252"/>
      <c r="K117" s="252"/>
      <c r="L117" s="252"/>
      <c r="M117" s="252">
        <v>573398</v>
      </c>
      <c r="N117" s="252"/>
      <c r="O117" s="252"/>
      <c r="P117" s="236">
        <f t="shared" si="4"/>
        <v>0</v>
      </c>
      <c r="Q117" s="252"/>
      <c r="R117" s="251" t="s">
        <v>338</v>
      </c>
    </row>
    <row r="118" spans="1:18" x14ac:dyDescent="0.3">
      <c r="A118" s="233" t="s">
        <v>334</v>
      </c>
      <c r="B118" s="234" t="s">
        <v>448</v>
      </c>
      <c r="C118" s="235" t="s">
        <v>336</v>
      </c>
      <c r="D118" s="236">
        <v>42801.57</v>
      </c>
      <c r="E118" s="237">
        <v>42801.57</v>
      </c>
      <c r="F118" s="237">
        <v>565508.38</v>
      </c>
      <c r="G118" s="238"/>
      <c r="H118" s="228"/>
      <c r="I118" s="256" t="s">
        <v>337</v>
      </c>
      <c r="J118" s="237">
        <v>522706.81</v>
      </c>
      <c r="K118" s="237">
        <v>42801.57</v>
      </c>
      <c r="L118" s="237" t="s">
        <v>343</v>
      </c>
      <c r="M118" s="237" t="s">
        <v>343</v>
      </c>
      <c r="N118" s="237" t="s">
        <v>343</v>
      </c>
      <c r="O118" s="237" t="s">
        <v>343</v>
      </c>
      <c r="P118" s="236">
        <f t="shared" si="4"/>
        <v>0</v>
      </c>
      <c r="Q118" s="260"/>
      <c r="R118" s="251" t="s">
        <v>449</v>
      </c>
    </row>
    <row r="119" spans="1:18" x14ac:dyDescent="0.3">
      <c r="A119" s="241" t="s">
        <v>344</v>
      </c>
      <c r="B119" s="236" t="s">
        <v>393</v>
      </c>
      <c r="C119" s="236"/>
      <c r="D119" s="236">
        <f t="shared" ref="D119:D140" si="5">E119</f>
        <v>547000</v>
      </c>
      <c r="E119" s="236">
        <v>547000</v>
      </c>
      <c r="F119" s="236">
        <v>547000</v>
      </c>
      <c r="G119" s="240" t="s">
        <v>346</v>
      </c>
      <c r="H119" s="228"/>
      <c r="I119" s="256" t="s">
        <v>337</v>
      </c>
      <c r="J119" s="236"/>
      <c r="K119" s="236"/>
      <c r="L119" s="236">
        <v>547000</v>
      </c>
      <c r="M119" s="236"/>
      <c r="N119" s="236"/>
      <c r="O119" s="236"/>
      <c r="P119" s="236">
        <f t="shared" si="4"/>
        <v>0</v>
      </c>
      <c r="Q119" s="260"/>
      <c r="R119" s="228" t="s">
        <v>338</v>
      </c>
    </row>
    <row r="120" spans="1:18" x14ac:dyDescent="0.3">
      <c r="A120" s="241" t="s">
        <v>344</v>
      </c>
      <c r="B120" s="236" t="s">
        <v>450</v>
      </c>
      <c r="C120" s="236"/>
      <c r="D120" s="236">
        <f t="shared" si="5"/>
        <v>501000</v>
      </c>
      <c r="E120" s="236">
        <v>501000</v>
      </c>
      <c r="F120" s="236">
        <v>501000</v>
      </c>
      <c r="G120" s="240" t="s">
        <v>346</v>
      </c>
      <c r="H120" s="228"/>
      <c r="I120" s="256" t="s">
        <v>368</v>
      </c>
      <c r="J120" s="236"/>
      <c r="K120" s="236"/>
      <c r="L120" s="236"/>
      <c r="M120" s="236"/>
      <c r="N120" s="236"/>
      <c r="O120" s="236">
        <v>501000</v>
      </c>
      <c r="P120" s="236">
        <f t="shared" si="4"/>
        <v>0</v>
      </c>
      <c r="Q120" s="260"/>
      <c r="R120" s="228" t="s">
        <v>338</v>
      </c>
    </row>
    <row r="121" spans="1:18" x14ac:dyDescent="0.3">
      <c r="A121" s="241" t="s">
        <v>344</v>
      </c>
      <c r="B121" s="236" t="s">
        <v>427</v>
      </c>
      <c r="C121" s="236"/>
      <c r="D121" s="236">
        <f t="shared" si="5"/>
        <v>500000</v>
      </c>
      <c r="E121" s="236">
        <v>500000</v>
      </c>
      <c r="F121" s="236">
        <v>500000</v>
      </c>
      <c r="G121" s="240" t="s">
        <v>346</v>
      </c>
      <c r="H121" s="228"/>
      <c r="I121" s="256" t="s">
        <v>368</v>
      </c>
      <c r="J121" s="236"/>
      <c r="K121" s="236"/>
      <c r="L121" s="236"/>
      <c r="M121" s="236"/>
      <c r="N121" s="236"/>
      <c r="O121" s="236">
        <v>500000</v>
      </c>
      <c r="P121" s="236">
        <f t="shared" si="4"/>
        <v>0</v>
      </c>
      <c r="Q121" s="260"/>
      <c r="R121" s="228" t="s">
        <v>338</v>
      </c>
    </row>
    <row r="122" spans="1:18" x14ac:dyDescent="0.3">
      <c r="A122" s="241" t="s">
        <v>344</v>
      </c>
      <c r="B122" s="236" t="s">
        <v>451</v>
      </c>
      <c r="C122" s="236"/>
      <c r="D122" s="236">
        <f t="shared" si="5"/>
        <v>500000</v>
      </c>
      <c r="E122" s="252">
        <v>500000</v>
      </c>
      <c r="F122" s="252">
        <v>500000</v>
      </c>
      <c r="G122" s="240" t="s">
        <v>346</v>
      </c>
      <c r="H122" s="228"/>
      <c r="I122" s="256" t="s">
        <v>337</v>
      </c>
      <c r="J122" s="236"/>
      <c r="K122" s="236"/>
      <c r="L122" s="236">
        <v>500000</v>
      </c>
      <c r="M122" s="236"/>
      <c r="N122" s="236"/>
      <c r="O122" s="236"/>
      <c r="P122" s="236">
        <f t="shared" si="4"/>
        <v>0</v>
      </c>
      <c r="Q122" s="260"/>
      <c r="R122" s="251" t="s">
        <v>338</v>
      </c>
    </row>
    <row r="123" spans="1:18" x14ac:dyDescent="0.3">
      <c r="A123" s="233" t="s">
        <v>382</v>
      </c>
      <c r="B123" s="234" t="s">
        <v>452</v>
      </c>
      <c r="C123" s="234"/>
      <c r="D123" s="236">
        <f t="shared" si="5"/>
        <v>0</v>
      </c>
      <c r="E123" s="237"/>
      <c r="F123" s="237">
        <v>500000</v>
      </c>
      <c r="G123" s="238"/>
      <c r="H123" s="228"/>
      <c r="I123" s="256" t="s">
        <v>368</v>
      </c>
      <c r="J123" s="237">
        <v>500000</v>
      </c>
      <c r="K123" s="237"/>
      <c r="L123" s="237"/>
      <c r="M123" s="237"/>
      <c r="N123" s="237"/>
      <c r="O123" s="237"/>
      <c r="P123" s="236">
        <f t="shared" si="4"/>
        <v>0</v>
      </c>
      <c r="Q123" s="260"/>
      <c r="R123" s="251" t="s">
        <v>338</v>
      </c>
    </row>
    <row r="124" spans="1:18" x14ac:dyDescent="0.3">
      <c r="A124" s="241" t="s">
        <v>344</v>
      </c>
      <c r="B124" s="236" t="s">
        <v>393</v>
      </c>
      <c r="C124" s="236"/>
      <c r="D124" s="236">
        <f t="shared" si="5"/>
        <v>498000</v>
      </c>
      <c r="E124" s="236">
        <v>498000</v>
      </c>
      <c r="F124" s="236">
        <v>498000</v>
      </c>
      <c r="G124" s="240" t="s">
        <v>346</v>
      </c>
      <c r="H124" s="228"/>
      <c r="I124" s="256" t="s">
        <v>337</v>
      </c>
      <c r="J124" s="236"/>
      <c r="K124" s="236"/>
      <c r="L124" s="236"/>
      <c r="M124" s="236">
        <v>498000</v>
      </c>
      <c r="N124" s="236"/>
      <c r="O124" s="236"/>
      <c r="P124" s="236">
        <f t="shared" si="4"/>
        <v>0</v>
      </c>
      <c r="Q124" s="260"/>
      <c r="R124" s="228" t="s">
        <v>338</v>
      </c>
    </row>
    <row r="125" spans="1:18" x14ac:dyDescent="0.3">
      <c r="A125" s="241" t="s">
        <v>344</v>
      </c>
      <c r="B125" s="236" t="s">
        <v>453</v>
      </c>
      <c r="C125" s="236"/>
      <c r="D125" s="236">
        <f t="shared" si="5"/>
        <v>496748.81</v>
      </c>
      <c r="E125" s="236">
        <v>496748.81</v>
      </c>
      <c r="F125" s="236">
        <v>496748.81</v>
      </c>
      <c r="G125" s="240" t="s">
        <v>346</v>
      </c>
      <c r="H125" s="228"/>
      <c r="I125" s="256" t="s">
        <v>368</v>
      </c>
      <c r="J125" s="236"/>
      <c r="K125" s="236"/>
      <c r="L125" s="236"/>
      <c r="M125" s="236">
        <v>496748.81</v>
      </c>
      <c r="N125" s="236"/>
      <c r="O125" s="236"/>
      <c r="P125" s="236">
        <f t="shared" si="4"/>
        <v>0</v>
      </c>
      <c r="Q125" s="260"/>
      <c r="R125" s="251" t="s">
        <v>338</v>
      </c>
    </row>
    <row r="126" spans="1:18" x14ac:dyDescent="0.3">
      <c r="A126" s="241" t="s">
        <v>344</v>
      </c>
      <c r="B126" s="236" t="s">
        <v>454</v>
      </c>
      <c r="C126" s="236"/>
      <c r="D126" s="236">
        <f t="shared" si="5"/>
        <v>0</v>
      </c>
      <c r="E126" s="236"/>
      <c r="F126" s="236">
        <v>480538.63</v>
      </c>
      <c r="G126" s="240" t="s">
        <v>346</v>
      </c>
      <c r="H126" s="228"/>
      <c r="I126" s="256" t="s">
        <v>368</v>
      </c>
      <c r="J126" s="236">
        <v>480538.63</v>
      </c>
      <c r="K126" s="236"/>
      <c r="L126" s="236"/>
      <c r="M126" s="236"/>
      <c r="N126" s="236"/>
      <c r="O126" s="236"/>
      <c r="P126" s="236">
        <f t="shared" si="4"/>
        <v>0</v>
      </c>
      <c r="Q126" s="260"/>
      <c r="R126" s="251" t="s">
        <v>338</v>
      </c>
    </row>
    <row r="127" spans="1:18" x14ac:dyDescent="0.3">
      <c r="A127" s="241" t="s">
        <v>344</v>
      </c>
      <c r="B127" s="236" t="s">
        <v>455</v>
      </c>
      <c r="C127" s="236"/>
      <c r="D127" s="236">
        <f t="shared" si="5"/>
        <v>0</v>
      </c>
      <c r="E127" s="236">
        <v>0</v>
      </c>
      <c r="F127" s="236">
        <v>480000</v>
      </c>
      <c r="G127" s="240" t="s">
        <v>346</v>
      </c>
      <c r="H127" s="228"/>
      <c r="I127" s="256" t="s">
        <v>368</v>
      </c>
      <c r="J127" s="236">
        <v>480000</v>
      </c>
      <c r="K127" s="236"/>
      <c r="L127" s="236"/>
      <c r="M127" s="236"/>
      <c r="N127" s="236"/>
      <c r="O127" s="236"/>
      <c r="P127" s="236">
        <f t="shared" si="4"/>
        <v>0</v>
      </c>
      <c r="Q127" s="260"/>
      <c r="R127" s="228" t="s">
        <v>338</v>
      </c>
    </row>
    <row r="128" spans="1:18" x14ac:dyDescent="0.3">
      <c r="A128" s="241" t="s">
        <v>344</v>
      </c>
      <c r="B128" s="236" t="s">
        <v>456</v>
      </c>
      <c r="C128" s="236"/>
      <c r="D128" s="236">
        <f t="shared" si="5"/>
        <v>437237.5</v>
      </c>
      <c r="E128" s="236">
        <v>437237.5</v>
      </c>
      <c r="F128" s="236">
        <v>437237.5</v>
      </c>
      <c r="G128" s="240" t="s">
        <v>346</v>
      </c>
      <c r="H128" s="228"/>
      <c r="I128" s="256" t="s">
        <v>368</v>
      </c>
      <c r="J128" s="236"/>
      <c r="K128" s="236"/>
      <c r="L128" s="236"/>
      <c r="M128" s="236">
        <v>437237.5</v>
      </c>
      <c r="N128" s="236"/>
      <c r="O128" s="236"/>
      <c r="P128" s="236">
        <f t="shared" si="4"/>
        <v>0</v>
      </c>
      <c r="Q128" s="260"/>
      <c r="R128" s="228" t="s">
        <v>338</v>
      </c>
    </row>
    <row r="129" spans="1:18" x14ac:dyDescent="0.3">
      <c r="A129" s="241" t="s">
        <v>344</v>
      </c>
      <c r="B129" s="236" t="s">
        <v>457</v>
      </c>
      <c r="C129" s="236"/>
      <c r="D129" s="236">
        <f t="shared" si="5"/>
        <v>407566.31</v>
      </c>
      <c r="E129" s="236">
        <v>407566.31</v>
      </c>
      <c r="F129" s="236">
        <v>407566.31</v>
      </c>
      <c r="G129" s="240" t="s">
        <v>346</v>
      </c>
      <c r="H129" s="228"/>
      <c r="I129" s="256" t="s">
        <v>368</v>
      </c>
      <c r="J129" s="236"/>
      <c r="K129" s="236"/>
      <c r="L129" s="236">
        <v>407566.31</v>
      </c>
      <c r="M129" s="236"/>
      <c r="N129" s="236"/>
      <c r="O129" s="236"/>
      <c r="P129" s="236">
        <f t="shared" si="4"/>
        <v>0</v>
      </c>
      <c r="Q129" s="260"/>
      <c r="R129" s="251" t="s">
        <v>338</v>
      </c>
    </row>
    <row r="130" spans="1:18" x14ac:dyDescent="0.3">
      <c r="A130" s="241" t="s">
        <v>344</v>
      </c>
      <c r="B130" s="236" t="s">
        <v>458</v>
      </c>
      <c r="C130" s="236"/>
      <c r="D130" s="236">
        <f t="shared" si="5"/>
        <v>400000</v>
      </c>
      <c r="E130" s="236">
        <v>400000</v>
      </c>
      <c r="F130" s="236">
        <v>400000</v>
      </c>
      <c r="G130" s="240" t="s">
        <v>346</v>
      </c>
      <c r="H130" s="228"/>
      <c r="I130" s="256" t="s">
        <v>368</v>
      </c>
      <c r="J130" s="236"/>
      <c r="K130" s="236"/>
      <c r="L130" s="236"/>
      <c r="M130" s="236">
        <v>400000</v>
      </c>
      <c r="N130" s="236"/>
      <c r="O130" s="236"/>
      <c r="P130" s="236">
        <f t="shared" si="4"/>
        <v>0</v>
      </c>
      <c r="Q130" s="260"/>
      <c r="R130" s="228" t="s">
        <v>338</v>
      </c>
    </row>
    <row r="131" spans="1:18" x14ac:dyDescent="0.3">
      <c r="A131" s="241" t="s">
        <v>344</v>
      </c>
      <c r="B131" s="236" t="s">
        <v>393</v>
      </c>
      <c r="C131" s="236"/>
      <c r="D131" s="236">
        <f t="shared" si="5"/>
        <v>389604.37</v>
      </c>
      <c r="E131" s="236">
        <v>389604.37</v>
      </c>
      <c r="F131" s="236">
        <v>389604.37</v>
      </c>
      <c r="G131" s="240" t="s">
        <v>346</v>
      </c>
      <c r="H131" s="228"/>
      <c r="I131" s="256" t="s">
        <v>337</v>
      </c>
      <c r="J131" s="236"/>
      <c r="K131" s="236"/>
      <c r="L131" s="236">
        <v>389604.37</v>
      </c>
      <c r="M131" s="236"/>
      <c r="N131" s="236"/>
      <c r="O131" s="236"/>
      <c r="P131" s="236">
        <f t="shared" si="4"/>
        <v>0</v>
      </c>
      <c r="Q131" s="260"/>
      <c r="R131" s="228" t="s">
        <v>338</v>
      </c>
    </row>
    <row r="132" spans="1:18" x14ac:dyDescent="0.3">
      <c r="A132" s="241" t="s">
        <v>344</v>
      </c>
      <c r="B132" s="236" t="s">
        <v>459</v>
      </c>
      <c r="C132" s="236"/>
      <c r="D132" s="236">
        <f t="shared" si="5"/>
        <v>376052</v>
      </c>
      <c r="E132" s="236">
        <v>376052</v>
      </c>
      <c r="F132" s="236">
        <v>376052</v>
      </c>
      <c r="G132" s="240" t="s">
        <v>346</v>
      </c>
      <c r="H132" s="228"/>
      <c r="I132" s="256" t="s">
        <v>368</v>
      </c>
      <c r="J132" s="236"/>
      <c r="K132" s="236"/>
      <c r="L132" s="236"/>
      <c r="M132" s="236">
        <v>376052</v>
      </c>
      <c r="N132" s="236"/>
      <c r="O132" s="236"/>
      <c r="P132" s="236">
        <f t="shared" si="4"/>
        <v>0</v>
      </c>
      <c r="Q132" s="260"/>
      <c r="R132" s="251" t="s">
        <v>338</v>
      </c>
    </row>
    <row r="133" spans="1:18" x14ac:dyDescent="0.3">
      <c r="A133" s="233" t="s">
        <v>350</v>
      </c>
      <c r="B133" s="236" t="s">
        <v>460</v>
      </c>
      <c r="C133" s="255" t="s">
        <v>362</v>
      </c>
      <c r="D133" s="236">
        <f t="shared" si="5"/>
        <v>349929.79</v>
      </c>
      <c r="E133" s="236">
        <v>349929.79</v>
      </c>
      <c r="F133" s="236">
        <v>349929.79</v>
      </c>
      <c r="G133" s="240"/>
      <c r="H133" s="228"/>
      <c r="I133" s="256" t="s">
        <v>337</v>
      </c>
      <c r="J133" s="236"/>
      <c r="K133" s="236"/>
      <c r="L133" s="236"/>
      <c r="M133" s="236"/>
      <c r="N133" s="236"/>
      <c r="O133" s="236">
        <v>349929.79</v>
      </c>
      <c r="P133" s="236">
        <f t="shared" si="4"/>
        <v>0</v>
      </c>
      <c r="Q133" s="256"/>
      <c r="R133" s="228" t="s">
        <v>338</v>
      </c>
    </row>
    <row r="134" spans="1:18" x14ac:dyDescent="0.3">
      <c r="A134" s="241" t="s">
        <v>344</v>
      </c>
      <c r="B134" s="236" t="s">
        <v>461</v>
      </c>
      <c r="C134" s="236"/>
      <c r="D134" s="236">
        <f t="shared" si="5"/>
        <v>188355.94</v>
      </c>
      <c r="E134" s="236">
        <v>188355.94</v>
      </c>
      <c r="F134" s="236">
        <v>338213.33</v>
      </c>
      <c r="G134" s="240" t="s">
        <v>346</v>
      </c>
      <c r="H134" s="228"/>
      <c r="I134" s="256" t="s">
        <v>368</v>
      </c>
      <c r="J134" s="236"/>
      <c r="K134" s="236">
        <v>338213.33</v>
      </c>
      <c r="L134" s="236"/>
      <c r="M134" s="236"/>
      <c r="N134" s="236"/>
      <c r="O134" s="236"/>
      <c r="P134" s="236">
        <f t="shared" si="4"/>
        <v>0</v>
      </c>
      <c r="Q134" s="260"/>
      <c r="R134" s="251" t="s">
        <v>462</v>
      </c>
    </row>
    <row r="135" spans="1:18" x14ac:dyDescent="0.3">
      <c r="A135" s="241" t="s">
        <v>344</v>
      </c>
      <c r="B135" s="236" t="s">
        <v>393</v>
      </c>
      <c r="C135" s="236"/>
      <c r="D135" s="236">
        <f t="shared" si="5"/>
        <v>335000</v>
      </c>
      <c r="E135" s="236">
        <v>335000</v>
      </c>
      <c r="F135" s="236">
        <v>335000</v>
      </c>
      <c r="G135" s="240" t="s">
        <v>346</v>
      </c>
      <c r="H135" s="228"/>
      <c r="I135" s="256" t="s">
        <v>337</v>
      </c>
      <c r="J135" s="236"/>
      <c r="K135" s="236"/>
      <c r="L135" s="236"/>
      <c r="M135" s="236">
        <v>335000</v>
      </c>
      <c r="N135" s="236"/>
      <c r="O135" s="236"/>
      <c r="P135" s="236">
        <f t="shared" si="4"/>
        <v>0</v>
      </c>
      <c r="Q135" s="260"/>
      <c r="R135" s="228" t="s">
        <v>338</v>
      </c>
    </row>
    <row r="136" spans="1:18" x14ac:dyDescent="0.3">
      <c r="A136" s="233" t="s">
        <v>360</v>
      </c>
      <c r="B136" s="236" t="s">
        <v>463</v>
      </c>
      <c r="C136" s="236"/>
      <c r="D136" s="236">
        <f t="shared" si="5"/>
        <v>333800</v>
      </c>
      <c r="E136" s="236">
        <v>333800</v>
      </c>
      <c r="F136" s="236">
        <v>333800</v>
      </c>
      <c r="G136" s="240"/>
      <c r="H136" s="228"/>
      <c r="I136" s="256" t="s">
        <v>368</v>
      </c>
      <c r="J136" s="236"/>
      <c r="K136" s="236" t="s">
        <v>363</v>
      </c>
      <c r="L136" s="236"/>
      <c r="M136" s="236" t="s">
        <v>363</v>
      </c>
      <c r="N136" s="236" t="s">
        <v>363</v>
      </c>
      <c r="O136" s="236">
        <v>333800</v>
      </c>
      <c r="P136" s="236">
        <f t="shared" si="4"/>
        <v>0</v>
      </c>
      <c r="Q136" s="260"/>
      <c r="R136" s="251" t="s">
        <v>338</v>
      </c>
    </row>
    <row r="137" spans="1:18" x14ac:dyDescent="0.3">
      <c r="A137" s="241" t="s">
        <v>344</v>
      </c>
      <c r="B137" s="236" t="s">
        <v>393</v>
      </c>
      <c r="C137" s="236"/>
      <c r="D137" s="236">
        <f t="shared" si="5"/>
        <v>319805.82</v>
      </c>
      <c r="E137" s="236">
        <v>319805.82</v>
      </c>
      <c r="F137" s="236">
        <v>319805.82</v>
      </c>
      <c r="G137" s="240" t="s">
        <v>346</v>
      </c>
      <c r="H137" s="228"/>
      <c r="I137" s="256" t="s">
        <v>337</v>
      </c>
      <c r="J137" s="236"/>
      <c r="K137" s="236"/>
      <c r="L137" s="236"/>
      <c r="M137" s="236">
        <v>319805.82</v>
      </c>
      <c r="N137" s="236"/>
      <c r="O137" s="236"/>
      <c r="P137" s="236">
        <f t="shared" si="4"/>
        <v>0</v>
      </c>
      <c r="Q137" s="260"/>
      <c r="R137" s="228" t="s">
        <v>338</v>
      </c>
    </row>
    <row r="138" spans="1:18" x14ac:dyDescent="0.3">
      <c r="A138" s="233" t="s">
        <v>360</v>
      </c>
      <c r="B138" s="234" t="s">
        <v>464</v>
      </c>
      <c r="C138" s="234"/>
      <c r="D138" s="236">
        <f t="shared" si="5"/>
        <v>417500</v>
      </c>
      <c r="E138" s="237">
        <v>417500</v>
      </c>
      <c r="F138" s="237">
        <v>312500</v>
      </c>
      <c r="G138" s="238"/>
      <c r="H138" s="228"/>
      <c r="I138" s="256" t="s">
        <v>337</v>
      </c>
      <c r="J138" s="237"/>
      <c r="K138" s="237" t="s">
        <v>363</v>
      </c>
      <c r="L138" s="237">
        <v>312500</v>
      </c>
      <c r="M138" s="237" t="s">
        <v>363</v>
      </c>
      <c r="N138" s="237" t="s">
        <v>363</v>
      </c>
      <c r="O138" s="237" t="s">
        <v>363</v>
      </c>
      <c r="P138" s="236">
        <f t="shared" si="4"/>
        <v>0</v>
      </c>
      <c r="Q138" s="260"/>
      <c r="R138" s="251" t="s">
        <v>338</v>
      </c>
    </row>
    <row r="139" spans="1:18" x14ac:dyDescent="0.3">
      <c r="A139" s="241" t="s">
        <v>344</v>
      </c>
      <c r="B139" s="236" t="s">
        <v>465</v>
      </c>
      <c r="C139" s="236"/>
      <c r="D139" s="236">
        <f t="shared" si="5"/>
        <v>0</v>
      </c>
      <c r="E139" s="236">
        <v>0</v>
      </c>
      <c r="F139" s="236">
        <v>300000</v>
      </c>
      <c r="G139" s="240" t="s">
        <v>346</v>
      </c>
      <c r="H139" s="228"/>
      <c r="I139" s="256" t="s">
        <v>368</v>
      </c>
      <c r="J139" s="236">
        <v>300000</v>
      </c>
      <c r="K139" s="236"/>
      <c r="L139" s="236"/>
      <c r="M139" s="236"/>
      <c r="N139" s="236"/>
      <c r="O139" s="236"/>
      <c r="P139" s="236">
        <f t="shared" si="4"/>
        <v>0</v>
      </c>
      <c r="Q139" s="260"/>
      <c r="R139" s="228" t="s">
        <v>338</v>
      </c>
    </row>
    <row r="140" spans="1:18" x14ac:dyDescent="0.3">
      <c r="A140" s="241" t="s">
        <v>344</v>
      </c>
      <c r="B140" s="236" t="s">
        <v>466</v>
      </c>
      <c r="C140" s="236"/>
      <c r="D140" s="236">
        <f t="shared" si="5"/>
        <v>0</v>
      </c>
      <c r="E140" s="236"/>
      <c r="F140" s="236">
        <v>300000</v>
      </c>
      <c r="G140" s="240" t="s">
        <v>346</v>
      </c>
      <c r="H140" s="228"/>
      <c r="I140" s="256" t="s">
        <v>368</v>
      </c>
      <c r="J140" s="236">
        <v>300000</v>
      </c>
      <c r="K140" s="236"/>
      <c r="L140" s="236"/>
      <c r="M140" s="236"/>
      <c r="N140" s="236"/>
      <c r="O140" s="236"/>
      <c r="P140" s="236">
        <f t="shared" si="4"/>
        <v>0</v>
      </c>
      <c r="Q140" s="260"/>
      <c r="R140" s="251" t="s">
        <v>338</v>
      </c>
    </row>
    <row r="141" spans="1:18" hidden="1" x14ac:dyDescent="0.3">
      <c r="A141" s="233" t="s">
        <v>334</v>
      </c>
      <c r="B141" s="234" t="s">
        <v>467</v>
      </c>
      <c r="C141" s="234"/>
      <c r="D141" s="236">
        <v>0</v>
      </c>
      <c r="E141" s="237"/>
      <c r="F141" s="237">
        <v>300000</v>
      </c>
      <c r="G141" s="240" t="s">
        <v>340</v>
      </c>
      <c r="H141" s="228" t="s">
        <v>341</v>
      </c>
      <c r="I141" s="256" t="s">
        <v>342</v>
      </c>
      <c r="J141" s="237">
        <v>300000</v>
      </c>
      <c r="K141" s="237"/>
      <c r="L141" s="237"/>
      <c r="M141" s="237"/>
      <c r="N141" s="237"/>
      <c r="O141" s="237"/>
      <c r="P141" s="236">
        <f t="shared" si="4"/>
        <v>0</v>
      </c>
      <c r="Q141" s="260"/>
      <c r="R141" s="251" t="s">
        <v>338</v>
      </c>
    </row>
    <row r="142" spans="1:18" x14ac:dyDescent="0.3">
      <c r="A142" s="233" t="s">
        <v>360</v>
      </c>
      <c r="B142" s="234" t="s">
        <v>468</v>
      </c>
      <c r="C142" s="234"/>
      <c r="D142" s="236">
        <f t="shared" ref="D142:D173" si="6">E142</f>
        <v>292952.13</v>
      </c>
      <c r="E142" s="237">
        <v>292952.13</v>
      </c>
      <c r="F142" s="237">
        <v>297923.56</v>
      </c>
      <c r="G142" s="240"/>
      <c r="H142" s="228"/>
      <c r="I142" s="257" t="s">
        <v>337</v>
      </c>
      <c r="J142" s="237"/>
      <c r="K142" s="237">
        <v>297923.56</v>
      </c>
      <c r="L142" s="237"/>
      <c r="M142" s="237" t="s">
        <v>363</v>
      </c>
      <c r="N142" s="237"/>
      <c r="O142" s="237"/>
      <c r="P142" s="236">
        <f t="shared" si="4"/>
        <v>0</v>
      </c>
      <c r="Q142" s="260"/>
      <c r="R142" s="251" t="s">
        <v>338</v>
      </c>
    </row>
    <row r="143" spans="1:18" x14ac:dyDescent="0.3">
      <c r="A143" s="241" t="s">
        <v>344</v>
      </c>
      <c r="B143" s="236" t="s">
        <v>393</v>
      </c>
      <c r="C143" s="236"/>
      <c r="D143" s="236">
        <f t="shared" si="6"/>
        <v>297671.90999999997</v>
      </c>
      <c r="E143" s="236">
        <v>297671.90999999997</v>
      </c>
      <c r="F143" s="236">
        <v>297671.90999999997</v>
      </c>
      <c r="G143" s="240" t="s">
        <v>346</v>
      </c>
      <c r="H143" s="228"/>
      <c r="I143" s="256" t="s">
        <v>337</v>
      </c>
      <c r="J143" s="236"/>
      <c r="K143" s="236"/>
      <c r="L143" s="236">
        <v>297671.90999999997</v>
      </c>
      <c r="M143" s="236"/>
      <c r="N143" s="236"/>
      <c r="O143" s="236"/>
      <c r="P143" s="236">
        <f t="shared" si="4"/>
        <v>0</v>
      </c>
      <c r="Q143" s="260"/>
      <c r="R143" s="228" t="s">
        <v>338</v>
      </c>
    </row>
    <row r="144" spans="1:18" x14ac:dyDescent="0.3">
      <c r="A144" s="241" t="s">
        <v>344</v>
      </c>
      <c r="B144" s="236" t="s">
        <v>462</v>
      </c>
      <c r="C144" s="236"/>
      <c r="D144" s="236">
        <f t="shared" si="6"/>
        <v>295236.62</v>
      </c>
      <c r="E144" s="236">
        <v>295236.62</v>
      </c>
      <c r="F144" s="236">
        <v>273809.62</v>
      </c>
      <c r="G144" s="240" t="s">
        <v>346</v>
      </c>
      <c r="H144" s="228"/>
      <c r="I144" s="256" t="s">
        <v>368</v>
      </c>
      <c r="J144" s="236"/>
      <c r="K144" s="236"/>
      <c r="L144" s="236"/>
      <c r="M144" s="236"/>
      <c r="N144" s="236">
        <v>273809.62</v>
      </c>
      <c r="O144" s="236"/>
      <c r="P144" s="236">
        <f t="shared" si="4"/>
        <v>0</v>
      </c>
      <c r="Q144" s="260"/>
      <c r="R144" s="228" t="s">
        <v>462</v>
      </c>
    </row>
    <row r="145" spans="1:18" x14ac:dyDescent="0.3">
      <c r="A145" s="233" t="s">
        <v>360</v>
      </c>
      <c r="B145" s="236" t="s">
        <v>469</v>
      </c>
      <c r="C145" s="236"/>
      <c r="D145" s="236">
        <f t="shared" si="6"/>
        <v>273494.13</v>
      </c>
      <c r="E145" s="237">
        <v>273494.13</v>
      </c>
      <c r="F145" s="237">
        <v>272024.13</v>
      </c>
      <c r="G145" s="238"/>
      <c r="H145" s="228"/>
      <c r="I145" s="256" t="s">
        <v>337</v>
      </c>
      <c r="J145" s="237"/>
      <c r="K145" s="237" t="s">
        <v>363</v>
      </c>
      <c r="L145" s="237"/>
      <c r="M145" s="237" t="s">
        <v>363</v>
      </c>
      <c r="N145" s="237" t="s">
        <v>363</v>
      </c>
      <c r="O145" s="237">
        <v>272024.13</v>
      </c>
      <c r="P145" s="236">
        <f t="shared" si="4"/>
        <v>0</v>
      </c>
      <c r="Q145" s="260"/>
      <c r="R145" s="251" t="s">
        <v>338</v>
      </c>
    </row>
    <row r="146" spans="1:18" x14ac:dyDescent="0.3">
      <c r="A146" s="241" t="s">
        <v>344</v>
      </c>
      <c r="B146" s="236" t="s">
        <v>470</v>
      </c>
      <c r="C146" s="236"/>
      <c r="D146" s="236">
        <f t="shared" si="6"/>
        <v>14875.89</v>
      </c>
      <c r="E146" s="236">
        <v>14875.89</v>
      </c>
      <c r="F146" s="236">
        <v>268329</v>
      </c>
      <c r="G146" s="240" t="s">
        <v>346</v>
      </c>
      <c r="H146" s="228"/>
      <c r="I146" s="256" t="s">
        <v>368</v>
      </c>
      <c r="J146" s="236">
        <v>253453.11</v>
      </c>
      <c r="K146" s="236"/>
      <c r="L146" s="236"/>
      <c r="M146" s="236">
        <v>14875.89</v>
      </c>
      <c r="N146" s="236"/>
      <c r="O146" s="236"/>
      <c r="P146" s="236">
        <f t="shared" si="4"/>
        <v>0</v>
      </c>
      <c r="Q146" s="260"/>
      <c r="R146" s="228" t="s">
        <v>338</v>
      </c>
    </row>
    <row r="147" spans="1:18" x14ac:dyDescent="0.3">
      <c r="A147" s="241" t="s">
        <v>344</v>
      </c>
      <c r="B147" s="236" t="s">
        <v>393</v>
      </c>
      <c r="C147" s="242" t="s">
        <v>362</v>
      </c>
      <c r="D147" s="236">
        <f t="shared" si="6"/>
        <v>259919.22</v>
      </c>
      <c r="E147" s="236">
        <v>259919.22</v>
      </c>
      <c r="F147" s="236">
        <v>259919.22</v>
      </c>
      <c r="G147" s="240" t="s">
        <v>346</v>
      </c>
      <c r="H147" s="228"/>
      <c r="I147" s="256" t="s">
        <v>337</v>
      </c>
      <c r="J147" s="236"/>
      <c r="K147" s="236"/>
      <c r="L147" s="236">
        <v>259919.22</v>
      </c>
      <c r="M147" s="236"/>
      <c r="N147" s="236"/>
      <c r="O147" s="236"/>
      <c r="P147" s="236">
        <f t="shared" si="4"/>
        <v>0</v>
      </c>
      <c r="Q147" s="260"/>
      <c r="R147" s="228" t="s">
        <v>338</v>
      </c>
    </row>
    <row r="148" spans="1:18" x14ac:dyDescent="0.3">
      <c r="A148" s="241" t="s">
        <v>344</v>
      </c>
      <c r="B148" s="236" t="s">
        <v>471</v>
      </c>
      <c r="C148" s="242" t="s">
        <v>362</v>
      </c>
      <c r="D148" s="236">
        <f t="shared" si="6"/>
        <v>670040</v>
      </c>
      <c r="E148" s="236">
        <v>670040</v>
      </c>
      <c r="F148" s="236">
        <v>258320</v>
      </c>
      <c r="G148" s="240" t="s">
        <v>346</v>
      </c>
      <c r="H148" s="228"/>
      <c r="I148" s="256" t="s">
        <v>337</v>
      </c>
      <c r="J148" s="236"/>
      <c r="K148" s="236">
        <v>258320</v>
      </c>
      <c r="L148" s="236"/>
      <c r="M148" s="236"/>
      <c r="N148" s="236"/>
      <c r="O148" s="236"/>
      <c r="P148" s="236">
        <f t="shared" si="4"/>
        <v>0</v>
      </c>
      <c r="Q148" s="260"/>
      <c r="R148" s="228" t="s">
        <v>396</v>
      </c>
    </row>
    <row r="149" spans="1:18" x14ac:dyDescent="0.3">
      <c r="A149" s="241" t="s">
        <v>344</v>
      </c>
      <c r="B149" s="236" t="s">
        <v>472</v>
      </c>
      <c r="C149" s="236"/>
      <c r="D149" s="236">
        <f t="shared" si="6"/>
        <v>251784</v>
      </c>
      <c r="E149" s="236">
        <v>251784</v>
      </c>
      <c r="F149" s="236">
        <v>251784</v>
      </c>
      <c r="G149" s="240" t="s">
        <v>346</v>
      </c>
      <c r="H149" s="228"/>
      <c r="I149" s="256" t="s">
        <v>368</v>
      </c>
      <c r="J149" s="236"/>
      <c r="K149" s="236">
        <v>251784</v>
      </c>
      <c r="L149" s="236"/>
      <c r="M149" s="236"/>
      <c r="N149" s="236"/>
      <c r="O149" s="236"/>
      <c r="P149" s="236">
        <f t="shared" si="4"/>
        <v>0</v>
      </c>
      <c r="Q149" s="260"/>
      <c r="R149" s="228" t="s">
        <v>396</v>
      </c>
    </row>
    <row r="150" spans="1:18" x14ac:dyDescent="0.3">
      <c r="A150" s="241" t="s">
        <v>344</v>
      </c>
      <c r="B150" s="243" t="s">
        <v>393</v>
      </c>
      <c r="C150" s="243"/>
      <c r="D150" s="236">
        <f t="shared" si="6"/>
        <v>251782.5</v>
      </c>
      <c r="E150" s="236">
        <v>251782.5</v>
      </c>
      <c r="F150" s="236">
        <v>251782.5</v>
      </c>
      <c r="G150" s="240" t="s">
        <v>346</v>
      </c>
      <c r="H150" s="228"/>
      <c r="I150" s="256" t="s">
        <v>337</v>
      </c>
      <c r="J150" s="236"/>
      <c r="K150" s="236"/>
      <c r="L150" s="236"/>
      <c r="M150" s="236">
        <v>251782.5</v>
      </c>
      <c r="N150" s="236"/>
      <c r="O150" s="236"/>
      <c r="P150" s="236">
        <f t="shared" si="4"/>
        <v>0</v>
      </c>
      <c r="Q150" s="256"/>
      <c r="R150" s="251" t="s">
        <v>338</v>
      </c>
    </row>
    <row r="151" spans="1:18" x14ac:dyDescent="0.3">
      <c r="A151" s="233" t="s">
        <v>349</v>
      </c>
      <c r="B151" s="234" t="s">
        <v>439</v>
      </c>
      <c r="C151" s="234"/>
      <c r="D151" s="236">
        <f t="shared" si="6"/>
        <v>0</v>
      </c>
      <c r="E151" s="237"/>
      <c r="F151" s="237">
        <v>251120</v>
      </c>
      <c r="G151" s="238"/>
      <c r="H151" s="228"/>
      <c r="I151" s="256" t="s">
        <v>368</v>
      </c>
      <c r="J151" s="237">
        <v>251120</v>
      </c>
      <c r="K151" s="237"/>
      <c r="L151" s="237"/>
      <c r="M151" s="237"/>
      <c r="N151" s="237"/>
      <c r="O151" s="237"/>
      <c r="P151" s="236">
        <f t="shared" si="4"/>
        <v>0</v>
      </c>
      <c r="Q151" s="260"/>
      <c r="R151" s="251" t="s">
        <v>338</v>
      </c>
    </row>
    <row r="152" spans="1:18" x14ac:dyDescent="0.3">
      <c r="A152" s="241" t="s">
        <v>344</v>
      </c>
      <c r="B152" s="236" t="s">
        <v>473</v>
      </c>
      <c r="C152" s="236"/>
      <c r="D152" s="236">
        <f t="shared" si="6"/>
        <v>496910</v>
      </c>
      <c r="E152" s="236">
        <v>496910</v>
      </c>
      <c r="F152" s="236">
        <v>234940</v>
      </c>
      <c r="G152" s="240" t="s">
        <v>346</v>
      </c>
      <c r="H152" s="228"/>
      <c r="I152" s="256" t="s">
        <v>337</v>
      </c>
      <c r="J152" s="236"/>
      <c r="K152" s="236">
        <v>19860</v>
      </c>
      <c r="L152" s="236">
        <v>215080</v>
      </c>
      <c r="M152" s="236"/>
      <c r="N152" s="236"/>
      <c r="O152" s="236"/>
      <c r="P152" s="236">
        <f t="shared" si="4"/>
        <v>0</v>
      </c>
      <c r="Q152" s="260"/>
      <c r="R152" s="228" t="s">
        <v>338</v>
      </c>
    </row>
    <row r="153" spans="1:18" x14ac:dyDescent="0.3">
      <c r="A153" s="241" t="s">
        <v>344</v>
      </c>
      <c r="B153" s="236" t="s">
        <v>474</v>
      </c>
      <c r="C153" s="236"/>
      <c r="D153" s="236">
        <f t="shared" si="6"/>
        <v>220000</v>
      </c>
      <c r="E153" s="236">
        <v>220000</v>
      </c>
      <c r="F153" s="236">
        <v>220000</v>
      </c>
      <c r="G153" s="240" t="s">
        <v>346</v>
      </c>
      <c r="H153" s="228"/>
      <c r="I153" s="256" t="s">
        <v>368</v>
      </c>
      <c r="J153" s="236"/>
      <c r="K153" s="236"/>
      <c r="L153" s="236"/>
      <c r="M153" s="236">
        <v>220000</v>
      </c>
      <c r="N153" s="236"/>
      <c r="O153" s="236"/>
      <c r="P153" s="236">
        <f t="shared" si="4"/>
        <v>0</v>
      </c>
      <c r="Q153" s="260"/>
      <c r="R153" s="251" t="s">
        <v>338</v>
      </c>
    </row>
    <row r="154" spans="1:18" x14ac:dyDescent="0.3">
      <c r="A154" s="241" t="s">
        <v>344</v>
      </c>
      <c r="B154" s="236" t="s">
        <v>475</v>
      </c>
      <c r="C154" s="236"/>
      <c r="D154" s="236">
        <f t="shared" si="6"/>
        <v>0</v>
      </c>
      <c r="E154" s="236"/>
      <c r="F154" s="236">
        <v>220000</v>
      </c>
      <c r="G154" s="240" t="s">
        <v>346</v>
      </c>
      <c r="H154" s="228"/>
      <c r="I154" s="256" t="s">
        <v>368</v>
      </c>
      <c r="J154" s="236">
        <v>220000</v>
      </c>
      <c r="K154" s="236"/>
      <c r="L154" s="236"/>
      <c r="M154" s="236"/>
      <c r="N154" s="236"/>
      <c r="O154" s="236"/>
      <c r="P154" s="236">
        <f t="shared" si="4"/>
        <v>0</v>
      </c>
      <c r="Q154" s="260"/>
      <c r="R154" s="251" t="s">
        <v>338</v>
      </c>
    </row>
    <row r="155" spans="1:18" x14ac:dyDescent="0.3">
      <c r="A155" s="241" t="s">
        <v>344</v>
      </c>
      <c r="B155" s="236" t="s">
        <v>476</v>
      </c>
      <c r="C155" s="236"/>
      <c r="D155" s="236">
        <f t="shared" si="6"/>
        <v>216640</v>
      </c>
      <c r="E155" s="236">
        <v>216640</v>
      </c>
      <c r="F155" s="236">
        <v>216640</v>
      </c>
      <c r="G155" s="240" t="s">
        <v>346</v>
      </c>
      <c r="H155" s="228"/>
      <c r="I155" s="256" t="s">
        <v>368</v>
      </c>
      <c r="J155" s="236"/>
      <c r="K155" s="236"/>
      <c r="L155" s="236">
        <v>216640</v>
      </c>
      <c r="M155" s="236"/>
      <c r="N155" s="236"/>
      <c r="O155" s="236"/>
      <c r="P155" s="236">
        <f t="shared" si="4"/>
        <v>0</v>
      </c>
      <c r="Q155" s="260"/>
      <c r="R155" s="251" t="s">
        <v>338</v>
      </c>
    </row>
    <row r="156" spans="1:18" x14ac:dyDescent="0.3">
      <c r="A156" s="241" t="s">
        <v>344</v>
      </c>
      <c r="B156" s="236" t="s">
        <v>477</v>
      </c>
      <c r="C156" s="236"/>
      <c r="D156" s="236">
        <f t="shared" si="6"/>
        <v>201030</v>
      </c>
      <c r="E156" s="236">
        <v>201030</v>
      </c>
      <c r="F156" s="236">
        <v>201030</v>
      </c>
      <c r="G156" s="240" t="s">
        <v>346</v>
      </c>
      <c r="H156" s="228"/>
      <c r="I156" s="256" t="s">
        <v>368</v>
      </c>
      <c r="J156" s="236"/>
      <c r="K156" s="236"/>
      <c r="L156" s="236"/>
      <c r="M156" s="236">
        <v>201030</v>
      </c>
      <c r="N156" s="236"/>
      <c r="O156" s="236"/>
      <c r="P156" s="236">
        <f t="shared" si="4"/>
        <v>0</v>
      </c>
      <c r="Q156" s="260"/>
      <c r="R156" s="228" t="s">
        <v>338</v>
      </c>
    </row>
    <row r="157" spans="1:18" x14ac:dyDescent="0.3">
      <c r="A157" s="241" t="s">
        <v>344</v>
      </c>
      <c r="B157" s="236" t="s">
        <v>478</v>
      </c>
      <c r="C157" s="236"/>
      <c r="D157" s="236">
        <f t="shared" si="6"/>
        <v>200000</v>
      </c>
      <c r="E157" s="236">
        <v>200000</v>
      </c>
      <c r="F157" s="236">
        <v>200000</v>
      </c>
      <c r="G157" s="240" t="s">
        <v>346</v>
      </c>
      <c r="H157" s="228"/>
      <c r="I157" s="256" t="s">
        <v>368</v>
      </c>
      <c r="J157" s="236"/>
      <c r="K157" s="236">
        <v>200000</v>
      </c>
      <c r="L157" s="236"/>
      <c r="M157" s="236"/>
      <c r="N157" s="236"/>
      <c r="O157" s="236"/>
      <c r="P157" s="236">
        <f t="shared" si="4"/>
        <v>0</v>
      </c>
      <c r="Q157" s="260"/>
      <c r="R157" s="251" t="s">
        <v>338</v>
      </c>
    </row>
    <row r="158" spans="1:18" x14ac:dyDescent="0.3">
      <c r="A158" s="241" t="s">
        <v>344</v>
      </c>
      <c r="B158" s="236" t="s">
        <v>479</v>
      </c>
      <c r="C158" s="236"/>
      <c r="D158" s="236">
        <f t="shared" si="6"/>
        <v>200000</v>
      </c>
      <c r="E158" s="236">
        <v>200000</v>
      </c>
      <c r="F158" s="236">
        <v>200000</v>
      </c>
      <c r="G158" s="240" t="s">
        <v>346</v>
      </c>
      <c r="H158" s="228"/>
      <c r="I158" s="256" t="s">
        <v>337</v>
      </c>
      <c r="J158" s="236"/>
      <c r="K158" s="236"/>
      <c r="L158" s="236">
        <v>200000</v>
      </c>
      <c r="M158" s="236"/>
      <c r="N158" s="236"/>
      <c r="O158" s="236"/>
      <c r="P158" s="236">
        <f t="shared" si="4"/>
        <v>0</v>
      </c>
      <c r="Q158" s="260"/>
      <c r="R158" s="251" t="s">
        <v>338</v>
      </c>
    </row>
    <row r="159" spans="1:18" x14ac:dyDescent="0.3">
      <c r="A159" s="241" t="s">
        <v>344</v>
      </c>
      <c r="B159" s="236" t="s">
        <v>393</v>
      </c>
      <c r="C159" s="236"/>
      <c r="D159" s="236">
        <f t="shared" si="6"/>
        <v>176329.51</v>
      </c>
      <c r="E159" s="236">
        <v>176329.51</v>
      </c>
      <c r="F159" s="236">
        <v>176329.51</v>
      </c>
      <c r="G159" s="240" t="s">
        <v>346</v>
      </c>
      <c r="H159" s="228"/>
      <c r="I159" s="256" t="s">
        <v>337</v>
      </c>
      <c r="J159" s="236"/>
      <c r="K159" s="236"/>
      <c r="L159" s="236">
        <v>176329.51</v>
      </c>
      <c r="M159" s="236"/>
      <c r="N159" s="236"/>
      <c r="O159" s="236"/>
      <c r="P159" s="236">
        <f t="shared" si="4"/>
        <v>0</v>
      </c>
      <c r="Q159" s="260"/>
      <c r="R159" s="228" t="s">
        <v>338</v>
      </c>
    </row>
    <row r="160" spans="1:18" x14ac:dyDescent="0.3">
      <c r="A160" s="241" t="s">
        <v>344</v>
      </c>
      <c r="B160" s="236" t="s">
        <v>480</v>
      </c>
      <c r="C160" s="236"/>
      <c r="D160" s="236">
        <f t="shared" si="6"/>
        <v>172962.11</v>
      </c>
      <c r="E160" s="236">
        <v>172962.11</v>
      </c>
      <c r="F160" s="236">
        <v>172962.11</v>
      </c>
      <c r="G160" s="240" t="s">
        <v>346</v>
      </c>
      <c r="H160" s="228"/>
      <c r="I160" s="256" t="s">
        <v>368</v>
      </c>
      <c r="J160" s="236"/>
      <c r="K160" s="236"/>
      <c r="L160" s="236">
        <v>172962.11</v>
      </c>
      <c r="M160" s="236"/>
      <c r="N160" s="236"/>
      <c r="O160" s="236"/>
      <c r="P160" s="236">
        <f t="shared" si="4"/>
        <v>0</v>
      </c>
      <c r="Q160" s="260"/>
      <c r="R160" s="251" t="s">
        <v>338</v>
      </c>
    </row>
    <row r="161" spans="1:18" x14ac:dyDescent="0.3">
      <c r="A161" s="241" t="s">
        <v>344</v>
      </c>
      <c r="B161" s="236" t="s">
        <v>472</v>
      </c>
      <c r="C161" s="236"/>
      <c r="D161" s="236">
        <f t="shared" si="6"/>
        <v>290016</v>
      </c>
      <c r="E161" s="260">
        <v>290016</v>
      </c>
      <c r="F161" s="260">
        <v>162940</v>
      </c>
      <c r="G161" s="240" t="s">
        <v>346</v>
      </c>
      <c r="H161" s="228"/>
      <c r="I161" s="256" t="s">
        <v>368</v>
      </c>
      <c r="J161" s="260"/>
      <c r="K161" s="260">
        <v>162940</v>
      </c>
      <c r="L161" s="236"/>
      <c r="M161" s="236"/>
      <c r="N161" s="236"/>
      <c r="O161" s="236"/>
      <c r="P161" s="236">
        <f t="shared" si="4"/>
        <v>0</v>
      </c>
      <c r="Q161" s="260"/>
      <c r="R161" s="251" t="s">
        <v>396</v>
      </c>
    </row>
    <row r="162" spans="1:18" x14ac:dyDescent="0.3">
      <c r="A162" s="241" t="s">
        <v>344</v>
      </c>
      <c r="B162" s="243" t="s">
        <v>393</v>
      </c>
      <c r="C162" s="243"/>
      <c r="D162" s="236">
        <f t="shared" si="6"/>
        <v>153982.84</v>
      </c>
      <c r="E162" s="236">
        <v>153982.84</v>
      </c>
      <c r="F162" s="236">
        <v>153982.84</v>
      </c>
      <c r="G162" s="240" t="s">
        <v>346</v>
      </c>
      <c r="H162" s="228"/>
      <c r="I162" s="256" t="s">
        <v>337</v>
      </c>
      <c r="J162" s="236"/>
      <c r="K162" s="236"/>
      <c r="L162" s="236">
        <v>153982.84</v>
      </c>
      <c r="M162" s="236"/>
      <c r="N162" s="236"/>
      <c r="O162" s="236"/>
      <c r="P162" s="236">
        <f t="shared" si="4"/>
        <v>0</v>
      </c>
      <c r="Q162" s="256"/>
      <c r="R162" s="251" t="s">
        <v>338</v>
      </c>
    </row>
    <row r="163" spans="1:18" x14ac:dyDescent="0.3">
      <c r="A163" s="241" t="s">
        <v>344</v>
      </c>
      <c r="B163" s="236" t="s">
        <v>481</v>
      </c>
      <c r="C163" s="242" t="s">
        <v>362</v>
      </c>
      <c r="D163" s="236">
        <f t="shared" si="6"/>
        <v>150000</v>
      </c>
      <c r="E163" s="236">
        <v>150000</v>
      </c>
      <c r="F163" s="236">
        <v>150000</v>
      </c>
      <c r="G163" s="240" t="s">
        <v>346</v>
      </c>
      <c r="H163" s="228"/>
      <c r="I163" s="256" t="s">
        <v>368</v>
      </c>
      <c r="J163" s="236"/>
      <c r="K163" s="236"/>
      <c r="L163" s="236">
        <v>150000</v>
      </c>
      <c r="M163" s="236"/>
      <c r="N163" s="236"/>
      <c r="O163" s="236"/>
      <c r="P163" s="236">
        <f t="shared" si="4"/>
        <v>0</v>
      </c>
      <c r="Q163" s="260"/>
      <c r="R163" s="228" t="s">
        <v>338</v>
      </c>
    </row>
    <row r="164" spans="1:18" x14ac:dyDescent="0.3">
      <c r="A164" s="241" t="s">
        <v>344</v>
      </c>
      <c r="B164" s="236" t="s">
        <v>482</v>
      </c>
      <c r="C164" s="236"/>
      <c r="D164" s="236">
        <f t="shared" si="6"/>
        <v>0</v>
      </c>
      <c r="E164" s="236"/>
      <c r="F164" s="236">
        <v>147699.73000000001</v>
      </c>
      <c r="G164" s="240" t="s">
        <v>346</v>
      </c>
      <c r="H164" s="228"/>
      <c r="I164" s="256" t="s">
        <v>368</v>
      </c>
      <c r="J164" s="236">
        <v>147699.73000000001</v>
      </c>
      <c r="K164" s="236"/>
      <c r="L164" s="236"/>
      <c r="M164" s="236"/>
      <c r="N164" s="236"/>
      <c r="O164" s="236"/>
      <c r="P164" s="236">
        <f t="shared" si="4"/>
        <v>0</v>
      </c>
      <c r="Q164" s="260"/>
      <c r="R164" s="251" t="s">
        <v>338</v>
      </c>
    </row>
    <row r="165" spans="1:18" x14ac:dyDescent="0.3">
      <c r="A165" s="241" t="s">
        <v>344</v>
      </c>
      <c r="B165" s="236" t="s">
        <v>393</v>
      </c>
      <c r="C165" s="236"/>
      <c r="D165" s="236">
        <f t="shared" si="6"/>
        <v>145389.12</v>
      </c>
      <c r="E165" s="236">
        <v>145389.12</v>
      </c>
      <c r="F165" s="236">
        <v>145389.12</v>
      </c>
      <c r="G165" s="240" t="s">
        <v>346</v>
      </c>
      <c r="H165" s="228"/>
      <c r="I165" s="256" t="s">
        <v>337</v>
      </c>
      <c r="J165" s="236"/>
      <c r="K165" s="236"/>
      <c r="L165" s="236"/>
      <c r="M165" s="236">
        <v>145389.12</v>
      </c>
      <c r="N165" s="236"/>
      <c r="O165" s="236"/>
      <c r="P165" s="236">
        <f t="shared" si="4"/>
        <v>0</v>
      </c>
      <c r="Q165" s="260"/>
      <c r="R165" s="251" t="s">
        <v>338</v>
      </c>
    </row>
    <row r="166" spans="1:18" x14ac:dyDescent="0.3">
      <c r="A166" s="241" t="s">
        <v>344</v>
      </c>
      <c r="B166" s="236" t="s">
        <v>483</v>
      </c>
      <c r="C166" s="236"/>
      <c r="D166" s="236">
        <f t="shared" si="6"/>
        <v>0</v>
      </c>
      <c r="E166" s="236"/>
      <c r="F166" s="236">
        <v>135000</v>
      </c>
      <c r="G166" s="240" t="s">
        <v>346</v>
      </c>
      <c r="H166" s="228"/>
      <c r="I166" s="256" t="s">
        <v>368</v>
      </c>
      <c r="J166" s="236">
        <v>135000</v>
      </c>
      <c r="K166" s="236"/>
      <c r="L166" s="236"/>
      <c r="M166" s="236"/>
      <c r="N166" s="236"/>
      <c r="O166" s="236"/>
      <c r="P166" s="236">
        <f t="shared" si="4"/>
        <v>0</v>
      </c>
      <c r="Q166" s="260"/>
      <c r="R166" s="251" t="s">
        <v>338</v>
      </c>
    </row>
    <row r="167" spans="1:18" x14ac:dyDescent="0.3">
      <c r="A167" s="233" t="s">
        <v>350</v>
      </c>
      <c r="B167" s="236" t="s">
        <v>484</v>
      </c>
      <c r="C167" s="236"/>
      <c r="D167" s="236">
        <f t="shared" si="6"/>
        <v>134308.37</v>
      </c>
      <c r="E167" s="236">
        <v>134308.37</v>
      </c>
      <c r="F167" s="236">
        <v>134308.37</v>
      </c>
      <c r="G167" s="240"/>
      <c r="H167" s="228"/>
      <c r="I167" s="256" t="s">
        <v>337</v>
      </c>
      <c r="J167" s="236"/>
      <c r="K167" s="236"/>
      <c r="L167" s="236"/>
      <c r="M167" s="236"/>
      <c r="N167" s="236"/>
      <c r="O167" s="236">
        <v>134308.37</v>
      </c>
      <c r="P167" s="236">
        <f t="shared" si="4"/>
        <v>0</v>
      </c>
      <c r="Q167" s="260"/>
      <c r="R167" s="228" t="s">
        <v>338</v>
      </c>
    </row>
    <row r="168" spans="1:18" x14ac:dyDescent="0.3">
      <c r="A168" s="241" t="s">
        <v>344</v>
      </c>
      <c r="B168" s="236" t="s">
        <v>485</v>
      </c>
      <c r="C168" s="236"/>
      <c r="D168" s="236">
        <f t="shared" si="6"/>
        <v>132465</v>
      </c>
      <c r="E168" s="236">
        <v>132465</v>
      </c>
      <c r="F168" s="236">
        <v>130465</v>
      </c>
      <c r="G168" s="240" t="s">
        <v>346</v>
      </c>
      <c r="H168" s="228"/>
      <c r="I168" s="256" t="s">
        <v>337</v>
      </c>
      <c r="J168" s="236"/>
      <c r="K168" s="236"/>
      <c r="L168" s="236">
        <v>130465</v>
      </c>
      <c r="M168" s="236"/>
      <c r="N168" s="236"/>
      <c r="O168" s="236"/>
      <c r="P168" s="236">
        <f t="shared" si="4"/>
        <v>0</v>
      </c>
      <c r="Q168" s="260"/>
      <c r="R168" s="251" t="s">
        <v>396</v>
      </c>
    </row>
    <row r="169" spans="1:18" x14ac:dyDescent="0.3">
      <c r="A169" s="241" t="s">
        <v>344</v>
      </c>
      <c r="B169" s="236" t="s">
        <v>486</v>
      </c>
      <c r="C169" s="236"/>
      <c r="D169" s="236">
        <f t="shared" si="6"/>
        <v>133154.32999999999</v>
      </c>
      <c r="E169" s="236">
        <v>133154.32999999999</v>
      </c>
      <c r="F169" s="236">
        <v>128961.94</v>
      </c>
      <c r="G169" s="240" t="s">
        <v>346</v>
      </c>
      <c r="H169" s="228"/>
      <c r="I169" s="256" t="s">
        <v>368</v>
      </c>
      <c r="J169" s="236"/>
      <c r="K169" s="236">
        <v>11504.85</v>
      </c>
      <c r="L169" s="236"/>
      <c r="M169" s="236"/>
      <c r="N169" s="236"/>
      <c r="O169" s="236">
        <v>117457.09</v>
      </c>
      <c r="P169" s="236">
        <f t="shared" si="4"/>
        <v>0</v>
      </c>
      <c r="Q169" s="260"/>
      <c r="R169" s="228" t="s">
        <v>338</v>
      </c>
    </row>
    <row r="170" spans="1:18" x14ac:dyDescent="0.3">
      <c r="A170" s="241" t="s">
        <v>344</v>
      </c>
      <c r="B170" s="236" t="s">
        <v>487</v>
      </c>
      <c r="C170" s="236"/>
      <c r="D170" s="236">
        <f t="shared" si="6"/>
        <v>0</v>
      </c>
      <c r="E170" s="236"/>
      <c r="F170" s="236">
        <v>124151</v>
      </c>
      <c r="G170" s="240" t="s">
        <v>346</v>
      </c>
      <c r="H170" s="228"/>
      <c r="I170" s="256" t="s">
        <v>368</v>
      </c>
      <c r="J170" s="236">
        <v>124151</v>
      </c>
      <c r="K170" s="236"/>
      <c r="L170" s="236"/>
      <c r="M170" s="236"/>
      <c r="N170" s="236"/>
      <c r="O170" s="236"/>
      <c r="P170" s="236">
        <f t="shared" si="4"/>
        <v>0</v>
      </c>
      <c r="Q170" s="260"/>
      <c r="R170" s="251" t="s">
        <v>338</v>
      </c>
    </row>
    <row r="171" spans="1:18" x14ac:dyDescent="0.3">
      <c r="A171" s="241" t="s">
        <v>344</v>
      </c>
      <c r="B171" s="236" t="s">
        <v>481</v>
      </c>
      <c r="C171" s="242" t="s">
        <v>362</v>
      </c>
      <c r="D171" s="236">
        <f t="shared" si="6"/>
        <v>112150</v>
      </c>
      <c r="E171" s="236">
        <v>112150</v>
      </c>
      <c r="F171" s="236">
        <v>112150</v>
      </c>
      <c r="G171" s="240" t="s">
        <v>346</v>
      </c>
      <c r="H171" s="228"/>
      <c r="I171" s="256" t="s">
        <v>368</v>
      </c>
      <c r="J171" s="236"/>
      <c r="K171" s="236"/>
      <c r="L171" s="236">
        <v>112150</v>
      </c>
      <c r="M171" s="236"/>
      <c r="N171" s="236"/>
      <c r="O171" s="236"/>
      <c r="P171" s="236">
        <f t="shared" ref="P171:P234" si="7">F171-SUM(J171:O171)</f>
        <v>0</v>
      </c>
      <c r="Q171" s="260"/>
      <c r="R171" s="228" t="s">
        <v>338</v>
      </c>
    </row>
    <row r="172" spans="1:18" x14ac:dyDescent="0.3">
      <c r="A172" s="233" t="s">
        <v>353</v>
      </c>
      <c r="B172" s="236" t="s">
        <v>488</v>
      </c>
      <c r="C172" s="236"/>
      <c r="D172" s="236">
        <f t="shared" si="6"/>
        <v>121600</v>
      </c>
      <c r="E172" s="236">
        <v>121600</v>
      </c>
      <c r="F172" s="236">
        <v>110000</v>
      </c>
      <c r="G172" s="240"/>
      <c r="H172" s="228"/>
      <c r="I172" s="256" t="s">
        <v>368</v>
      </c>
      <c r="J172" s="236"/>
      <c r="K172" s="236">
        <v>27900</v>
      </c>
      <c r="L172" s="236">
        <v>13718.74</v>
      </c>
      <c r="M172" s="236">
        <v>41284.5</v>
      </c>
      <c r="N172" s="236">
        <v>27096.76</v>
      </c>
      <c r="O172" s="236"/>
      <c r="P172" s="236">
        <f t="shared" si="7"/>
        <v>0</v>
      </c>
      <c r="Q172" s="260"/>
      <c r="R172" s="228" t="s">
        <v>462</v>
      </c>
    </row>
    <row r="173" spans="1:18" x14ac:dyDescent="0.3">
      <c r="A173" s="233" t="s">
        <v>350</v>
      </c>
      <c r="B173" s="236" t="s">
        <v>489</v>
      </c>
      <c r="C173" s="242" t="s">
        <v>336</v>
      </c>
      <c r="D173" s="236">
        <f t="shared" si="6"/>
        <v>516932.93</v>
      </c>
      <c r="E173" s="236">
        <v>516932.93</v>
      </c>
      <c r="F173" s="236">
        <v>109799.2</v>
      </c>
      <c r="G173" s="240"/>
      <c r="H173" s="228"/>
      <c r="I173" s="256" t="s">
        <v>368</v>
      </c>
      <c r="J173" s="236">
        <v>109799.2</v>
      </c>
      <c r="K173" s="236">
        <v>0</v>
      </c>
      <c r="L173" s="236"/>
      <c r="M173" s="236"/>
      <c r="N173" s="236"/>
      <c r="O173" s="236"/>
      <c r="P173" s="236">
        <f t="shared" si="7"/>
        <v>0</v>
      </c>
      <c r="Q173" s="260"/>
      <c r="R173" s="228" t="s">
        <v>338</v>
      </c>
    </row>
    <row r="174" spans="1:18" x14ac:dyDescent="0.3">
      <c r="A174" s="233" t="s">
        <v>349</v>
      </c>
      <c r="B174" s="234" t="s">
        <v>490</v>
      </c>
      <c r="C174" s="234"/>
      <c r="D174" s="236">
        <f t="shared" ref="D174:D205" si="8">E174</f>
        <v>0</v>
      </c>
      <c r="E174" s="237"/>
      <c r="F174" s="237">
        <v>100080</v>
      </c>
      <c r="G174" s="238"/>
      <c r="H174" s="228"/>
      <c r="I174" s="256" t="s">
        <v>368</v>
      </c>
      <c r="J174" s="237">
        <v>100080</v>
      </c>
      <c r="K174" s="237"/>
      <c r="L174" s="237"/>
      <c r="M174" s="237"/>
      <c r="N174" s="237"/>
      <c r="O174" s="237"/>
      <c r="P174" s="236">
        <f t="shared" si="7"/>
        <v>0</v>
      </c>
      <c r="Q174" s="260"/>
      <c r="R174" s="251" t="s">
        <v>449</v>
      </c>
    </row>
    <row r="175" spans="1:18" x14ac:dyDescent="0.3">
      <c r="A175" s="241" t="s">
        <v>344</v>
      </c>
      <c r="B175" s="236" t="s">
        <v>462</v>
      </c>
      <c r="C175" s="236"/>
      <c r="D175" s="236">
        <f t="shared" si="8"/>
        <v>100000</v>
      </c>
      <c r="E175" s="236">
        <v>100000</v>
      </c>
      <c r="F175" s="236">
        <v>100000</v>
      </c>
      <c r="G175" s="240" t="s">
        <v>346</v>
      </c>
      <c r="H175" s="228"/>
      <c r="I175" s="256" t="s">
        <v>368</v>
      </c>
      <c r="J175" s="236"/>
      <c r="K175" s="236"/>
      <c r="L175" s="236">
        <v>100000</v>
      </c>
      <c r="M175" s="236"/>
      <c r="N175" s="236"/>
      <c r="O175" s="236"/>
      <c r="P175" s="236">
        <f t="shared" si="7"/>
        <v>0</v>
      </c>
      <c r="Q175" s="260"/>
      <c r="R175" s="228" t="s">
        <v>462</v>
      </c>
    </row>
    <row r="176" spans="1:18" x14ac:dyDescent="0.3">
      <c r="A176" s="241" t="s">
        <v>344</v>
      </c>
      <c r="B176" s="236" t="s">
        <v>491</v>
      </c>
      <c r="C176" s="236"/>
      <c r="D176" s="236">
        <f t="shared" si="8"/>
        <v>100000</v>
      </c>
      <c r="E176" s="236">
        <v>100000</v>
      </c>
      <c r="F176" s="236">
        <v>100000</v>
      </c>
      <c r="G176" s="240" t="s">
        <v>346</v>
      </c>
      <c r="H176" s="228"/>
      <c r="I176" s="256" t="s">
        <v>368</v>
      </c>
      <c r="J176" s="236"/>
      <c r="K176" s="236"/>
      <c r="L176" s="236"/>
      <c r="M176" s="236"/>
      <c r="N176" s="236"/>
      <c r="O176" s="236">
        <v>100000</v>
      </c>
      <c r="P176" s="236">
        <f t="shared" si="7"/>
        <v>0</v>
      </c>
      <c r="Q176" s="260"/>
      <c r="R176" s="228" t="s">
        <v>338</v>
      </c>
    </row>
    <row r="177" spans="1:18" x14ac:dyDescent="0.3">
      <c r="A177" s="233" t="s">
        <v>360</v>
      </c>
      <c r="B177" s="234" t="s">
        <v>492</v>
      </c>
      <c r="C177" s="234"/>
      <c r="D177" s="236">
        <f t="shared" si="8"/>
        <v>178580</v>
      </c>
      <c r="E177" s="237">
        <v>178580</v>
      </c>
      <c r="F177" s="237">
        <v>91280</v>
      </c>
      <c r="G177" s="238"/>
      <c r="H177" s="228"/>
      <c r="I177" s="256" t="s">
        <v>368</v>
      </c>
      <c r="J177" s="237"/>
      <c r="K177" s="237" t="s">
        <v>363</v>
      </c>
      <c r="L177" s="237"/>
      <c r="M177" s="237" t="s">
        <v>363</v>
      </c>
      <c r="N177" s="237" t="s">
        <v>363</v>
      </c>
      <c r="O177" s="237">
        <v>91280</v>
      </c>
      <c r="P177" s="236">
        <f t="shared" si="7"/>
        <v>0</v>
      </c>
      <c r="Q177" s="260"/>
      <c r="R177" s="251" t="s">
        <v>338</v>
      </c>
    </row>
    <row r="178" spans="1:18" x14ac:dyDescent="0.3">
      <c r="A178" s="241" t="s">
        <v>344</v>
      </c>
      <c r="B178" s="236" t="s">
        <v>493</v>
      </c>
      <c r="C178" s="236"/>
      <c r="D178" s="236">
        <f t="shared" si="8"/>
        <v>90093.65</v>
      </c>
      <c r="E178" s="236">
        <v>90093.65</v>
      </c>
      <c r="F178" s="236">
        <v>90093.65</v>
      </c>
      <c r="G178" s="240" t="s">
        <v>346</v>
      </c>
      <c r="H178" s="228"/>
      <c r="I178" s="256" t="s">
        <v>368</v>
      </c>
      <c r="J178" s="236"/>
      <c r="K178" s="236"/>
      <c r="L178" s="236">
        <v>90093.65</v>
      </c>
      <c r="M178" s="236"/>
      <c r="N178" s="236"/>
      <c r="O178" s="236"/>
      <c r="P178" s="236">
        <f t="shared" si="7"/>
        <v>0</v>
      </c>
      <c r="Q178" s="260"/>
      <c r="R178" s="228" t="s">
        <v>338</v>
      </c>
    </row>
    <row r="179" spans="1:18" x14ac:dyDescent="0.3">
      <c r="A179" s="241" t="s">
        <v>344</v>
      </c>
      <c r="B179" s="236" t="s">
        <v>494</v>
      </c>
      <c r="C179" s="236"/>
      <c r="D179" s="236">
        <f t="shared" si="8"/>
        <v>88993.41</v>
      </c>
      <c r="E179" s="236">
        <v>88993.41</v>
      </c>
      <c r="F179" s="236">
        <v>88993.41</v>
      </c>
      <c r="G179" s="240" t="s">
        <v>346</v>
      </c>
      <c r="H179" s="228"/>
      <c r="I179" s="256" t="s">
        <v>368</v>
      </c>
      <c r="J179" s="236"/>
      <c r="K179" s="236"/>
      <c r="L179" s="236"/>
      <c r="M179" s="236">
        <v>88993.41</v>
      </c>
      <c r="N179" s="236"/>
      <c r="O179" s="236"/>
      <c r="P179" s="236">
        <f t="shared" si="7"/>
        <v>0</v>
      </c>
      <c r="Q179" s="260"/>
      <c r="R179" s="228" t="s">
        <v>338</v>
      </c>
    </row>
    <row r="180" spans="1:18" x14ac:dyDescent="0.3">
      <c r="A180" s="241" t="s">
        <v>344</v>
      </c>
      <c r="B180" s="243" t="s">
        <v>462</v>
      </c>
      <c r="C180" s="243"/>
      <c r="D180" s="236">
        <f t="shared" si="8"/>
        <v>1342.38</v>
      </c>
      <c r="E180" s="236">
        <v>1342.38</v>
      </c>
      <c r="F180" s="236">
        <v>81336.179999999993</v>
      </c>
      <c r="G180" s="240" t="s">
        <v>346</v>
      </c>
      <c r="H180" s="228"/>
      <c r="I180" s="256" t="s">
        <v>368</v>
      </c>
      <c r="J180" s="236">
        <v>79993.800000000701</v>
      </c>
      <c r="K180" s="236"/>
      <c r="L180" s="236">
        <v>1342.38</v>
      </c>
      <c r="M180" s="236"/>
      <c r="N180" s="236"/>
      <c r="O180" s="236"/>
      <c r="P180" s="236">
        <f t="shared" si="7"/>
        <v>-7.1304384618997574E-10</v>
      </c>
      <c r="Q180" s="256"/>
      <c r="R180" s="228" t="s">
        <v>462</v>
      </c>
    </row>
    <row r="181" spans="1:18" x14ac:dyDescent="0.3">
      <c r="A181" s="241" t="s">
        <v>344</v>
      </c>
      <c r="B181" s="236" t="s">
        <v>462</v>
      </c>
      <c r="C181" s="236"/>
      <c r="D181" s="236">
        <f t="shared" si="8"/>
        <v>0</v>
      </c>
      <c r="E181" s="236"/>
      <c r="F181" s="236">
        <v>77613</v>
      </c>
      <c r="G181" s="240" t="s">
        <v>346</v>
      </c>
      <c r="H181" s="228"/>
      <c r="I181" s="256" t="s">
        <v>368</v>
      </c>
      <c r="J181" s="236">
        <v>77613</v>
      </c>
      <c r="K181" s="236"/>
      <c r="L181" s="236"/>
      <c r="M181" s="236"/>
      <c r="N181" s="236"/>
      <c r="O181" s="236"/>
      <c r="P181" s="236">
        <f t="shared" si="7"/>
        <v>0</v>
      </c>
      <c r="Q181" s="260"/>
      <c r="R181" s="228" t="s">
        <v>462</v>
      </c>
    </row>
    <row r="182" spans="1:18" x14ac:dyDescent="0.3">
      <c r="A182" s="241" t="s">
        <v>344</v>
      </c>
      <c r="B182" s="236" t="s">
        <v>462</v>
      </c>
      <c r="C182" s="236"/>
      <c r="D182" s="236">
        <f t="shared" si="8"/>
        <v>69733.95</v>
      </c>
      <c r="E182" s="236">
        <v>69733.95</v>
      </c>
      <c r="F182" s="236">
        <v>69733.95</v>
      </c>
      <c r="G182" s="240" t="s">
        <v>346</v>
      </c>
      <c r="H182" s="228"/>
      <c r="I182" s="256" t="s">
        <v>368</v>
      </c>
      <c r="J182" s="236"/>
      <c r="K182" s="236"/>
      <c r="L182" s="236"/>
      <c r="M182" s="236"/>
      <c r="N182" s="236"/>
      <c r="O182" s="236">
        <v>69733.95</v>
      </c>
      <c r="P182" s="236">
        <f t="shared" si="7"/>
        <v>0</v>
      </c>
      <c r="Q182" s="260"/>
      <c r="R182" s="251" t="s">
        <v>462</v>
      </c>
    </row>
    <row r="183" spans="1:18" x14ac:dyDescent="0.3">
      <c r="A183" s="241" t="s">
        <v>344</v>
      </c>
      <c r="B183" s="236" t="s">
        <v>495</v>
      </c>
      <c r="C183" s="236"/>
      <c r="D183" s="236">
        <f t="shared" si="8"/>
        <v>67320</v>
      </c>
      <c r="E183" s="236">
        <v>67320</v>
      </c>
      <c r="F183" s="236">
        <v>67320</v>
      </c>
      <c r="G183" s="240" t="s">
        <v>346</v>
      </c>
      <c r="H183" s="228"/>
      <c r="I183" s="256" t="s">
        <v>368</v>
      </c>
      <c r="J183" s="236"/>
      <c r="K183" s="236"/>
      <c r="L183" s="236"/>
      <c r="M183" s="236"/>
      <c r="N183" s="236"/>
      <c r="O183" s="236">
        <v>67320</v>
      </c>
      <c r="P183" s="236">
        <f t="shared" si="7"/>
        <v>0</v>
      </c>
      <c r="Q183" s="260"/>
      <c r="R183" s="228" t="s">
        <v>338</v>
      </c>
    </row>
    <row r="184" spans="1:18" x14ac:dyDescent="0.3">
      <c r="A184" s="241" t="s">
        <v>344</v>
      </c>
      <c r="B184" s="236" t="s">
        <v>496</v>
      </c>
      <c r="C184" s="236"/>
      <c r="D184" s="236">
        <f t="shared" si="8"/>
        <v>7282.76</v>
      </c>
      <c r="E184" s="236">
        <v>7282.76</v>
      </c>
      <c r="F184" s="236">
        <v>61160.1</v>
      </c>
      <c r="G184" s="240" t="s">
        <v>346</v>
      </c>
      <c r="H184" s="228"/>
      <c r="I184" s="256" t="s">
        <v>368</v>
      </c>
      <c r="J184" s="236">
        <v>53877.34</v>
      </c>
      <c r="K184" s="236"/>
      <c r="L184" s="236">
        <v>7282.76</v>
      </c>
      <c r="M184" s="236"/>
      <c r="N184" s="236"/>
      <c r="O184" s="236"/>
      <c r="P184" s="236">
        <f t="shared" si="7"/>
        <v>0</v>
      </c>
      <c r="Q184" s="260"/>
      <c r="R184" s="251" t="s">
        <v>338</v>
      </c>
    </row>
    <row r="185" spans="1:18" x14ac:dyDescent="0.3">
      <c r="A185" s="241" t="s">
        <v>344</v>
      </c>
      <c r="B185" s="236" t="s">
        <v>497</v>
      </c>
      <c r="C185" s="236"/>
      <c r="D185" s="236">
        <f t="shared" si="8"/>
        <v>0</v>
      </c>
      <c r="E185" s="236"/>
      <c r="F185" s="236">
        <v>60494.29</v>
      </c>
      <c r="G185" s="240" t="s">
        <v>346</v>
      </c>
      <c r="H185" s="228"/>
      <c r="I185" s="256" t="s">
        <v>368</v>
      </c>
      <c r="J185" s="236">
        <v>60494.29</v>
      </c>
      <c r="K185" s="236"/>
      <c r="L185" s="236"/>
      <c r="M185" s="236"/>
      <c r="N185" s="236"/>
      <c r="O185" s="236"/>
      <c r="P185" s="236">
        <f t="shared" si="7"/>
        <v>0</v>
      </c>
      <c r="Q185" s="260"/>
      <c r="R185" s="228" t="s">
        <v>338</v>
      </c>
    </row>
    <row r="186" spans="1:18" x14ac:dyDescent="0.3">
      <c r="A186" s="241" t="s">
        <v>344</v>
      </c>
      <c r="B186" s="236" t="s">
        <v>498</v>
      </c>
      <c r="C186" s="236"/>
      <c r="D186" s="236">
        <f t="shared" si="8"/>
        <v>60000</v>
      </c>
      <c r="E186" s="236">
        <v>60000</v>
      </c>
      <c r="F186" s="236">
        <v>60000</v>
      </c>
      <c r="G186" s="240" t="s">
        <v>346</v>
      </c>
      <c r="H186" s="228"/>
      <c r="I186" s="256" t="s">
        <v>368</v>
      </c>
      <c r="J186" s="236"/>
      <c r="K186" s="236"/>
      <c r="L186" s="236"/>
      <c r="M186" s="236"/>
      <c r="N186" s="236"/>
      <c r="O186" s="236">
        <v>60000</v>
      </c>
      <c r="P186" s="236">
        <f t="shared" si="7"/>
        <v>0</v>
      </c>
      <c r="Q186" s="260"/>
      <c r="R186" s="228" t="s">
        <v>338</v>
      </c>
    </row>
    <row r="187" spans="1:18" x14ac:dyDescent="0.3">
      <c r="A187" s="241" t="s">
        <v>344</v>
      </c>
      <c r="B187" s="243" t="s">
        <v>499</v>
      </c>
      <c r="C187" s="243"/>
      <c r="D187" s="236">
        <f t="shared" si="8"/>
        <v>55000</v>
      </c>
      <c r="E187" s="236">
        <v>55000</v>
      </c>
      <c r="F187" s="236">
        <v>55000</v>
      </c>
      <c r="G187" s="240" t="s">
        <v>346</v>
      </c>
      <c r="H187" s="228"/>
      <c r="I187" s="256" t="s">
        <v>368</v>
      </c>
      <c r="J187" s="236"/>
      <c r="K187" s="236"/>
      <c r="L187" s="236"/>
      <c r="M187" s="236"/>
      <c r="N187" s="236"/>
      <c r="O187" s="236">
        <v>55000</v>
      </c>
      <c r="P187" s="236">
        <f t="shared" si="7"/>
        <v>0</v>
      </c>
      <c r="Q187" s="256"/>
      <c r="R187" s="228" t="s">
        <v>338</v>
      </c>
    </row>
    <row r="188" spans="1:18" x14ac:dyDescent="0.3">
      <c r="A188" s="241" t="s">
        <v>344</v>
      </c>
      <c r="B188" s="236" t="s">
        <v>500</v>
      </c>
      <c r="C188" s="236"/>
      <c r="D188" s="236">
        <f t="shared" si="8"/>
        <v>54000</v>
      </c>
      <c r="E188" s="236">
        <v>54000</v>
      </c>
      <c r="F188" s="236">
        <v>54000</v>
      </c>
      <c r="G188" s="240" t="s">
        <v>346</v>
      </c>
      <c r="H188" s="228"/>
      <c r="I188" s="256" t="s">
        <v>368</v>
      </c>
      <c r="J188" s="236"/>
      <c r="K188" s="236"/>
      <c r="L188" s="236"/>
      <c r="M188" s="236">
        <v>54000</v>
      </c>
      <c r="N188" s="236"/>
      <c r="O188" s="236"/>
      <c r="P188" s="236">
        <f t="shared" si="7"/>
        <v>0</v>
      </c>
      <c r="Q188" s="260"/>
      <c r="R188" s="251" t="s">
        <v>338</v>
      </c>
    </row>
    <row r="189" spans="1:18" x14ac:dyDescent="0.3">
      <c r="A189" s="241" t="s">
        <v>344</v>
      </c>
      <c r="B189" s="236" t="s">
        <v>501</v>
      </c>
      <c r="C189" s="236"/>
      <c r="D189" s="236">
        <f t="shared" si="8"/>
        <v>35000</v>
      </c>
      <c r="E189" s="236">
        <v>35000</v>
      </c>
      <c r="F189" s="236">
        <v>53000</v>
      </c>
      <c r="G189" s="240" t="s">
        <v>346</v>
      </c>
      <c r="H189" s="228"/>
      <c r="I189" s="256" t="s">
        <v>368</v>
      </c>
      <c r="J189" s="236">
        <v>33000</v>
      </c>
      <c r="K189" s="236">
        <v>20000</v>
      </c>
      <c r="L189" s="236"/>
      <c r="M189" s="236"/>
      <c r="N189" s="236"/>
      <c r="O189" s="236"/>
      <c r="P189" s="236">
        <f t="shared" si="7"/>
        <v>0</v>
      </c>
      <c r="Q189" s="260"/>
      <c r="R189" s="228" t="s">
        <v>338</v>
      </c>
    </row>
    <row r="190" spans="1:18" x14ac:dyDescent="0.3">
      <c r="A190" s="241" t="s">
        <v>344</v>
      </c>
      <c r="B190" s="236" t="s">
        <v>502</v>
      </c>
      <c r="C190" s="236"/>
      <c r="D190" s="236">
        <f t="shared" si="8"/>
        <v>692.21</v>
      </c>
      <c r="E190" s="236">
        <v>692.21</v>
      </c>
      <c r="F190" s="236">
        <v>52393.36</v>
      </c>
      <c r="G190" s="240" t="s">
        <v>346</v>
      </c>
      <c r="H190" s="228"/>
      <c r="I190" s="256" t="s">
        <v>368</v>
      </c>
      <c r="J190" s="236">
        <v>51701.15</v>
      </c>
      <c r="K190" s="236"/>
      <c r="L190" s="236">
        <v>692.21</v>
      </c>
      <c r="M190" s="236"/>
      <c r="N190" s="236"/>
      <c r="O190" s="236"/>
      <c r="P190" s="236">
        <f t="shared" si="7"/>
        <v>0</v>
      </c>
      <c r="Q190" s="260"/>
      <c r="R190" s="228" t="s">
        <v>338</v>
      </c>
    </row>
    <row r="191" spans="1:18" x14ac:dyDescent="0.3">
      <c r="A191" s="233" t="s">
        <v>350</v>
      </c>
      <c r="B191" s="236" t="s">
        <v>503</v>
      </c>
      <c r="C191" s="235" t="s">
        <v>336</v>
      </c>
      <c r="D191" s="236">
        <f t="shared" si="8"/>
        <v>50000</v>
      </c>
      <c r="E191" s="236">
        <v>50000</v>
      </c>
      <c r="F191" s="236">
        <v>50000</v>
      </c>
      <c r="G191" s="240"/>
      <c r="H191" s="228"/>
      <c r="I191" s="256" t="s">
        <v>337</v>
      </c>
      <c r="J191" s="236"/>
      <c r="K191" s="236"/>
      <c r="L191" s="236"/>
      <c r="M191" s="236"/>
      <c r="N191" s="236"/>
      <c r="O191" s="236">
        <v>50000</v>
      </c>
      <c r="P191" s="236">
        <f t="shared" si="7"/>
        <v>0</v>
      </c>
      <c r="Q191" s="260"/>
      <c r="R191" s="228" t="s">
        <v>338</v>
      </c>
    </row>
    <row r="192" spans="1:18" x14ac:dyDescent="0.3">
      <c r="A192" s="233" t="s">
        <v>357</v>
      </c>
      <c r="B192" s="236" t="s">
        <v>504</v>
      </c>
      <c r="C192" s="242" t="s">
        <v>336</v>
      </c>
      <c r="D192" s="236">
        <f t="shared" si="8"/>
        <v>50000</v>
      </c>
      <c r="E192" s="236">
        <v>50000</v>
      </c>
      <c r="F192" s="236">
        <v>50000</v>
      </c>
      <c r="G192" s="240"/>
      <c r="H192" s="228"/>
      <c r="I192" s="256" t="s">
        <v>337</v>
      </c>
      <c r="J192" s="236"/>
      <c r="K192" s="236"/>
      <c r="L192" s="236"/>
      <c r="M192" s="236"/>
      <c r="N192" s="236"/>
      <c r="O192" s="236">
        <v>50000</v>
      </c>
      <c r="P192" s="236">
        <f t="shared" si="7"/>
        <v>0</v>
      </c>
      <c r="Q192" s="260"/>
      <c r="R192" s="228" t="s">
        <v>338</v>
      </c>
    </row>
    <row r="193" spans="1:18" x14ac:dyDescent="0.3">
      <c r="A193" s="241" t="s">
        <v>344</v>
      </c>
      <c r="B193" s="236" t="s">
        <v>505</v>
      </c>
      <c r="C193" s="236"/>
      <c r="D193" s="236">
        <f t="shared" si="8"/>
        <v>50000</v>
      </c>
      <c r="E193" s="236">
        <v>50000</v>
      </c>
      <c r="F193" s="236">
        <v>50000</v>
      </c>
      <c r="G193" s="240" t="s">
        <v>346</v>
      </c>
      <c r="H193" s="228"/>
      <c r="I193" s="256" t="s">
        <v>368</v>
      </c>
      <c r="J193" s="236"/>
      <c r="K193" s="236"/>
      <c r="L193" s="236"/>
      <c r="M193" s="236">
        <v>50000</v>
      </c>
      <c r="N193" s="236"/>
      <c r="O193" s="236"/>
      <c r="P193" s="236">
        <f t="shared" si="7"/>
        <v>0</v>
      </c>
      <c r="Q193" s="260"/>
      <c r="R193" s="228" t="s">
        <v>338</v>
      </c>
    </row>
    <row r="194" spans="1:18" x14ac:dyDescent="0.3">
      <c r="A194" s="241" t="s">
        <v>344</v>
      </c>
      <c r="B194" s="236" t="s">
        <v>506</v>
      </c>
      <c r="C194" s="236"/>
      <c r="D194" s="236">
        <f t="shared" si="8"/>
        <v>0</v>
      </c>
      <c r="E194" s="236"/>
      <c r="F194" s="236">
        <v>50000</v>
      </c>
      <c r="G194" s="240" t="s">
        <v>346</v>
      </c>
      <c r="H194" s="228"/>
      <c r="I194" s="256" t="s">
        <v>368</v>
      </c>
      <c r="J194" s="236">
        <v>50000</v>
      </c>
      <c r="K194" s="236"/>
      <c r="L194" s="236"/>
      <c r="M194" s="236"/>
      <c r="N194" s="236"/>
      <c r="O194" s="236"/>
      <c r="P194" s="236">
        <f t="shared" si="7"/>
        <v>0</v>
      </c>
      <c r="Q194" s="260"/>
      <c r="R194" s="228" t="s">
        <v>338</v>
      </c>
    </row>
    <row r="195" spans="1:18" x14ac:dyDescent="0.3">
      <c r="A195" s="241" t="s">
        <v>344</v>
      </c>
      <c r="B195" s="236" t="s">
        <v>507</v>
      </c>
      <c r="C195" s="236"/>
      <c r="D195" s="236">
        <f t="shared" si="8"/>
        <v>50000</v>
      </c>
      <c r="E195" s="236">
        <v>50000</v>
      </c>
      <c r="F195" s="236">
        <v>50000</v>
      </c>
      <c r="G195" s="240" t="s">
        <v>346</v>
      </c>
      <c r="H195" s="228"/>
      <c r="I195" s="256" t="s">
        <v>368</v>
      </c>
      <c r="J195" s="236"/>
      <c r="K195" s="236"/>
      <c r="L195" s="236"/>
      <c r="M195" s="236"/>
      <c r="N195" s="236"/>
      <c r="O195" s="236">
        <v>50000</v>
      </c>
      <c r="P195" s="236">
        <f t="shared" si="7"/>
        <v>0</v>
      </c>
      <c r="Q195" s="260"/>
      <c r="R195" s="228" t="s">
        <v>338</v>
      </c>
    </row>
    <row r="196" spans="1:18" x14ac:dyDescent="0.3">
      <c r="A196" s="241" t="s">
        <v>344</v>
      </c>
      <c r="B196" s="236" t="s">
        <v>462</v>
      </c>
      <c r="C196" s="236"/>
      <c r="D196" s="236">
        <f t="shared" si="8"/>
        <v>50000</v>
      </c>
      <c r="E196" s="236">
        <v>50000</v>
      </c>
      <c r="F196" s="236">
        <v>50000</v>
      </c>
      <c r="G196" s="240" t="s">
        <v>346</v>
      </c>
      <c r="H196" s="228"/>
      <c r="I196" s="256" t="s">
        <v>368</v>
      </c>
      <c r="J196" s="236"/>
      <c r="K196" s="236"/>
      <c r="L196" s="236"/>
      <c r="M196" s="236"/>
      <c r="N196" s="236"/>
      <c r="O196" s="236">
        <v>50000</v>
      </c>
      <c r="P196" s="236">
        <f t="shared" si="7"/>
        <v>0</v>
      </c>
      <c r="Q196" s="260"/>
      <c r="R196" s="228" t="s">
        <v>462</v>
      </c>
    </row>
    <row r="197" spans="1:18" x14ac:dyDescent="0.3">
      <c r="A197" s="241" t="s">
        <v>344</v>
      </c>
      <c r="B197" s="236" t="s">
        <v>508</v>
      </c>
      <c r="C197" s="236"/>
      <c r="D197" s="236">
        <f t="shared" si="8"/>
        <v>50000</v>
      </c>
      <c r="E197" s="236">
        <v>50000</v>
      </c>
      <c r="F197" s="236">
        <v>50000</v>
      </c>
      <c r="G197" s="240" t="s">
        <v>346</v>
      </c>
      <c r="H197" s="228"/>
      <c r="I197" s="256" t="s">
        <v>368</v>
      </c>
      <c r="J197" s="236"/>
      <c r="K197" s="236"/>
      <c r="L197" s="236"/>
      <c r="M197" s="236">
        <v>50000</v>
      </c>
      <c r="N197" s="236"/>
      <c r="O197" s="236"/>
      <c r="P197" s="236">
        <f t="shared" si="7"/>
        <v>0</v>
      </c>
      <c r="Q197" s="260"/>
      <c r="R197" s="251" t="s">
        <v>338</v>
      </c>
    </row>
    <row r="198" spans="1:18" x14ac:dyDescent="0.3">
      <c r="A198" s="241" t="s">
        <v>344</v>
      </c>
      <c r="B198" s="236" t="s">
        <v>509</v>
      </c>
      <c r="C198" s="236"/>
      <c r="D198" s="236">
        <f t="shared" si="8"/>
        <v>50000</v>
      </c>
      <c r="E198" s="236">
        <v>50000</v>
      </c>
      <c r="F198" s="236">
        <v>50000</v>
      </c>
      <c r="G198" s="240" t="s">
        <v>346</v>
      </c>
      <c r="H198" s="228"/>
      <c r="I198" s="256" t="s">
        <v>337</v>
      </c>
      <c r="J198" s="236"/>
      <c r="K198" s="236"/>
      <c r="L198" s="236"/>
      <c r="M198" s="236">
        <v>50000</v>
      </c>
      <c r="N198" s="236"/>
      <c r="O198" s="236"/>
      <c r="P198" s="236">
        <f t="shared" si="7"/>
        <v>0</v>
      </c>
      <c r="Q198" s="260"/>
      <c r="R198" s="251" t="s">
        <v>396</v>
      </c>
    </row>
    <row r="199" spans="1:18" x14ac:dyDescent="0.3">
      <c r="A199" s="233" t="s">
        <v>360</v>
      </c>
      <c r="B199" s="234" t="s">
        <v>510</v>
      </c>
      <c r="C199" s="234"/>
      <c r="D199" s="236">
        <f t="shared" si="8"/>
        <v>50700</v>
      </c>
      <c r="E199" s="237">
        <v>50700</v>
      </c>
      <c r="F199" s="237">
        <v>48200</v>
      </c>
      <c r="G199" s="238"/>
      <c r="H199" s="228"/>
      <c r="I199" s="256" t="s">
        <v>337</v>
      </c>
      <c r="J199" s="237"/>
      <c r="K199" s="237" t="s">
        <v>363</v>
      </c>
      <c r="L199" s="237"/>
      <c r="M199" s="237" t="s">
        <v>363</v>
      </c>
      <c r="N199" s="237" t="s">
        <v>363</v>
      </c>
      <c r="O199" s="237">
        <v>48200</v>
      </c>
      <c r="P199" s="236">
        <f t="shared" si="7"/>
        <v>0</v>
      </c>
      <c r="Q199" s="260"/>
      <c r="R199" s="251" t="s">
        <v>338</v>
      </c>
    </row>
    <row r="200" spans="1:18" x14ac:dyDescent="0.3">
      <c r="A200" s="241" t="s">
        <v>344</v>
      </c>
      <c r="B200" s="236" t="s">
        <v>511</v>
      </c>
      <c r="C200" s="236"/>
      <c r="D200" s="236">
        <f t="shared" si="8"/>
        <v>16114.46</v>
      </c>
      <c r="E200" s="236">
        <v>16114.46</v>
      </c>
      <c r="F200" s="236">
        <v>43467.43</v>
      </c>
      <c r="G200" s="240" t="s">
        <v>346</v>
      </c>
      <c r="H200" s="228"/>
      <c r="I200" s="256" t="s">
        <v>368</v>
      </c>
      <c r="J200" s="236">
        <v>3642.27</v>
      </c>
      <c r="K200" s="236">
        <v>23710.7</v>
      </c>
      <c r="L200" s="236"/>
      <c r="M200" s="236">
        <v>16114.46</v>
      </c>
      <c r="N200" s="236"/>
      <c r="O200" s="236"/>
      <c r="P200" s="236">
        <f t="shared" si="7"/>
        <v>0</v>
      </c>
      <c r="Q200" s="260"/>
      <c r="R200" s="251" t="s">
        <v>338</v>
      </c>
    </row>
    <row r="201" spans="1:18" x14ac:dyDescent="0.3">
      <c r="A201" s="233" t="s">
        <v>350</v>
      </c>
      <c r="B201" s="236" t="s">
        <v>512</v>
      </c>
      <c r="C201" s="242" t="s">
        <v>336</v>
      </c>
      <c r="D201" s="236">
        <f t="shared" si="8"/>
        <v>30000</v>
      </c>
      <c r="E201" s="236">
        <v>30000</v>
      </c>
      <c r="F201" s="236">
        <v>40000</v>
      </c>
      <c r="G201" s="240"/>
      <c r="H201" s="228"/>
      <c r="I201" s="256" t="s">
        <v>368</v>
      </c>
      <c r="J201" s="236">
        <v>10000</v>
      </c>
      <c r="K201" s="236">
        <v>30000</v>
      </c>
      <c r="L201" s="236"/>
      <c r="M201" s="236"/>
      <c r="N201" s="236"/>
      <c r="O201" s="236"/>
      <c r="P201" s="236">
        <f t="shared" si="7"/>
        <v>0</v>
      </c>
      <c r="Q201" s="256"/>
      <c r="R201" s="228" t="s">
        <v>462</v>
      </c>
    </row>
    <row r="202" spans="1:18" x14ac:dyDescent="0.3">
      <c r="A202" s="241" t="s">
        <v>344</v>
      </c>
      <c r="B202" s="236" t="s">
        <v>513</v>
      </c>
      <c r="C202" s="236"/>
      <c r="D202" s="236">
        <f t="shared" si="8"/>
        <v>39635.56</v>
      </c>
      <c r="E202" s="236">
        <v>39635.56</v>
      </c>
      <c r="F202" s="236">
        <v>39635.56</v>
      </c>
      <c r="G202" s="240" t="s">
        <v>346</v>
      </c>
      <c r="H202" s="228"/>
      <c r="I202" s="256" t="s">
        <v>368</v>
      </c>
      <c r="J202" s="236"/>
      <c r="K202" s="236"/>
      <c r="L202" s="236"/>
      <c r="M202" s="236">
        <v>39635.56</v>
      </c>
      <c r="N202" s="236"/>
      <c r="O202" s="236"/>
      <c r="P202" s="236">
        <f t="shared" si="7"/>
        <v>0</v>
      </c>
      <c r="Q202" s="260"/>
      <c r="R202" s="228" t="s">
        <v>338</v>
      </c>
    </row>
    <row r="203" spans="1:18" x14ac:dyDescent="0.3">
      <c r="A203" s="241" t="s">
        <v>344</v>
      </c>
      <c r="B203" s="243" t="s">
        <v>514</v>
      </c>
      <c r="C203" s="243"/>
      <c r="D203" s="236">
        <f t="shared" si="8"/>
        <v>36724</v>
      </c>
      <c r="E203" s="236">
        <v>36724</v>
      </c>
      <c r="F203" s="236">
        <v>36724</v>
      </c>
      <c r="G203" s="240" t="s">
        <v>346</v>
      </c>
      <c r="H203" s="228"/>
      <c r="I203" s="256" t="s">
        <v>368</v>
      </c>
      <c r="J203" s="236"/>
      <c r="K203" s="236"/>
      <c r="L203" s="236"/>
      <c r="M203" s="236"/>
      <c r="N203" s="236"/>
      <c r="O203" s="236">
        <v>36724</v>
      </c>
      <c r="P203" s="236">
        <f t="shared" si="7"/>
        <v>0</v>
      </c>
      <c r="Q203" s="256"/>
      <c r="R203" s="228" t="s">
        <v>338</v>
      </c>
    </row>
    <row r="204" spans="1:18" x14ac:dyDescent="0.3">
      <c r="A204" s="241" t="s">
        <v>344</v>
      </c>
      <c r="B204" s="236" t="s">
        <v>515</v>
      </c>
      <c r="C204" s="236"/>
      <c r="D204" s="236">
        <f t="shared" si="8"/>
        <v>35020</v>
      </c>
      <c r="E204" s="252">
        <v>35020</v>
      </c>
      <c r="F204" s="252">
        <v>35020</v>
      </c>
      <c r="G204" s="240" t="s">
        <v>346</v>
      </c>
      <c r="H204" s="228"/>
      <c r="I204" s="256" t="s">
        <v>368</v>
      </c>
      <c r="J204" s="252"/>
      <c r="K204" s="236"/>
      <c r="L204" s="236"/>
      <c r="M204" s="236">
        <v>35020</v>
      </c>
      <c r="N204" s="236"/>
      <c r="O204" s="236"/>
      <c r="P204" s="236">
        <f t="shared" si="7"/>
        <v>0</v>
      </c>
      <c r="Q204" s="260"/>
      <c r="R204" s="251" t="s">
        <v>338</v>
      </c>
    </row>
    <row r="205" spans="1:18" x14ac:dyDescent="0.3">
      <c r="A205" s="241" t="s">
        <v>344</v>
      </c>
      <c r="B205" s="236" t="s">
        <v>516</v>
      </c>
      <c r="C205" s="236"/>
      <c r="D205" s="236">
        <f t="shared" si="8"/>
        <v>35000</v>
      </c>
      <c r="E205" s="236">
        <v>35000</v>
      </c>
      <c r="F205" s="236">
        <v>35000</v>
      </c>
      <c r="G205" s="240" t="s">
        <v>346</v>
      </c>
      <c r="H205" s="228"/>
      <c r="I205" s="256" t="s">
        <v>368</v>
      </c>
      <c r="J205" s="236"/>
      <c r="K205" s="236"/>
      <c r="L205" s="236"/>
      <c r="M205" s="236">
        <v>35000</v>
      </c>
      <c r="N205" s="236"/>
      <c r="O205" s="236"/>
      <c r="P205" s="236">
        <f t="shared" si="7"/>
        <v>0</v>
      </c>
      <c r="Q205" s="260"/>
      <c r="R205" s="251" t="s">
        <v>338</v>
      </c>
    </row>
    <row r="206" spans="1:18" x14ac:dyDescent="0.3">
      <c r="A206" s="233" t="s">
        <v>334</v>
      </c>
      <c r="B206" s="236" t="s">
        <v>517</v>
      </c>
      <c r="C206" s="236"/>
      <c r="D206" s="236">
        <v>33900</v>
      </c>
      <c r="E206" s="237">
        <v>33900</v>
      </c>
      <c r="F206" s="237">
        <v>33900</v>
      </c>
      <c r="G206" s="238"/>
      <c r="H206" s="228"/>
      <c r="I206" s="256" t="s">
        <v>368</v>
      </c>
      <c r="J206" s="237"/>
      <c r="K206" s="237" t="s">
        <v>343</v>
      </c>
      <c r="L206" s="237" t="s">
        <v>343</v>
      </c>
      <c r="M206" s="237" t="s">
        <v>343</v>
      </c>
      <c r="N206" s="237">
        <v>33900</v>
      </c>
      <c r="O206" s="237" t="s">
        <v>343</v>
      </c>
      <c r="P206" s="236">
        <f t="shared" si="7"/>
        <v>0</v>
      </c>
      <c r="Q206" s="260"/>
      <c r="R206" s="251" t="s">
        <v>338</v>
      </c>
    </row>
    <row r="207" spans="1:18" x14ac:dyDescent="0.3">
      <c r="A207" s="233" t="s">
        <v>350</v>
      </c>
      <c r="B207" s="236" t="s">
        <v>518</v>
      </c>
      <c r="C207" s="242" t="s">
        <v>336</v>
      </c>
      <c r="D207" s="236">
        <f t="shared" ref="D207:D228" si="9">E207</f>
        <v>265196</v>
      </c>
      <c r="E207" s="236">
        <v>265196</v>
      </c>
      <c r="F207" s="236">
        <v>33646</v>
      </c>
      <c r="G207" s="240"/>
      <c r="H207" s="228"/>
      <c r="I207" s="256" t="s">
        <v>368</v>
      </c>
      <c r="J207" s="236"/>
      <c r="K207" s="236">
        <v>33646</v>
      </c>
      <c r="L207" s="236"/>
      <c r="M207" s="236">
        <v>0</v>
      </c>
      <c r="N207" s="236">
        <v>0</v>
      </c>
      <c r="O207" s="236">
        <v>0</v>
      </c>
      <c r="P207" s="236">
        <f t="shared" si="7"/>
        <v>0</v>
      </c>
      <c r="Q207" s="256"/>
      <c r="R207" s="228" t="s">
        <v>462</v>
      </c>
    </row>
    <row r="208" spans="1:18" x14ac:dyDescent="0.3">
      <c r="A208" s="241" t="s">
        <v>344</v>
      </c>
      <c r="B208" s="236" t="s">
        <v>519</v>
      </c>
      <c r="C208" s="236"/>
      <c r="D208" s="236">
        <f t="shared" si="9"/>
        <v>0</v>
      </c>
      <c r="E208" s="236">
        <v>0</v>
      </c>
      <c r="F208" s="236">
        <v>33171.629999999997</v>
      </c>
      <c r="G208" s="240" t="s">
        <v>346</v>
      </c>
      <c r="H208" s="228"/>
      <c r="I208" s="256" t="s">
        <v>368</v>
      </c>
      <c r="J208" s="236">
        <v>33171.629999999997</v>
      </c>
      <c r="K208" s="236"/>
      <c r="L208" s="236"/>
      <c r="M208" s="236"/>
      <c r="N208" s="236"/>
      <c r="O208" s="236"/>
      <c r="P208" s="236">
        <f t="shared" si="7"/>
        <v>0</v>
      </c>
      <c r="Q208" s="260"/>
      <c r="R208" s="228" t="s">
        <v>338</v>
      </c>
    </row>
    <row r="209" spans="1:18" x14ac:dyDescent="0.3">
      <c r="A209" s="233" t="s">
        <v>350</v>
      </c>
      <c r="B209" s="236" t="s">
        <v>520</v>
      </c>
      <c r="C209" s="242" t="s">
        <v>336</v>
      </c>
      <c r="D209" s="236">
        <f t="shared" si="9"/>
        <v>63000</v>
      </c>
      <c r="E209" s="236">
        <v>63000</v>
      </c>
      <c r="F209" s="236">
        <v>33000</v>
      </c>
      <c r="G209" s="240"/>
      <c r="H209" s="228"/>
      <c r="I209" s="256" t="s">
        <v>368</v>
      </c>
      <c r="J209" s="236"/>
      <c r="K209" s="236">
        <v>33000</v>
      </c>
      <c r="L209" s="236">
        <v>0</v>
      </c>
      <c r="M209" s="236">
        <v>0</v>
      </c>
      <c r="N209" s="236">
        <v>0</v>
      </c>
      <c r="O209" s="236">
        <v>0</v>
      </c>
      <c r="P209" s="236">
        <f t="shared" si="7"/>
        <v>0</v>
      </c>
      <c r="Q209" s="256"/>
      <c r="R209" s="228" t="s">
        <v>462</v>
      </c>
    </row>
    <row r="210" spans="1:18" x14ac:dyDescent="0.3">
      <c r="A210" s="241" t="s">
        <v>344</v>
      </c>
      <c r="B210" s="243" t="s">
        <v>521</v>
      </c>
      <c r="C210" s="243"/>
      <c r="D210" s="236">
        <f t="shared" si="9"/>
        <v>30585.25</v>
      </c>
      <c r="E210" s="236">
        <v>30585.25</v>
      </c>
      <c r="F210" s="236">
        <v>30585.25</v>
      </c>
      <c r="G210" s="240" t="s">
        <v>346</v>
      </c>
      <c r="H210" s="228"/>
      <c r="I210" s="256" t="s">
        <v>368</v>
      </c>
      <c r="J210" s="236"/>
      <c r="K210" s="236"/>
      <c r="L210" s="236"/>
      <c r="M210" s="236"/>
      <c r="N210" s="236"/>
      <c r="O210" s="236">
        <v>30585.25</v>
      </c>
      <c r="P210" s="236">
        <f t="shared" si="7"/>
        <v>0</v>
      </c>
      <c r="Q210" s="256"/>
      <c r="R210" s="228" t="s">
        <v>338</v>
      </c>
    </row>
    <row r="211" spans="1:18" x14ac:dyDescent="0.3">
      <c r="A211" s="233" t="s">
        <v>522</v>
      </c>
      <c r="B211" s="236" t="s">
        <v>512</v>
      </c>
      <c r="C211" s="236"/>
      <c r="D211" s="236">
        <f t="shared" si="9"/>
        <v>0</v>
      </c>
      <c r="E211" s="236"/>
      <c r="F211" s="236">
        <v>30000</v>
      </c>
      <c r="G211" s="240"/>
      <c r="H211" s="228"/>
      <c r="I211" s="256" t="s">
        <v>368</v>
      </c>
      <c r="J211" s="236">
        <v>30000</v>
      </c>
      <c r="K211" s="236"/>
      <c r="L211" s="236"/>
      <c r="M211" s="236"/>
      <c r="N211" s="236"/>
      <c r="O211" s="236"/>
      <c r="P211" s="236">
        <f t="shared" si="7"/>
        <v>0</v>
      </c>
      <c r="Q211" s="260"/>
      <c r="R211" s="228" t="s">
        <v>462</v>
      </c>
    </row>
    <row r="212" spans="1:18" x14ac:dyDescent="0.3">
      <c r="A212" s="241" t="s">
        <v>344</v>
      </c>
      <c r="B212" s="236" t="s">
        <v>523</v>
      </c>
      <c r="C212" s="236"/>
      <c r="D212" s="236">
        <f t="shared" si="9"/>
        <v>30000</v>
      </c>
      <c r="E212" s="236">
        <v>30000</v>
      </c>
      <c r="F212" s="236">
        <v>30000</v>
      </c>
      <c r="G212" s="240" t="s">
        <v>346</v>
      </c>
      <c r="H212" s="228"/>
      <c r="I212" s="256" t="s">
        <v>368</v>
      </c>
      <c r="J212" s="236"/>
      <c r="K212" s="236"/>
      <c r="L212" s="236"/>
      <c r="M212" s="236"/>
      <c r="N212" s="236"/>
      <c r="O212" s="236">
        <v>30000</v>
      </c>
      <c r="P212" s="236">
        <f t="shared" si="7"/>
        <v>0</v>
      </c>
      <c r="Q212" s="260"/>
      <c r="R212" s="228" t="s">
        <v>338</v>
      </c>
    </row>
    <row r="213" spans="1:18" x14ac:dyDescent="0.3">
      <c r="A213" s="241" t="s">
        <v>344</v>
      </c>
      <c r="B213" s="243" t="s">
        <v>524</v>
      </c>
      <c r="C213" s="243"/>
      <c r="D213" s="236">
        <f t="shared" si="9"/>
        <v>30000</v>
      </c>
      <c r="E213" s="236">
        <v>30000</v>
      </c>
      <c r="F213" s="236">
        <v>30000</v>
      </c>
      <c r="G213" s="240" t="s">
        <v>346</v>
      </c>
      <c r="H213" s="228"/>
      <c r="I213" s="256" t="s">
        <v>368</v>
      </c>
      <c r="J213" s="236"/>
      <c r="K213" s="236"/>
      <c r="L213" s="236"/>
      <c r="M213" s="236"/>
      <c r="N213" s="236"/>
      <c r="O213" s="236">
        <v>30000</v>
      </c>
      <c r="P213" s="236">
        <f t="shared" si="7"/>
        <v>0</v>
      </c>
      <c r="Q213" s="256"/>
      <c r="R213" s="228" t="s">
        <v>338</v>
      </c>
    </row>
    <row r="214" spans="1:18" x14ac:dyDescent="0.3">
      <c r="A214" s="241" t="s">
        <v>344</v>
      </c>
      <c r="B214" s="236" t="s">
        <v>525</v>
      </c>
      <c r="C214" s="236"/>
      <c r="D214" s="236">
        <f t="shared" si="9"/>
        <v>0</v>
      </c>
      <c r="E214" s="236"/>
      <c r="F214" s="236">
        <v>30000</v>
      </c>
      <c r="G214" s="240" t="s">
        <v>346</v>
      </c>
      <c r="H214" s="228"/>
      <c r="I214" s="256" t="s">
        <v>368</v>
      </c>
      <c r="J214" s="236">
        <v>30000</v>
      </c>
      <c r="K214" s="236"/>
      <c r="L214" s="236"/>
      <c r="M214" s="236"/>
      <c r="N214" s="236"/>
      <c r="O214" s="236"/>
      <c r="P214" s="236">
        <f t="shared" si="7"/>
        <v>0</v>
      </c>
      <c r="Q214" s="260"/>
      <c r="R214" s="251" t="s">
        <v>338</v>
      </c>
    </row>
    <row r="215" spans="1:18" x14ac:dyDescent="0.3">
      <c r="A215" s="241" t="s">
        <v>344</v>
      </c>
      <c r="B215" s="236" t="s">
        <v>526</v>
      </c>
      <c r="C215" s="236"/>
      <c r="D215" s="236">
        <f t="shared" si="9"/>
        <v>41257</v>
      </c>
      <c r="E215" s="236">
        <v>41257</v>
      </c>
      <c r="F215" s="236">
        <v>28639</v>
      </c>
      <c r="G215" s="240" t="s">
        <v>346</v>
      </c>
      <c r="H215" s="228"/>
      <c r="I215" s="256" t="s">
        <v>368</v>
      </c>
      <c r="J215" s="236"/>
      <c r="K215" s="236"/>
      <c r="L215" s="236"/>
      <c r="M215" s="236">
        <v>28639</v>
      </c>
      <c r="N215" s="236"/>
      <c r="O215" s="236"/>
      <c r="P215" s="236">
        <f t="shared" si="7"/>
        <v>0</v>
      </c>
      <c r="Q215" s="260"/>
      <c r="R215" s="228" t="s">
        <v>338</v>
      </c>
    </row>
    <row r="216" spans="1:18" x14ac:dyDescent="0.3">
      <c r="A216" s="241" t="s">
        <v>344</v>
      </c>
      <c r="B216" s="236" t="s">
        <v>527</v>
      </c>
      <c r="C216" s="236"/>
      <c r="D216" s="236">
        <f t="shared" si="9"/>
        <v>0</v>
      </c>
      <c r="E216" s="236"/>
      <c r="F216" s="236">
        <v>27303.83</v>
      </c>
      <c r="G216" s="240" t="s">
        <v>346</v>
      </c>
      <c r="H216" s="228"/>
      <c r="I216" s="256" t="s">
        <v>368</v>
      </c>
      <c r="J216" s="236">
        <v>27303.83</v>
      </c>
      <c r="K216" s="236"/>
      <c r="L216" s="236"/>
      <c r="M216" s="236"/>
      <c r="N216" s="236"/>
      <c r="O216" s="236"/>
      <c r="P216" s="236">
        <f t="shared" si="7"/>
        <v>0</v>
      </c>
      <c r="Q216" s="260"/>
      <c r="R216" s="251" t="s">
        <v>338</v>
      </c>
    </row>
    <row r="217" spans="1:18" x14ac:dyDescent="0.3">
      <c r="A217" s="241" t="s">
        <v>344</v>
      </c>
      <c r="B217" s="236" t="s">
        <v>393</v>
      </c>
      <c r="C217" s="236"/>
      <c r="D217" s="236">
        <f t="shared" si="9"/>
        <v>25667.05</v>
      </c>
      <c r="E217" s="236">
        <v>25667.05</v>
      </c>
      <c r="F217" s="236">
        <v>25667.05</v>
      </c>
      <c r="G217" s="240" t="s">
        <v>346</v>
      </c>
      <c r="H217" s="228"/>
      <c r="I217" s="256" t="s">
        <v>337</v>
      </c>
      <c r="J217" s="236"/>
      <c r="K217" s="236"/>
      <c r="L217" s="236"/>
      <c r="M217" s="236">
        <v>25667.05</v>
      </c>
      <c r="N217" s="236"/>
      <c r="O217" s="236"/>
      <c r="P217" s="236">
        <f t="shared" si="7"/>
        <v>0</v>
      </c>
      <c r="Q217" s="260"/>
      <c r="R217" s="228" t="s">
        <v>338</v>
      </c>
    </row>
    <row r="218" spans="1:18" x14ac:dyDescent="0.3">
      <c r="A218" s="241" t="s">
        <v>344</v>
      </c>
      <c r="B218" s="236" t="s">
        <v>528</v>
      </c>
      <c r="C218" s="236"/>
      <c r="D218" s="236">
        <f t="shared" si="9"/>
        <v>25553.18</v>
      </c>
      <c r="E218" s="236">
        <v>25553.18</v>
      </c>
      <c r="F218" s="236">
        <v>25202.38</v>
      </c>
      <c r="G218" s="240" t="s">
        <v>346</v>
      </c>
      <c r="H218" s="228"/>
      <c r="I218" s="256" t="s">
        <v>368</v>
      </c>
      <c r="J218" s="236"/>
      <c r="K218" s="236">
        <v>25202.38</v>
      </c>
      <c r="L218" s="236"/>
      <c r="M218" s="236"/>
      <c r="N218" s="236"/>
      <c r="O218" s="236"/>
      <c r="P218" s="236">
        <f t="shared" si="7"/>
        <v>0</v>
      </c>
      <c r="Q218" s="260"/>
      <c r="R218" s="251" t="s">
        <v>338</v>
      </c>
    </row>
    <row r="219" spans="1:18" x14ac:dyDescent="0.3">
      <c r="A219" s="233" t="s">
        <v>360</v>
      </c>
      <c r="B219" s="234" t="s">
        <v>529</v>
      </c>
      <c r="C219" s="234"/>
      <c r="D219" s="236">
        <f t="shared" si="9"/>
        <v>25000</v>
      </c>
      <c r="E219" s="237">
        <v>25000</v>
      </c>
      <c r="F219" s="237">
        <v>25000</v>
      </c>
      <c r="G219" s="238"/>
      <c r="H219" s="228"/>
      <c r="I219" s="256" t="s">
        <v>368</v>
      </c>
      <c r="J219" s="237"/>
      <c r="K219" s="237" t="s">
        <v>363</v>
      </c>
      <c r="L219" s="237"/>
      <c r="M219" s="237" t="s">
        <v>363</v>
      </c>
      <c r="N219" s="237" t="s">
        <v>363</v>
      </c>
      <c r="O219" s="237">
        <v>25000</v>
      </c>
      <c r="P219" s="236">
        <f t="shared" si="7"/>
        <v>0</v>
      </c>
      <c r="Q219" s="260"/>
      <c r="R219" s="251" t="s">
        <v>338</v>
      </c>
    </row>
    <row r="220" spans="1:18" x14ac:dyDescent="0.3">
      <c r="A220" s="241" t="s">
        <v>344</v>
      </c>
      <c r="B220" s="236" t="s">
        <v>530</v>
      </c>
      <c r="C220" s="236"/>
      <c r="D220" s="236">
        <f t="shared" si="9"/>
        <v>24000</v>
      </c>
      <c r="E220" s="236">
        <v>24000</v>
      </c>
      <c r="F220" s="236">
        <v>24000</v>
      </c>
      <c r="G220" s="240" t="s">
        <v>346</v>
      </c>
      <c r="H220" s="228"/>
      <c r="I220" s="256" t="s">
        <v>368</v>
      </c>
      <c r="J220" s="236"/>
      <c r="K220" s="236"/>
      <c r="L220" s="236"/>
      <c r="M220" s="236"/>
      <c r="N220" s="236"/>
      <c r="O220" s="236">
        <v>24000</v>
      </c>
      <c r="P220" s="236">
        <f t="shared" si="7"/>
        <v>0</v>
      </c>
      <c r="Q220" s="260"/>
      <c r="R220" s="228" t="s">
        <v>338</v>
      </c>
    </row>
    <row r="221" spans="1:18" x14ac:dyDescent="0.3">
      <c r="A221" s="233" t="s">
        <v>357</v>
      </c>
      <c r="B221" s="236" t="s">
        <v>531</v>
      </c>
      <c r="C221" s="236"/>
      <c r="D221" s="236">
        <f t="shared" si="9"/>
        <v>23750</v>
      </c>
      <c r="E221" s="236">
        <v>23750</v>
      </c>
      <c r="F221" s="236">
        <v>23750</v>
      </c>
      <c r="G221" s="240"/>
      <c r="H221" s="228"/>
      <c r="I221" s="256" t="s">
        <v>368</v>
      </c>
      <c r="J221" s="236">
        <v>0</v>
      </c>
      <c r="K221" s="236"/>
      <c r="L221" s="236"/>
      <c r="M221" s="236"/>
      <c r="N221" s="236"/>
      <c r="O221" s="236">
        <v>23750</v>
      </c>
      <c r="P221" s="236">
        <f t="shared" si="7"/>
        <v>0</v>
      </c>
      <c r="Q221" s="260"/>
      <c r="R221" s="228" t="s">
        <v>462</v>
      </c>
    </row>
    <row r="222" spans="1:18" x14ac:dyDescent="0.3">
      <c r="A222" s="241" t="s">
        <v>344</v>
      </c>
      <c r="B222" s="236" t="s">
        <v>526</v>
      </c>
      <c r="C222" s="236"/>
      <c r="D222" s="236">
        <f t="shared" si="9"/>
        <v>0</v>
      </c>
      <c r="E222" s="236"/>
      <c r="F222" s="236">
        <v>23213.33</v>
      </c>
      <c r="G222" s="240" t="s">
        <v>346</v>
      </c>
      <c r="H222" s="228"/>
      <c r="I222" s="256" t="s">
        <v>368</v>
      </c>
      <c r="J222" s="236">
        <v>23213.33</v>
      </c>
      <c r="K222" s="236"/>
      <c r="L222" s="236"/>
      <c r="M222" s="236"/>
      <c r="N222" s="236"/>
      <c r="O222" s="236"/>
      <c r="P222" s="236">
        <f t="shared" si="7"/>
        <v>0</v>
      </c>
      <c r="Q222" s="260"/>
      <c r="R222" s="251" t="s">
        <v>338</v>
      </c>
    </row>
    <row r="223" spans="1:18" x14ac:dyDescent="0.3">
      <c r="A223" s="241" t="s">
        <v>344</v>
      </c>
      <c r="B223" s="236" t="s">
        <v>532</v>
      </c>
      <c r="C223" s="236"/>
      <c r="D223" s="236">
        <f t="shared" si="9"/>
        <v>13572</v>
      </c>
      <c r="E223" s="236">
        <v>13572</v>
      </c>
      <c r="F223" s="236">
        <v>20994</v>
      </c>
      <c r="G223" s="240" t="s">
        <v>346</v>
      </c>
      <c r="H223" s="228"/>
      <c r="I223" s="256" t="s">
        <v>368</v>
      </c>
      <c r="J223" s="236">
        <v>1770</v>
      </c>
      <c r="K223" s="236">
        <v>14340</v>
      </c>
      <c r="L223" s="236">
        <v>4884</v>
      </c>
      <c r="M223" s="236"/>
      <c r="N223" s="236"/>
      <c r="O223" s="236"/>
      <c r="P223" s="236">
        <f t="shared" si="7"/>
        <v>0</v>
      </c>
      <c r="Q223" s="260"/>
      <c r="R223" s="251" t="s">
        <v>338</v>
      </c>
    </row>
    <row r="224" spans="1:18" x14ac:dyDescent="0.3">
      <c r="A224" s="241" t="s">
        <v>344</v>
      </c>
      <c r="B224" s="236" t="s">
        <v>533</v>
      </c>
      <c r="C224" s="236"/>
      <c r="D224" s="236">
        <f t="shared" si="9"/>
        <v>20000</v>
      </c>
      <c r="E224" s="236">
        <v>20000</v>
      </c>
      <c r="F224" s="236">
        <v>20000</v>
      </c>
      <c r="G224" s="240" t="s">
        <v>346</v>
      </c>
      <c r="H224" s="228"/>
      <c r="I224" s="256" t="s">
        <v>368</v>
      </c>
      <c r="J224" s="236"/>
      <c r="K224" s="236"/>
      <c r="L224" s="236"/>
      <c r="M224" s="236"/>
      <c r="N224" s="236"/>
      <c r="O224" s="236">
        <v>20000</v>
      </c>
      <c r="P224" s="236">
        <f t="shared" si="7"/>
        <v>0</v>
      </c>
      <c r="Q224" s="260"/>
      <c r="R224" s="228" t="s">
        <v>338</v>
      </c>
    </row>
    <row r="225" spans="1:18" x14ac:dyDescent="0.3">
      <c r="A225" s="233" t="s">
        <v>382</v>
      </c>
      <c r="B225" s="234" t="s">
        <v>534</v>
      </c>
      <c r="C225" s="234"/>
      <c r="D225" s="236">
        <f t="shared" si="9"/>
        <v>20532.39</v>
      </c>
      <c r="E225" s="237">
        <v>20532.39</v>
      </c>
      <c r="F225" s="237">
        <v>20000</v>
      </c>
      <c r="G225" s="238"/>
      <c r="H225" s="228"/>
      <c r="I225" s="256" t="s">
        <v>368</v>
      </c>
      <c r="J225" s="237">
        <v>0</v>
      </c>
      <c r="K225" s="237">
        <v>20000</v>
      </c>
      <c r="L225" s="237"/>
      <c r="M225" s="237"/>
      <c r="N225" s="237"/>
      <c r="O225" s="237"/>
      <c r="P225" s="236">
        <f t="shared" si="7"/>
        <v>0</v>
      </c>
      <c r="Q225" s="260"/>
      <c r="R225" s="251" t="s">
        <v>462</v>
      </c>
    </row>
    <row r="226" spans="1:18" x14ac:dyDescent="0.3">
      <c r="A226" s="241" t="s">
        <v>344</v>
      </c>
      <c r="B226" s="243" t="s">
        <v>535</v>
      </c>
      <c r="C226" s="243"/>
      <c r="D226" s="236">
        <f t="shared" si="9"/>
        <v>34893</v>
      </c>
      <c r="E226" s="236">
        <v>34893</v>
      </c>
      <c r="F226" s="236">
        <v>19000</v>
      </c>
      <c r="G226" s="240" t="s">
        <v>346</v>
      </c>
      <c r="H226" s="228"/>
      <c r="I226" s="256" t="s">
        <v>368</v>
      </c>
      <c r="J226" s="236"/>
      <c r="K226" s="236"/>
      <c r="L226" s="236"/>
      <c r="M226" s="236"/>
      <c r="N226" s="236"/>
      <c r="O226" s="236">
        <v>19000</v>
      </c>
      <c r="P226" s="236">
        <f t="shared" si="7"/>
        <v>0</v>
      </c>
      <c r="Q226" s="256"/>
      <c r="R226" s="251" t="s">
        <v>338</v>
      </c>
    </row>
    <row r="227" spans="1:18" x14ac:dyDescent="0.3">
      <c r="A227" s="241" t="s">
        <v>344</v>
      </c>
      <c r="B227" s="236" t="s">
        <v>536</v>
      </c>
      <c r="C227" s="236"/>
      <c r="D227" s="236">
        <f t="shared" si="9"/>
        <v>0</v>
      </c>
      <c r="E227" s="236">
        <v>0</v>
      </c>
      <c r="F227" s="236">
        <v>18350.400000000001</v>
      </c>
      <c r="G227" s="240" t="s">
        <v>346</v>
      </c>
      <c r="H227" s="228"/>
      <c r="I227" s="256" t="s">
        <v>368</v>
      </c>
      <c r="J227" s="236">
        <v>18350.400000000001</v>
      </c>
      <c r="K227" s="236"/>
      <c r="L227" s="236"/>
      <c r="M227" s="236"/>
      <c r="N227" s="236"/>
      <c r="O227" s="236"/>
      <c r="P227" s="236">
        <f t="shared" si="7"/>
        <v>0</v>
      </c>
      <c r="Q227" s="260"/>
      <c r="R227" s="251" t="s">
        <v>338</v>
      </c>
    </row>
    <row r="228" spans="1:18" x14ac:dyDescent="0.3">
      <c r="A228" s="241" t="s">
        <v>344</v>
      </c>
      <c r="B228" s="236" t="s">
        <v>537</v>
      </c>
      <c r="C228" s="236"/>
      <c r="D228" s="236">
        <f t="shared" si="9"/>
        <v>0</v>
      </c>
      <c r="E228" s="236"/>
      <c r="F228" s="236">
        <v>18141</v>
      </c>
      <c r="G228" s="240" t="s">
        <v>346</v>
      </c>
      <c r="H228" s="228"/>
      <c r="I228" s="256" t="s">
        <v>368</v>
      </c>
      <c r="J228" s="236">
        <v>18141</v>
      </c>
      <c r="K228" s="236"/>
      <c r="L228" s="236"/>
      <c r="M228" s="236"/>
      <c r="N228" s="236"/>
      <c r="O228" s="236"/>
      <c r="P228" s="236">
        <f t="shared" si="7"/>
        <v>0</v>
      </c>
      <c r="Q228" s="260"/>
      <c r="R228" s="251" t="s">
        <v>338</v>
      </c>
    </row>
    <row r="229" spans="1:18" hidden="1" x14ac:dyDescent="0.3">
      <c r="A229" s="233" t="s">
        <v>334</v>
      </c>
      <c r="B229" s="234" t="s">
        <v>538</v>
      </c>
      <c r="C229" s="234"/>
      <c r="D229" s="236">
        <v>0</v>
      </c>
      <c r="E229" s="237">
        <v>0</v>
      </c>
      <c r="F229" s="237">
        <v>18011</v>
      </c>
      <c r="G229" s="240" t="s">
        <v>340</v>
      </c>
      <c r="H229" s="228" t="s">
        <v>341</v>
      </c>
      <c r="I229" s="256" t="s">
        <v>342</v>
      </c>
      <c r="J229" s="237">
        <v>18011</v>
      </c>
      <c r="K229" s="237" t="s">
        <v>343</v>
      </c>
      <c r="L229" s="237" t="s">
        <v>343</v>
      </c>
      <c r="M229" s="237" t="s">
        <v>343</v>
      </c>
      <c r="N229" s="237" t="s">
        <v>343</v>
      </c>
      <c r="O229" s="237" t="s">
        <v>343</v>
      </c>
      <c r="P229" s="236">
        <f t="shared" si="7"/>
        <v>0</v>
      </c>
      <c r="Q229" s="260"/>
      <c r="R229" s="228" t="s">
        <v>338</v>
      </c>
    </row>
    <row r="230" spans="1:18" x14ac:dyDescent="0.3">
      <c r="A230" s="233" t="s">
        <v>350</v>
      </c>
      <c r="B230" s="236" t="s">
        <v>539</v>
      </c>
      <c r="C230" s="242" t="s">
        <v>336</v>
      </c>
      <c r="D230" s="236">
        <f t="shared" ref="D230:D244" si="10">E230</f>
        <v>8000</v>
      </c>
      <c r="E230" s="236">
        <v>8000</v>
      </c>
      <c r="F230" s="236">
        <v>18000</v>
      </c>
      <c r="G230" s="240"/>
      <c r="H230" s="228"/>
      <c r="I230" s="256" t="s">
        <v>368</v>
      </c>
      <c r="J230" s="236">
        <v>10000</v>
      </c>
      <c r="K230" s="236">
        <v>0</v>
      </c>
      <c r="L230" s="236">
        <v>0</v>
      </c>
      <c r="M230" s="236">
        <v>8000</v>
      </c>
      <c r="N230" s="236">
        <v>0</v>
      </c>
      <c r="O230" s="236">
        <v>0</v>
      </c>
      <c r="P230" s="236">
        <f t="shared" si="7"/>
        <v>0</v>
      </c>
      <c r="Q230" s="256"/>
      <c r="R230" s="228" t="s">
        <v>462</v>
      </c>
    </row>
    <row r="231" spans="1:18" x14ac:dyDescent="0.3">
      <c r="A231" s="241" t="s">
        <v>344</v>
      </c>
      <c r="B231" s="236" t="s">
        <v>540</v>
      </c>
      <c r="C231" s="236"/>
      <c r="D231" s="236">
        <f t="shared" si="10"/>
        <v>0</v>
      </c>
      <c r="E231" s="236"/>
      <c r="F231" s="236">
        <v>17900</v>
      </c>
      <c r="G231" s="240" t="s">
        <v>346</v>
      </c>
      <c r="H231" s="228"/>
      <c r="I231" s="256" t="s">
        <v>368</v>
      </c>
      <c r="J231" s="236">
        <v>17900</v>
      </c>
      <c r="K231" s="236"/>
      <c r="L231" s="236"/>
      <c r="M231" s="236"/>
      <c r="N231" s="236"/>
      <c r="O231" s="236"/>
      <c r="P231" s="236">
        <f t="shared" si="7"/>
        <v>0</v>
      </c>
      <c r="Q231" s="260"/>
      <c r="R231" s="251" t="s">
        <v>338</v>
      </c>
    </row>
    <row r="232" spans="1:18" x14ac:dyDescent="0.3">
      <c r="A232" s="241" t="s">
        <v>344</v>
      </c>
      <c r="B232" s="236" t="s">
        <v>541</v>
      </c>
      <c r="C232" s="236"/>
      <c r="D232" s="236">
        <f t="shared" si="10"/>
        <v>8229.4699999999993</v>
      </c>
      <c r="E232" s="236">
        <v>8229.4699999999993</v>
      </c>
      <c r="F232" s="236">
        <v>17437.47</v>
      </c>
      <c r="G232" s="240" t="s">
        <v>346</v>
      </c>
      <c r="H232" s="228"/>
      <c r="I232" s="256" t="s">
        <v>368</v>
      </c>
      <c r="J232" s="236"/>
      <c r="K232" s="236">
        <v>17437.47</v>
      </c>
      <c r="L232" s="236"/>
      <c r="M232" s="236"/>
      <c r="N232" s="236"/>
      <c r="O232" s="236"/>
      <c r="P232" s="236">
        <f t="shared" si="7"/>
        <v>0</v>
      </c>
      <c r="Q232" s="260"/>
      <c r="R232" s="251" t="s">
        <v>338</v>
      </c>
    </row>
    <row r="233" spans="1:18" x14ac:dyDescent="0.3">
      <c r="A233" s="241" t="s">
        <v>344</v>
      </c>
      <c r="B233" s="236" t="s">
        <v>542</v>
      </c>
      <c r="C233" s="236"/>
      <c r="D233" s="236">
        <f t="shared" si="10"/>
        <v>0</v>
      </c>
      <c r="E233" s="236"/>
      <c r="F233" s="236">
        <v>17203.54</v>
      </c>
      <c r="G233" s="240" t="s">
        <v>346</v>
      </c>
      <c r="H233" s="228"/>
      <c r="I233" s="256" t="s">
        <v>368</v>
      </c>
      <c r="J233" s="236">
        <v>17203.54</v>
      </c>
      <c r="K233" s="236"/>
      <c r="L233" s="236"/>
      <c r="M233" s="236"/>
      <c r="N233" s="236"/>
      <c r="O233" s="236"/>
      <c r="P233" s="236">
        <f t="shared" si="7"/>
        <v>0</v>
      </c>
      <c r="Q233" s="260"/>
      <c r="R233" s="228" t="s">
        <v>338</v>
      </c>
    </row>
    <row r="234" spans="1:18" x14ac:dyDescent="0.3">
      <c r="A234" s="241" t="s">
        <v>344</v>
      </c>
      <c r="B234" s="236" t="s">
        <v>543</v>
      </c>
      <c r="C234" s="236"/>
      <c r="D234" s="236">
        <f t="shared" si="10"/>
        <v>16571.48</v>
      </c>
      <c r="E234" s="236">
        <v>16571.48</v>
      </c>
      <c r="F234" s="236">
        <v>16571.48</v>
      </c>
      <c r="G234" s="240" t="s">
        <v>346</v>
      </c>
      <c r="H234" s="228"/>
      <c r="I234" s="256" t="s">
        <v>368</v>
      </c>
      <c r="J234" s="236"/>
      <c r="K234" s="236"/>
      <c r="L234" s="236"/>
      <c r="M234" s="236"/>
      <c r="N234" s="236">
        <v>16571.48</v>
      </c>
      <c r="O234" s="236"/>
      <c r="P234" s="236">
        <f t="shared" si="7"/>
        <v>0</v>
      </c>
      <c r="Q234" s="260"/>
      <c r="R234" s="251" t="s">
        <v>338</v>
      </c>
    </row>
    <row r="235" spans="1:18" x14ac:dyDescent="0.3">
      <c r="A235" s="241" t="s">
        <v>344</v>
      </c>
      <c r="B235" s="243" t="s">
        <v>544</v>
      </c>
      <c r="C235" s="243"/>
      <c r="D235" s="236">
        <f t="shared" si="10"/>
        <v>43594.48</v>
      </c>
      <c r="E235" s="236">
        <v>43594.48</v>
      </c>
      <c r="F235" s="236">
        <v>16205.65</v>
      </c>
      <c r="G235" s="240" t="s">
        <v>346</v>
      </c>
      <c r="H235" s="228"/>
      <c r="I235" s="256" t="s">
        <v>368</v>
      </c>
      <c r="J235" s="236">
        <v>5071.3900000000003</v>
      </c>
      <c r="K235" s="236">
        <v>11134.26</v>
      </c>
      <c r="L235" s="236"/>
      <c r="M235" s="236"/>
      <c r="N235" s="236"/>
      <c r="O235" s="236"/>
      <c r="P235" s="236">
        <f t="shared" ref="P235:P298" si="11">F235-SUM(J235:O235)</f>
        <v>0</v>
      </c>
      <c r="Q235" s="256"/>
      <c r="R235" s="228" t="s">
        <v>338</v>
      </c>
    </row>
    <row r="236" spans="1:18" x14ac:dyDescent="0.3">
      <c r="A236" s="241" t="s">
        <v>344</v>
      </c>
      <c r="B236" s="236" t="s">
        <v>545</v>
      </c>
      <c r="C236" s="236"/>
      <c r="D236" s="236">
        <f t="shared" si="10"/>
        <v>167040</v>
      </c>
      <c r="E236" s="236">
        <v>167040</v>
      </c>
      <c r="F236" s="236">
        <v>15540</v>
      </c>
      <c r="G236" s="240" t="s">
        <v>346</v>
      </c>
      <c r="H236" s="228"/>
      <c r="I236" s="256" t="s">
        <v>368</v>
      </c>
      <c r="J236" s="236"/>
      <c r="K236" s="236">
        <v>15540</v>
      </c>
      <c r="L236" s="236"/>
      <c r="M236" s="236"/>
      <c r="N236" s="236"/>
      <c r="O236" s="236"/>
      <c r="P236" s="236">
        <f t="shared" si="11"/>
        <v>0</v>
      </c>
      <c r="Q236" s="260"/>
      <c r="R236" s="228" t="s">
        <v>338</v>
      </c>
    </row>
    <row r="237" spans="1:18" x14ac:dyDescent="0.3">
      <c r="A237" s="233" t="s">
        <v>350</v>
      </c>
      <c r="B237" s="236" t="s">
        <v>546</v>
      </c>
      <c r="C237" s="242" t="s">
        <v>336</v>
      </c>
      <c r="D237" s="236">
        <f t="shared" si="10"/>
        <v>15000</v>
      </c>
      <c r="E237" s="236">
        <v>15000</v>
      </c>
      <c r="F237" s="236">
        <v>15000</v>
      </c>
      <c r="G237" s="240"/>
      <c r="H237" s="228"/>
      <c r="I237" s="256" t="s">
        <v>368</v>
      </c>
      <c r="J237" s="236"/>
      <c r="K237" s="236">
        <v>15000</v>
      </c>
      <c r="L237" s="236"/>
      <c r="M237" s="236"/>
      <c r="N237" s="236"/>
      <c r="O237" s="236"/>
      <c r="P237" s="236">
        <f t="shared" si="11"/>
        <v>0</v>
      </c>
      <c r="Q237" s="256"/>
      <c r="R237" s="228" t="s">
        <v>462</v>
      </c>
    </row>
    <row r="238" spans="1:18" x14ac:dyDescent="0.3">
      <c r="A238" s="233" t="s">
        <v>357</v>
      </c>
      <c r="B238" s="236" t="s">
        <v>547</v>
      </c>
      <c r="C238" s="242" t="s">
        <v>336</v>
      </c>
      <c r="D238" s="236">
        <f t="shared" si="10"/>
        <v>15000</v>
      </c>
      <c r="E238" s="236">
        <v>15000</v>
      </c>
      <c r="F238" s="236">
        <v>15000</v>
      </c>
      <c r="G238" s="240"/>
      <c r="H238" s="228"/>
      <c r="I238" s="256" t="s">
        <v>368</v>
      </c>
      <c r="J238" s="236"/>
      <c r="K238" s="236">
        <v>15000</v>
      </c>
      <c r="L238" s="236"/>
      <c r="M238" s="236"/>
      <c r="N238" s="236"/>
      <c r="O238" s="236"/>
      <c r="P238" s="236">
        <f t="shared" si="11"/>
        <v>0</v>
      </c>
      <c r="Q238" s="260"/>
      <c r="R238" s="228" t="s">
        <v>462</v>
      </c>
    </row>
    <row r="239" spans="1:18" x14ac:dyDescent="0.3">
      <c r="A239" s="241" t="s">
        <v>344</v>
      </c>
      <c r="B239" s="236" t="s">
        <v>548</v>
      </c>
      <c r="C239" s="236"/>
      <c r="D239" s="236">
        <f t="shared" si="10"/>
        <v>15000</v>
      </c>
      <c r="E239" s="236">
        <v>15000</v>
      </c>
      <c r="F239" s="236">
        <v>15000</v>
      </c>
      <c r="G239" s="240" t="s">
        <v>346</v>
      </c>
      <c r="H239" s="228"/>
      <c r="I239" s="256" t="s">
        <v>368</v>
      </c>
      <c r="J239" s="236"/>
      <c r="K239" s="236"/>
      <c r="L239" s="236">
        <v>15000</v>
      </c>
      <c r="M239" s="236"/>
      <c r="N239" s="236"/>
      <c r="O239" s="236"/>
      <c r="P239" s="236">
        <f t="shared" si="11"/>
        <v>0</v>
      </c>
      <c r="Q239" s="260"/>
      <c r="R239" s="251" t="s">
        <v>338</v>
      </c>
    </row>
    <row r="240" spans="1:18" x14ac:dyDescent="0.3">
      <c r="A240" s="233" t="s">
        <v>360</v>
      </c>
      <c r="B240" s="234" t="s">
        <v>549</v>
      </c>
      <c r="C240" s="234"/>
      <c r="D240" s="236">
        <f t="shared" si="10"/>
        <v>13520.4</v>
      </c>
      <c r="E240" s="237">
        <v>13520.4</v>
      </c>
      <c r="F240" s="237">
        <v>13520.4</v>
      </c>
      <c r="G240" s="238"/>
      <c r="H240" s="228"/>
      <c r="I240" s="256" t="s">
        <v>368</v>
      </c>
      <c r="J240" s="237"/>
      <c r="K240" s="237" t="s">
        <v>363</v>
      </c>
      <c r="L240" s="237">
        <v>13520.4</v>
      </c>
      <c r="M240" s="237" t="s">
        <v>363</v>
      </c>
      <c r="N240" s="237" t="s">
        <v>363</v>
      </c>
      <c r="O240" s="237" t="s">
        <v>363</v>
      </c>
      <c r="P240" s="236">
        <f t="shared" si="11"/>
        <v>0</v>
      </c>
      <c r="Q240" s="260"/>
      <c r="R240" s="251" t="s">
        <v>338</v>
      </c>
    </row>
    <row r="241" spans="1:18" x14ac:dyDescent="0.3">
      <c r="A241" s="241" t="s">
        <v>344</v>
      </c>
      <c r="B241" s="243" t="s">
        <v>462</v>
      </c>
      <c r="C241" s="243"/>
      <c r="D241" s="236">
        <f t="shared" si="10"/>
        <v>13115.4900000002</v>
      </c>
      <c r="E241" s="236">
        <v>13115.4900000002</v>
      </c>
      <c r="F241" s="236">
        <v>13115.49</v>
      </c>
      <c r="G241" s="240" t="s">
        <v>346</v>
      </c>
      <c r="H241" s="228"/>
      <c r="I241" s="256" t="s">
        <v>368</v>
      </c>
      <c r="J241" s="236"/>
      <c r="K241" s="236"/>
      <c r="L241" s="236">
        <v>13115.49</v>
      </c>
      <c r="M241" s="236"/>
      <c r="N241" s="236"/>
      <c r="O241" s="236"/>
      <c r="P241" s="236">
        <f t="shared" si="11"/>
        <v>0</v>
      </c>
      <c r="Q241" s="256"/>
      <c r="R241" s="251" t="s">
        <v>462</v>
      </c>
    </row>
    <row r="242" spans="1:18" x14ac:dyDescent="0.3">
      <c r="A242" s="241" t="s">
        <v>344</v>
      </c>
      <c r="B242" s="236" t="s">
        <v>462</v>
      </c>
      <c r="C242" s="236"/>
      <c r="D242" s="236">
        <f t="shared" si="10"/>
        <v>12862.64</v>
      </c>
      <c r="E242" s="236">
        <v>12862.64</v>
      </c>
      <c r="F242" s="236">
        <v>12862.64</v>
      </c>
      <c r="G242" s="240" t="s">
        <v>346</v>
      </c>
      <c r="H242" s="228"/>
      <c r="I242" s="256" t="s">
        <v>368</v>
      </c>
      <c r="J242" s="236"/>
      <c r="K242" s="236"/>
      <c r="L242" s="236"/>
      <c r="M242" s="236"/>
      <c r="N242" s="236"/>
      <c r="O242" s="236">
        <v>12862.64</v>
      </c>
      <c r="P242" s="236">
        <f t="shared" si="11"/>
        <v>0</v>
      </c>
      <c r="Q242" s="260"/>
      <c r="R242" s="251" t="s">
        <v>462</v>
      </c>
    </row>
    <row r="243" spans="1:18" x14ac:dyDescent="0.3">
      <c r="A243" s="233" t="s">
        <v>360</v>
      </c>
      <c r="B243" s="234" t="s">
        <v>550</v>
      </c>
      <c r="C243" s="235" t="s">
        <v>362</v>
      </c>
      <c r="D243" s="236">
        <f t="shared" si="10"/>
        <v>12000</v>
      </c>
      <c r="E243" s="237">
        <v>12000</v>
      </c>
      <c r="F243" s="237">
        <v>12000</v>
      </c>
      <c r="G243" s="238"/>
      <c r="H243" s="228"/>
      <c r="I243" s="256" t="s">
        <v>337</v>
      </c>
      <c r="J243" s="237"/>
      <c r="K243" s="237" t="s">
        <v>363</v>
      </c>
      <c r="L243" s="237"/>
      <c r="M243" s="237" t="s">
        <v>363</v>
      </c>
      <c r="N243" s="237" t="s">
        <v>363</v>
      </c>
      <c r="O243" s="237">
        <v>12000</v>
      </c>
      <c r="P243" s="236">
        <f t="shared" si="11"/>
        <v>0</v>
      </c>
      <c r="Q243" s="260"/>
      <c r="R243" s="251" t="s">
        <v>338</v>
      </c>
    </row>
    <row r="244" spans="1:18" x14ac:dyDescent="0.3">
      <c r="A244" s="241" t="s">
        <v>344</v>
      </c>
      <c r="B244" s="236" t="s">
        <v>419</v>
      </c>
      <c r="C244" s="236"/>
      <c r="D244" s="236">
        <f t="shared" si="10"/>
        <v>11000</v>
      </c>
      <c r="E244" s="236">
        <v>11000</v>
      </c>
      <c r="F244" s="236">
        <v>11000</v>
      </c>
      <c r="G244" s="240" t="s">
        <v>346</v>
      </c>
      <c r="H244" s="228"/>
      <c r="I244" s="256" t="s">
        <v>368</v>
      </c>
      <c r="J244" s="236"/>
      <c r="K244" s="236"/>
      <c r="L244" s="236"/>
      <c r="M244" s="236">
        <v>11000</v>
      </c>
      <c r="N244" s="236"/>
      <c r="O244" s="236"/>
      <c r="P244" s="236">
        <f t="shared" si="11"/>
        <v>0</v>
      </c>
      <c r="Q244" s="260"/>
      <c r="R244" s="251" t="s">
        <v>338</v>
      </c>
    </row>
    <row r="245" spans="1:18" x14ac:dyDescent="0.3">
      <c r="A245" s="233" t="s">
        <v>334</v>
      </c>
      <c r="B245" s="234" t="s">
        <v>551</v>
      </c>
      <c r="C245" s="234"/>
      <c r="D245" s="236">
        <v>11000</v>
      </c>
      <c r="E245" s="237">
        <v>11000</v>
      </c>
      <c r="F245" s="237">
        <v>11000</v>
      </c>
      <c r="G245" s="238"/>
      <c r="H245" s="228"/>
      <c r="I245" s="256" t="s">
        <v>368</v>
      </c>
      <c r="J245" s="237"/>
      <c r="K245" s="237">
        <v>11000</v>
      </c>
      <c r="L245" s="237" t="s">
        <v>343</v>
      </c>
      <c r="M245" s="237" t="s">
        <v>343</v>
      </c>
      <c r="N245" s="237" t="s">
        <v>343</v>
      </c>
      <c r="O245" s="237" t="s">
        <v>343</v>
      </c>
      <c r="P245" s="236">
        <f t="shared" si="11"/>
        <v>0</v>
      </c>
      <c r="Q245" s="260"/>
      <c r="R245" s="251" t="s">
        <v>462</v>
      </c>
    </row>
    <row r="246" spans="1:18" x14ac:dyDescent="0.3">
      <c r="A246" s="241" t="s">
        <v>344</v>
      </c>
      <c r="B246" s="236" t="s">
        <v>552</v>
      </c>
      <c r="C246" s="236"/>
      <c r="D246" s="236">
        <f>E246</f>
        <v>10933.3</v>
      </c>
      <c r="E246" s="236">
        <v>10933.3</v>
      </c>
      <c r="F246" s="236">
        <v>10933.3</v>
      </c>
      <c r="G246" s="240" t="s">
        <v>346</v>
      </c>
      <c r="H246" s="228"/>
      <c r="I246" s="256" t="s">
        <v>368</v>
      </c>
      <c r="J246" s="236"/>
      <c r="K246" s="236"/>
      <c r="L246" s="236">
        <v>10933.3</v>
      </c>
      <c r="M246" s="236"/>
      <c r="N246" s="236"/>
      <c r="O246" s="236"/>
      <c r="P246" s="236">
        <f t="shared" si="11"/>
        <v>0</v>
      </c>
      <c r="Q246" s="260"/>
      <c r="R246" s="251" t="s">
        <v>338</v>
      </c>
    </row>
    <row r="247" spans="1:18" x14ac:dyDescent="0.3">
      <c r="A247" s="233" t="s">
        <v>350</v>
      </c>
      <c r="B247" s="236" t="s">
        <v>553</v>
      </c>
      <c r="C247" s="242" t="s">
        <v>336</v>
      </c>
      <c r="D247" s="236">
        <f>E247</f>
        <v>10000</v>
      </c>
      <c r="E247" s="236">
        <v>10000</v>
      </c>
      <c r="F247" s="236">
        <v>10000</v>
      </c>
      <c r="G247" s="240"/>
      <c r="H247" s="228"/>
      <c r="I247" s="256" t="s">
        <v>368</v>
      </c>
      <c r="J247" s="236"/>
      <c r="K247" s="236">
        <v>0</v>
      </c>
      <c r="L247" s="236">
        <v>10000</v>
      </c>
      <c r="M247" s="236"/>
      <c r="N247" s="236"/>
      <c r="O247" s="236"/>
      <c r="P247" s="236">
        <f t="shared" si="11"/>
        <v>0</v>
      </c>
      <c r="Q247" s="256"/>
      <c r="R247" s="228" t="s">
        <v>462</v>
      </c>
    </row>
    <row r="248" spans="1:18" x14ac:dyDescent="0.3">
      <c r="A248" s="233" t="s">
        <v>334</v>
      </c>
      <c r="B248" s="234" t="s">
        <v>554</v>
      </c>
      <c r="C248" s="234"/>
      <c r="D248" s="236">
        <v>6000</v>
      </c>
      <c r="E248" s="237">
        <v>6000</v>
      </c>
      <c r="F248" s="237">
        <v>10000</v>
      </c>
      <c r="G248" s="238"/>
      <c r="H248" s="228"/>
      <c r="I248" s="256" t="s">
        <v>368</v>
      </c>
      <c r="J248" s="237">
        <f>4000-45.03</f>
        <v>3954.97</v>
      </c>
      <c r="K248" s="237">
        <v>6000</v>
      </c>
      <c r="L248" s="237" t="s">
        <v>343</v>
      </c>
      <c r="M248" s="237" t="s">
        <v>343</v>
      </c>
      <c r="N248" s="237" t="s">
        <v>343</v>
      </c>
      <c r="O248" s="237">
        <v>45.03</v>
      </c>
      <c r="P248" s="236">
        <f t="shared" si="11"/>
        <v>0</v>
      </c>
      <c r="Q248" s="260"/>
      <c r="R248" s="251" t="s">
        <v>462</v>
      </c>
    </row>
    <row r="249" spans="1:18" x14ac:dyDescent="0.3">
      <c r="A249" s="233" t="s">
        <v>334</v>
      </c>
      <c r="B249" s="234" t="s">
        <v>555</v>
      </c>
      <c r="C249" s="234"/>
      <c r="D249" s="236">
        <v>0</v>
      </c>
      <c r="E249" s="237"/>
      <c r="F249" s="237">
        <v>10000</v>
      </c>
      <c r="G249" s="238"/>
      <c r="H249" s="228"/>
      <c r="I249" s="256" t="s">
        <v>368</v>
      </c>
      <c r="J249" s="237">
        <v>10000</v>
      </c>
      <c r="K249" s="237"/>
      <c r="L249" s="237"/>
      <c r="M249" s="237"/>
      <c r="N249" s="237"/>
      <c r="O249" s="237"/>
      <c r="P249" s="236">
        <f t="shared" si="11"/>
        <v>0</v>
      </c>
      <c r="Q249" s="260"/>
      <c r="R249" s="251" t="s">
        <v>462</v>
      </c>
    </row>
    <row r="250" spans="1:18" x14ac:dyDescent="0.3">
      <c r="A250" s="233" t="s">
        <v>360</v>
      </c>
      <c r="B250" s="234" t="s">
        <v>556</v>
      </c>
      <c r="C250" s="234"/>
      <c r="D250" s="236">
        <f t="shared" ref="D250:D281" si="12">E250</f>
        <v>0</v>
      </c>
      <c r="E250" s="237"/>
      <c r="F250" s="237">
        <v>10000</v>
      </c>
      <c r="G250" s="238"/>
      <c r="H250" s="228"/>
      <c r="I250" s="256" t="s">
        <v>368</v>
      </c>
      <c r="J250" s="237">
        <v>10000</v>
      </c>
      <c r="K250" s="237"/>
      <c r="L250" s="237"/>
      <c r="M250" s="237"/>
      <c r="N250" s="237"/>
      <c r="O250" s="237"/>
      <c r="P250" s="236">
        <f t="shared" si="11"/>
        <v>0</v>
      </c>
      <c r="Q250" s="260"/>
      <c r="R250" s="251" t="s">
        <v>338</v>
      </c>
    </row>
    <row r="251" spans="1:18" x14ac:dyDescent="0.3">
      <c r="A251" s="233" t="s">
        <v>349</v>
      </c>
      <c r="B251" s="234" t="s">
        <v>557</v>
      </c>
      <c r="C251" s="234"/>
      <c r="D251" s="236">
        <f t="shared" si="12"/>
        <v>0</v>
      </c>
      <c r="E251" s="237"/>
      <c r="F251" s="237">
        <v>10000</v>
      </c>
      <c r="G251" s="238"/>
      <c r="H251" s="228"/>
      <c r="I251" s="256" t="s">
        <v>368</v>
      </c>
      <c r="J251" s="237">
        <v>10000</v>
      </c>
      <c r="K251" s="237"/>
      <c r="L251" s="237"/>
      <c r="M251" s="237"/>
      <c r="N251" s="237"/>
      <c r="O251" s="237"/>
      <c r="P251" s="236">
        <f t="shared" si="11"/>
        <v>0</v>
      </c>
      <c r="Q251" s="260"/>
      <c r="R251" s="251" t="s">
        <v>396</v>
      </c>
    </row>
    <row r="252" spans="1:18" x14ac:dyDescent="0.3">
      <c r="A252" s="233" t="s">
        <v>382</v>
      </c>
      <c r="B252" s="234" t="s">
        <v>558</v>
      </c>
      <c r="C252" s="234"/>
      <c r="D252" s="236">
        <f t="shared" si="12"/>
        <v>10000</v>
      </c>
      <c r="E252" s="237">
        <v>10000</v>
      </c>
      <c r="F252" s="237">
        <v>10000</v>
      </c>
      <c r="G252" s="238"/>
      <c r="H252" s="228"/>
      <c r="I252" s="256" t="s">
        <v>368</v>
      </c>
      <c r="J252" s="237">
        <v>0</v>
      </c>
      <c r="K252" s="237">
        <v>10000</v>
      </c>
      <c r="L252" s="237"/>
      <c r="M252" s="237"/>
      <c r="N252" s="237"/>
      <c r="O252" s="237"/>
      <c r="P252" s="236">
        <f t="shared" si="11"/>
        <v>0</v>
      </c>
      <c r="Q252" s="260"/>
      <c r="R252" s="251" t="s">
        <v>396</v>
      </c>
    </row>
    <row r="253" spans="1:18" x14ac:dyDescent="0.3">
      <c r="A253" s="233" t="s">
        <v>350</v>
      </c>
      <c r="B253" s="236" t="s">
        <v>559</v>
      </c>
      <c r="C253" s="242" t="s">
        <v>336</v>
      </c>
      <c r="D253" s="236">
        <f t="shared" si="12"/>
        <v>23101.33</v>
      </c>
      <c r="E253" s="236">
        <v>23101.33</v>
      </c>
      <c r="F253" s="236">
        <v>9901.33</v>
      </c>
      <c r="G253" s="240"/>
      <c r="H253" s="228"/>
      <c r="I253" s="256" t="s">
        <v>368</v>
      </c>
      <c r="J253" s="236"/>
      <c r="K253" s="236">
        <v>0</v>
      </c>
      <c r="L253" s="236">
        <v>9901.33</v>
      </c>
      <c r="M253" s="236"/>
      <c r="N253" s="236"/>
      <c r="O253" s="236"/>
      <c r="P253" s="236">
        <f t="shared" si="11"/>
        <v>0</v>
      </c>
      <c r="Q253" s="256"/>
      <c r="R253" s="228" t="s">
        <v>462</v>
      </c>
    </row>
    <row r="254" spans="1:18" x14ac:dyDescent="0.3">
      <c r="A254" s="241" t="s">
        <v>344</v>
      </c>
      <c r="B254" s="243" t="s">
        <v>560</v>
      </c>
      <c r="C254" s="243"/>
      <c r="D254" s="236">
        <f t="shared" si="12"/>
        <v>9367.01</v>
      </c>
      <c r="E254" s="236">
        <v>9367.01</v>
      </c>
      <c r="F254" s="236">
        <v>9367.01</v>
      </c>
      <c r="G254" s="240" t="s">
        <v>346</v>
      </c>
      <c r="H254" s="228"/>
      <c r="I254" s="256" t="s">
        <v>368</v>
      </c>
      <c r="J254" s="236"/>
      <c r="K254" s="236"/>
      <c r="L254" s="236"/>
      <c r="M254" s="236"/>
      <c r="N254" s="236"/>
      <c r="O254" s="236">
        <v>9367.01</v>
      </c>
      <c r="P254" s="236">
        <f t="shared" si="11"/>
        <v>0</v>
      </c>
      <c r="Q254" s="256"/>
      <c r="R254" s="228" t="s">
        <v>396</v>
      </c>
    </row>
    <row r="255" spans="1:18" x14ac:dyDescent="0.3">
      <c r="A255" s="241" t="s">
        <v>344</v>
      </c>
      <c r="B255" s="236" t="s">
        <v>393</v>
      </c>
      <c r="C255" s="236"/>
      <c r="D255" s="236">
        <f t="shared" si="12"/>
        <v>9030.68</v>
      </c>
      <c r="E255" s="236">
        <v>9030.68</v>
      </c>
      <c r="F255" s="236">
        <v>9030.68</v>
      </c>
      <c r="G255" s="240" t="s">
        <v>346</v>
      </c>
      <c r="H255" s="228"/>
      <c r="I255" s="256" t="s">
        <v>337</v>
      </c>
      <c r="J255" s="236"/>
      <c r="K255" s="236"/>
      <c r="L255" s="236">
        <v>9030.68</v>
      </c>
      <c r="M255" s="236"/>
      <c r="N255" s="236"/>
      <c r="O255" s="236"/>
      <c r="P255" s="236">
        <f t="shared" si="11"/>
        <v>0</v>
      </c>
      <c r="Q255" s="260"/>
      <c r="R255" s="228" t="s">
        <v>338</v>
      </c>
    </row>
    <row r="256" spans="1:18" x14ac:dyDescent="0.3">
      <c r="A256" s="241" t="s">
        <v>344</v>
      </c>
      <c r="B256" s="243" t="s">
        <v>561</v>
      </c>
      <c r="C256" s="243"/>
      <c r="D256" s="236">
        <f t="shared" si="12"/>
        <v>8890</v>
      </c>
      <c r="E256" s="236">
        <v>8890</v>
      </c>
      <c r="F256" s="236">
        <v>8890</v>
      </c>
      <c r="G256" s="240" t="s">
        <v>346</v>
      </c>
      <c r="H256" s="228"/>
      <c r="I256" s="256" t="s">
        <v>368</v>
      </c>
      <c r="J256" s="236"/>
      <c r="K256" s="236"/>
      <c r="L256" s="236"/>
      <c r="M256" s="236"/>
      <c r="N256" s="236"/>
      <c r="O256" s="236">
        <v>8890</v>
      </c>
      <c r="P256" s="236">
        <f t="shared" si="11"/>
        <v>0</v>
      </c>
      <c r="Q256" s="256"/>
      <c r="R256" s="228" t="s">
        <v>338</v>
      </c>
    </row>
    <row r="257" spans="1:18" x14ac:dyDescent="0.3">
      <c r="A257" s="241" t="s">
        <v>344</v>
      </c>
      <c r="B257" s="236" t="s">
        <v>562</v>
      </c>
      <c r="C257" s="236"/>
      <c r="D257" s="236">
        <f t="shared" si="12"/>
        <v>7285.55</v>
      </c>
      <c r="E257" s="236">
        <v>7285.55</v>
      </c>
      <c r="F257" s="236">
        <v>8701.77</v>
      </c>
      <c r="G257" s="240" t="s">
        <v>346</v>
      </c>
      <c r="H257" s="228"/>
      <c r="I257" s="256" t="s">
        <v>368</v>
      </c>
      <c r="J257" s="236">
        <v>1416.22</v>
      </c>
      <c r="K257" s="236"/>
      <c r="L257" s="236"/>
      <c r="M257" s="236">
        <v>7285.55</v>
      </c>
      <c r="N257" s="236"/>
      <c r="O257" s="236"/>
      <c r="P257" s="236">
        <f t="shared" si="11"/>
        <v>0</v>
      </c>
      <c r="Q257" s="260"/>
      <c r="R257" s="251" t="s">
        <v>338</v>
      </c>
    </row>
    <row r="258" spans="1:18" x14ac:dyDescent="0.3">
      <c r="A258" s="241" t="s">
        <v>344</v>
      </c>
      <c r="B258" s="236" t="s">
        <v>563</v>
      </c>
      <c r="C258" s="236"/>
      <c r="D258" s="236">
        <f t="shared" si="12"/>
        <v>7205.07</v>
      </c>
      <c r="E258" s="236">
        <v>7205.07</v>
      </c>
      <c r="F258" s="236">
        <v>8629.68</v>
      </c>
      <c r="G258" s="240" t="s">
        <v>346</v>
      </c>
      <c r="H258" s="228"/>
      <c r="I258" s="256" t="s">
        <v>368</v>
      </c>
      <c r="J258" s="236">
        <v>1197</v>
      </c>
      <c r="K258" s="236">
        <v>2692.68</v>
      </c>
      <c r="L258" s="236">
        <v>4740</v>
      </c>
      <c r="M258" s="236"/>
      <c r="N258" s="236"/>
      <c r="O258" s="236"/>
      <c r="P258" s="236">
        <f t="shared" si="11"/>
        <v>0</v>
      </c>
      <c r="Q258" s="260"/>
      <c r="R258" s="228" t="s">
        <v>338</v>
      </c>
    </row>
    <row r="259" spans="1:18" x14ac:dyDescent="0.3">
      <c r="A259" s="233" t="s">
        <v>349</v>
      </c>
      <c r="B259" s="234" t="s">
        <v>564</v>
      </c>
      <c r="C259" s="234"/>
      <c r="D259" s="236">
        <f t="shared" si="12"/>
        <v>8000</v>
      </c>
      <c r="E259" s="237">
        <v>8000</v>
      </c>
      <c r="F259" s="237">
        <v>8000</v>
      </c>
      <c r="G259" s="238"/>
      <c r="H259" s="228"/>
      <c r="I259" s="256" t="s">
        <v>368</v>
      </c>
      <c r="J259" s="237">
        <v>0</v>
      </c>
      <c r="K259" s="237">
        <v>8000</v>
      </c>
      <c r="L259" s="237"/>
      <c r="M259" s="237"/>
      <c r="N259" s="237"/>
      <c r="O259" s="237"/>
      <c r="P259" s="236">
        <f t="shared" si="11"/>
        <v>0</v>
      </c>
      <c r="Q259" s="260"/>
      <c r="R259" s="251" t="s">
        <v>462</v>
      </c>
    </row>
    <row r="260" spans="1:18" x14ac:dyDescent="0.3">
      <c r="A260" s="233" t="s">
        <v>350</v>
      </c>
      <c r="B260" s="236" t="s">
        <v>565</v>
      </c>
      <c r="C260" s="242" t="s">
        <v>336</v>
      </c>
      <c r="D260" s="236">
        <f t="shared" si="12"/>
        <v>0</v>
      </c>
      <c r="E260" s="236"/>
      <c r="F260" s="236">
        <v>7590.24</v>
      </c>
      <c r="G260" s="240"/>
      <c r="H260" s="228"/>
      <c r="I260" s="256" t="s">
        <v>368</v>
      </c>
      <c r="J260" s="236">
        <v>7590.24</v>
      </c>
      <c r="K260" s="236"/>
      <c r="L260" s="236"/>
      <c r="M260" s="236"/>
      <c r="N260" s="236"/>
      <c r="O260" s="236"/>
      <c r="P260" s="236">
        <f t="shared" si="11"/>
        <v>0</v>
      </c>
      <c r="Q260" s="256"/>
      <c r="R260" s="228" t="s">
        <v>462</v>
      </c>
    </row>
    <row r="261" spans="1:18" x14ac:dyDescent="0.3">
      <c r="A261" s="233" t="s">
        <v>357</v>
      </c>
      <c r="B261" s="236" t="s">
        <v>566</v>
      </c>
      <c r="C261" s="236"/>
      <c r="D261" s="236">
        <f t="shared" si="12"/>
        <v>7530</v>
      </c>
      <c r="E261" s="236">
        <v>7530</v>
      </c>
      <c r="F261" s="236">
        <v>7530</v>
      </c>
      <c r="G261" s="240"/>
      <c r="H261" s="228"/>
      <c r="I261" s="256" t="s">
        <v>368</v>
      </c>
      <c r="J261" s="236"/>
      <c r="K261" s="236">
        <v>7530</v>
      </c>
      <c r="L261" s="236"/>
      <c r="M261" s="236"/>
      <c r="N261" s="236"/>
      <c r="O261" s="236"/>
      <c r="P261" s="236">
        <f t="shared" si="11"/>
        <v>0</v>
      </c>
      <c r="Q261" s="260"/>
      <c r="R261" s="228" t="s">
        <v>462</v>
      </c>
    </row>
    <row r="262" spans="1:18" x14ac:dyDescent="0.3">
      <c r="A262" s="241" t="s">
        <v>344</v>
      </c>
      <c r="B262" s="236" t="s">
        <v>567</v>
      </c>
      <c r="C262" s="236"/>
      <c r="D262" s="236">
        <f t="shared" si="12"/>
        <v>6171.53</v>
      </c>
      <c r="E262" s="236">
        <v>6171.53</v>
      </c>
      <c r="F262" s="236">
        <v>6171.53</v>
      </c>
      <c r="G262" s="240" t="s">
        <v>346</v>
      </c>
      <c r="H262" s="228"/>
      <c r="I262" s="256" t="s">
        <v>368</v>
      </c>
      <c r="J262" s="236"/>
      <c r="K262" s="236"/>
      <c r="L262" s="236"/>
      <c r="M262" s="236"/>
      <c r="N262" s="236"/>
      <c r="O262" s="236">
        <v>6171.53</v>
      </c>
      <c r="P262" s="236">
        <f t="shared" si="11"/>
        <v>0</v>
      </c>
      <c r="Q262" s="260"/>
      <c r="R262" s="228" t="s">
        <v>338</v>
      </c>
    </row>
    <row r="263" spans="1:18" x14ac:dyDescent="0.3">
      <c r="A263" s="233" t="s">
        <v>360</v>
      </c>
      <c r="B263" s="236" t="s">
        <v>568</v>
      </c>
      <c r="C263" s="236"/>
      <c r="D263" s="236">
        <f t="shared" si="12"/>
        <v>6063.18</v>
      </c>
      <c r="E263" s="237">
        <v>6063.18</v>
      </c>
      <c r="F263" s="237">
        <v>6063.18</v>
      </c>
      <c r="G263" s="238"/>
      <c r="H263" s="228"/>
      <c r="I263" s="256" t="s">
        <v>368</v>
      </c>
      <c r="J263" s="237"/>
      <c r="K263" s="237"/>
      <c r="L263" s="237">
        <v>6063.18</v>
      </c>
      <c r="M263" s="237"/>
      <c r="N263" s="237"/>
      <c r="O263" s="237"/>
      <c r="P263" s="236">
        <f t="shared" si="11"/>
        <v>0</v>
      </c>
      <c r="Q263" s="260"/>
      <c r="R263" s="251" t="s">
        <v>338</v>
      </c>
    </row>
    <row r="264" spans="1:18" x14ac:dyDescent="0.3">
      <c r="A264" s="233" t="s">
        <v>357</v>
      </c>
      <c r="B264" s="236" t="s">
        <v>569</v>
      </c>
      <c r="C264" s="236"/>
      <c r="D264" s="236">
        <f t="shared" si="12"/>
        <v>6000</v>
      </c>
      <c r="E264" s="236">
        <v>6000</v>
      </c>
      <c r="F264" s="236">
        <v>6000</v>
      </c>
      <c r="G264" s="240"/>
      <c r="H264" s="228"/>
      <c r="I264" s="256" t="s">
        <v>368</v>
      </c>
      <c r="J264" s="236">
        <v>0</v>
      </c>
      <c r="K264" s="236"/>
      <c r="L264" s="236"/>
      <c r="M264" s="236"/>
      <c r="N264" s="236"/>
      <c r="O264" s="236">
        <v>6000</v>
      </c>
      <c r="P264" s="236">
        <f t="shared" si="11"/>
        <v>0</v>
      </c>
      <c r="Q264" s="260"/>
      <c r="R264" s="228" t="s">
        <v>462</v>
      </c>
    </row>
    <row r="265" spans="1:18" x14ac:dyDescent="0.3">
      <c r="A265" s="241" t="s">
        <v>344</v>
      </c>
      <c r="B265" s="236" t="s">
        <v>570</v>
      </c>
      <c r="C265" s="236"/>
      <c r="D265" s="236">
        <f t="shared" si="12"/>
        <v>6000</v>
      </c>
      <c r="E265" s="236">
        <v>6000</v>
      </c>
      <c r="F265" s="236">
        <v>6000</v>
      </c>
      <c r="G265" s="240" t="s">
        <v>346</v>
      </c>
      <c r="H265" s="228"/>
      <c r="I265" s="256" t="s">
        <v>368</v>
      </c>
      <c r="J265" s="236"/>
      <c r="K265" s="236"/>
      <c r="L265" s="236"/>
      <c r="M265" s="236">
        <v>6000</v>
      </c>
      <c r="N265" s="236"/>
      <c r="O265" s="236"/>
      <c r="P265" s="236">
        <f t="shared" si="11"/>
        <v>0</v>
      </c>
      <c r="Q265" s="260"/>
      <c r="R265" s="251" t="s">
        <v>338</v>
      </c>
    </row>
    <row r="266" spans="1:18" x14ac:dyDescent="0.3">
      <c r="A266" s="241" t="s">
        <v>344</v>
      </c>
      <c r="B266" s="236" t="s">
        <v>571</v>
      </c>
      <c r="C266" s="236"/>
      <c r="D266" s="236">
        <f t="shared" si="12"/>
        <v>0</v>
      </c>
      <c r="E266" s="236"/>
      <c r="F266" s="236">
        <v>6000</v>
      </c>
      <c r="G266" s="240" t="s">
        <v>346</v>
      </c>
      <c r="H266" s="228"/>
      <c r="I266" s="256" t="s">
        <v>368</v>
      </c>
      <c r="J266" s="236">
        <v>6000</v>
      </c>
      <c r="K266" s="236"/>
      <c r="L266" s="236"/>
      <c r="M266" s="236"/>
      <c r="N266" s="236"/>
      <c r="O266" s="236"/>
      <c r="P266" s="236">
        <f t="shared" si="11"/>
        <v>0</v>
      </c>
      <c r="Q266" s="260"/>
      <c r="R266" s="251" t="s">
        <v>338</v>
      </c>
    </row>
    <row r="267" spans="1:18" x14ac:dyDescent="0.3">
      <c r="A267" s="233" t="s">
        <v>350</v>
      </c>
      <c r="B267" s="236" t="s">
        <v>572</v>
      </c>
      <c r="C267" s="236"/>
      <c r="D267" s="236">
        <f t="shared" si="12"/>
        <v>5978</v>
      </c>
      <c r="E267" s="236">
        <v>5978</v>
      </c>
      <c r="F267" s="236">
        <v>5978</v>
      </c>
      <c r="G267" s="240"/>
      <c r="H267" s="228"/>
      <c r="I267" s="256" t="s">
        <v>337</v>
      </c>
      <c r="J267" s="236"/>
      <c r="K267" s="236"/>
      <c r="L267" s="236"/>
      <c r="M267" s="236">
        <v>5978</v>
      </c>
      <c r="N267" s="236"/>
      <c r="O267" s="236"/>
      <c r="P267" s="236">
        <f t="shared" si="11"/>
        <v>0</v>
      </c>
      <c r="Q267" s="260"/>
      <c r="R267" s="228" t="s">
        <v>338</v>
      </c>
    </row>
    <row r="268" spans="1:18" x14ac:dyDescent="0.3">
      <c r="A268" s="241" t="s">
        <v>344</v>
      </c>
      <c r="B268" s="236" t="s">
        <v>573</v>
      </c>
      <c r="C268" s="236"/>
      <c r="D268" s="236">
        <f t="shared" si="12"/>
        <v>0</v>
      </c>
      <c r="E268" s="236"/>
      <c r="F268" s="236">
        <v>5676.21</v>
      </c>
      <c r="G268" s="240" t="s">
        <v>346</v>
      </c>
      <c r="H268" s="228"/>
      <c r="I268" s="256" t="s">
        <v>368</v>
      </c>
      <c r="J268" s="236">
        <v>5676.21</v>
      </c>
      <c r="K268" s="236"/>
      <c r="L268" s="236"/>
      <c r="M268" s="236"/>
      <c r="N268" s="236"/>
      <c r="O268" s="236"/>
      <c r="P268" s="236">
        <f t="shared" si="11"/>
        <v>0</v>
      </c>
      <c r="Q268" s="260"/>
      <c r="R268" s="251" t="s">
        <v>338</v>
      </c>
    </row>
    <row r="269" spans="1:18" x14ac:dyDescent="0.3">
      <c r="A269" s="241" t="s">
        <v>344</v>
      </c>
      <c r="B269" s="236" t="s">
        <v>574</v>
      </c>
      <c r="C269" s="236"/>
      <c r="D269" s="236">
        <f t="shared" si="12"/>
        <v>4410</v>
      </c>
      <c r="E269" s="236">
        <v>4410</v>
      </c>
      <c r="F269" s="236">
        <v>5490</v>
      </c>
      <c r="G269" s="240" t="s">
        <v>346</v>
      </c>
      <c r="H269" s="228"/>
      <c r="I269" s="256" t="s">
        <v>368</v>
      </c>
      <c r="J269" s="236">
        <v>1350</v>
      </c>
      <c r="K269" s="236">
        <v>2700</v>
      </c>
      <c r="L269" s="236">
        <v>1440</v>
      </c>
      <c r="M269" s="236"/>
      <c r="N269" s="236"/>
      <c r="O269" s="236"/>
      <c r="P269" s="236">
        <f t="shared" si="11"/>
        <v>0</v>
      </c>
      <c r="Q269" s="260"/>
      <c r="R269" s="228" t="s">
        <v>396</v>
      </c>
    </row>
    <row r="270" spans="1:18" x14ac:dyDescent="0.3">
      <c r="A270" s="241" t="s">
        <v>344</v>
      </c>
      <c r="B270" s="236" t="s">
        <v>575</v>
      </c>
      <c r="C270" s="236"/>
      <c r="D270" s="236">
        <f t="shared" si="12"/>
        <v>5145</v>
      </c>
      <c r="E270" s="236">
        <v>5145</v>
      </c>
      <c r="F270" s="236">
        <v>5145</v>
      </c>
      <c r="G270" s="240" t="s">
        <v>346</v>
      </c>
      <c r="H270" s="228"/>
      <c r="I270" s="256" t="s">
        <v>368</v>
      </c>
      <c r="J270" s="236"/>
      <c r="K270" s="236"/>
      <c r="L270" s="236">
        <v>5145</v>
      </c>
      <c r="M270" s="236"/>
      <c r="N270" s="236"/>
      <c r="O270" s="236"/>
      <c r="P270" s="236">
        <f t="shared" si="11"/>
        <v>0</v>
      </c>
      <c r="Q270" s="260"/>
      <c r="R270" s="251" t="s">
        <v>338</v>
      </c>
    </row>
    <row r="271" spans="1:18" x14ac:dyDescent="0.3">
      <c r="A271" s="233" t="s">
        <v>360</v>
      </c>
      <c r="B271" s="236" t="s">
        <v>576</v>
      </c>
      <c r="C271" s="236"/>
      <c r="D271" s="236">
        <f t="shared" si="12"/>
        <v>5107.79</v>
      </c>
      <c r="E271" s="237">
        <v>5107.79</v>
      </c>
      <c r="F271" s="237">
        <v>5107.79</v>
      </c>
      <c r="G271" s="238"/>
      <c r="H271" s="228"/>
      <c r="I271" s="256" t="s">
        <v>368</v>
      </c>
      <c r="J271" s="237"/>
      <c r="K271" s="237"/>
      <c r="L271" s="237">
        <v>5107.79</v>
      </c>
      <c r="M271" s="237"/>
      <c r="N271" s="237"/>
      <c r="O271" s="237"/>
      <c r="P271" s="236">
        <f t="shared" si="11"/>
        <v>0</v>
      </c>
      <c r="Q271" s="260"/>
      <c r="R271" s="251" t="s">
        <v>338</v>
      </c>
    </row>
    <row r="272" spans="1:18" x14ac:dyDescent="0.3">
      <c r="A272" s="233" t="s">
        <v>350</v>
      </c>
      <c r="B272" s="236" t="s">
        <v>577</v>
      </c>
      <c r="C272" s="242" t="s">
        <v>336</v>
      </c>
      <c r="D272" s="236">
        <f t="shared" si="12"/>
        <v>5000</v>
      </c>
      <c r="E272" s="236">
        <v>5000</v>
      </c>
      <c r="F272" s="236">
        <v>5000</v>
      </c>
      <c r="G272" s="240"/>
      <c r="H272" s="228"/>
      <c r="I272" s="256" t="s">
        <v>368</v>
      </c>
      <c r="J272" s="236"/>
      <c r="K272" s="236">
        <v>5000</v>
      </c>
      <c r="L272" s="236"/>
      <c r="M272" s="236"/>
      <c r="N272" s="236"/>
      <c r="O272" s="236"/>
      <c r="P272" s="236">
        <f t="shared" si="11"/>
        <v>0</v>
      </c>
      <c r="Q272" s="256"/>
      <c r="R272" s="228" t="s">
        <v>462</v>
      </c>
    </row>
    <row r="273" spans="1:18" x14ac:dyDescent="0.3">
      <c r="A273" s="233" t="s">
        <v>350</v>
      </c>
      <c r="B273" s="236" t="s">
        <v>578</v>
      </c>
      <c r="C273" s="242" t="s">
        <v>336</v>
      </c>
      <c r="D273" s="236">
        <f t="shared" si="12"/>
        <v>0</v>
      </c>
      <c r="E273" s="236"/>
      <c r="F273" s="236">
        <v>5000</v>
      </c>
      <c r="G273" s="240"/>
      <c r="H273" s="228"/>
      <c r="I273" s="256" t="s">
        <v>368</v>
      </c>
      <c r="J273" s="236">
        <v>5000</v>
      </c>
      <c r="K273" s="236"/>
      <c r="L273" s="236"/>
      <c r="M273" s="236"/>
      <c r="N273" s="236"/>
      <c r="O273" s="236"/>
      <c r="P273" s="236">
        <f t="shared" si="11"/>
        <v>0</v>
      </c>
      <c r="Q273" s="256"/>
      <c r="R273" s="228" t="s">
        <v>462</v>
      </c>
    </row>
    <row r="274" spans="1:18" x14ac:dyDescent="0.3">
      <c r="A274" s="233" t="s">
        <v>357</v>
      </c>
      <c r="B274" s="236" t="s">
        <v>579</v>
      </c>
      <c r="C274" s="236"/>
      <c r="D274" s="236">
        <f t="shared" si="12"/>
        <v>5000</v>
      </c>
      <c r="E274" s="236">
        <v>5000</v>
      </c>
      <c r="F274" s="236">
        <v>5000</v>
      </c>
      <c r="G274" s="240"/>
      <c r="H274" s="228"/>
      <c r="I274" s="256" t="s">
        <v>368</v>
      </c>
      <c r="J274" s="236">
        <v>0</v>
      </c>
      <c r="K274" s="236"/>
      <c r="L274" s="236"/>
      <c r="M274" s="236"/>
      <c r="N274" s="236"/>
      <c r="O274" s="236">
        <v>5000</v>
      </c>
      <c r="P274" s="236">
        <f t="shared" si="11"/>
        <v>0</v>
      </c>
      <c r="Q274" s="260"/>
      <c r="R274" s="228" t="s">
        <v>462</v>
      </c>
    </row>
    <row r="275" spans="1:18" x14ac:dyDescent="0.3">
      <c r="A275" s="241" t="s">
        <v>344</v>
      </c>
      <c r="B275" s="236" t="s">
        <v>580</v>
      </c>
      <c r="C275" s="236"/>
      <c r="D275" s="236">
        <f t="shared" si="12"/>
        <v>5000</v>
      </c>
      <c r="E275" s="236">
        <v>5000</v>
      </c>
      <c r="F275" s="236">
        <v>5000</v>
      </c>
      <c r="G275" s="240" t="s">
        <v>346</v>
      </c>
      <c r="H275" s="228"/>
      <c r="I275" s="256" t="s">
        <v>337</v>
      </c>
      <c r="J275" s="236"/>
      <c r="K275" s="236"/>
      <c r="L275" s="236">
        <v>5000</v>
      </c>
      <c r="M275" s="236"/>
      <c r="N275" s="236"/>
      <c r="O275" s="236"/>
      <c r="P275" s="236">
        <f t="shared" si="11"/>
        <v>0</v>
      </c>
      <c r="Q275" s="260"/>
      <c r="R275" s="251" t="s">
        <v>338</v>
      </c>
    </row>
    <row r="276" spans="1:18" x14ac:dyDescent="0.3">
      <c r="A276" s="233" t="s">
        <v>360</v>
      </c>
      <c r="B276" s="234" t="s">
        <v>581</v>
      </c>
      <c r="C276" s="234"/>
      <c r="D276" s="236">
        <f t="shared" si="12"/>
        <v>5000</v>
      </c>
      <c r="E276" s="237">
        <v>5000</v>
      </c>
      <c r="F276" s="237">
        <v>5000</v>
      </c>
      <c r="G276" s="238"/>
      <c r="H276" s="228"/>
      <c r="I276" s="256" t="s">
        <v>337</v>
      </c>
      <c r="J276" s="237"/>
      <c r="K276" s="237" t="s">
        <v>363</v>
      </c>
      <c r="L276" s="237"/>
      <c r="M276" s="237" t="s">
        <v>363</v>
      </c>
      <c r="N276" s="237" t="s">
        <v>363</v>
      </c>
      <c r="O276" s="237">
        <v>5000</v>
      </c>
      <c r="P276" s="236">
        <f t="shared" si="11"/>
        <v>0</v>
      </c>
      <c r="Q276" s="260"/>
      <c r="R276" s="251" t="s">
        <v>338</v>
      </c>
    </row>
    <row r="277" spans="1:18" x14ac:dyDescent="0.3">
      <c r="A277" s="233" t="s">
        <v>360</v>
      </c>
      <c r="B277" s="234" t="s">
        <v>582</v>
      </c>
      <c r="C277" s="234"/>
      <c r="D277" s="236">
        <f t="shared" si="12"/>
        <v>5000</v>
      </c>
      <c r="E277" s="237">
        <v>5000</v>
      </c>
      <c r="F277" s="237">
        <v>5000</v>
      </c>
      <c r="G277" s="238"/>
      <c r="H277" s="228"/>
      <c r="I277" s="256" t="s">
        <v>337</v>
      </c>
      <c r="J277" s="237"/>
      <c r="K277" s="237" t="s">
        <v>363</v>
      </c>
      <c r="L277" s="237"/>
      <c r="M277" s="237" t="s">
        <v>363</v>
      </c>
      <c r="N277" s="237" t="s">
        <v>363</v>
      </c>
      <c r="O277" s="237">
        <v>5000</v>
      </c>
      <c r="P277" s="236">
        <f t="shared" si="11"/>
        <v>0</v>
      </c>
      <c r="Q277" s="260"/>
      <c r="R277" s="251" t="s">
        <v>338</v>
      </c>
    </row>
    <row r="278" spans="1:18" x14ac:dyDescent="0.3">
      <c r="A278" s="241" t="s">
        <v>344</v>
      </c>
      <c r="B278" s="236" t="s">
        <v>583</v>
      </c>
      <c r="C278" s="236"/>
      <c r="D278" s="236">
        <f t="shared" si="12"/>
        <v>32721.200000000001</v>
      </c>
      <c r="E278" s="236">
        <v>32721.200000000001</v>
      </c>
      <c r="F278" s="236">
        <v>4781.6000000000004</v>
      </c>
      <c r="G278" s="240" t="s">
        <v>346</v>
      </c>
      <c r="H278" s="228"/>
      <c r="I278" s="256" t="s">
        <v>368</v>
      </c>
      <c r="J278" s="236"/>
      <c r="K278" s="236">
        <v>4781.6000000000004</v>
      </c>
      <c r="L278" s="236"/>
      <c r="M278" s="236"/>
      <c r="N278" s="236"/>
      <c r="O278" s="236"/>
      <c r="P278" s="236">
        <f t="shared" si="11"/>
        <v>0</v>
      </c>
      <c r="Q278" s="260"/>
      <c r="R278" s="251" t="s">
        <v>338</v>
      </c>
    </row>
    <row r="279" spans="1:18" x14ac:dyDescent="0.3">
      <c r="A279" s="241" t="s">
        <v>344</v>
      </c>
      <c r="B279" s="243" t="s">
        <v>584</v>
      </c>
      <c r="C279" s="243"/>
      <c r="D279" s="236">
        <f t="shared" si="12"/>
        <v>4426.6499999999996</v>
      </c>
      <c r="E279" s="236">
        <v>4426.6499999999996</v>
      </c>
      <c r="F279" s="236">
        <v>4426.6499999999996</v>
      </c>
      <c r="G279" s="240" t="s">
        <v>346</v>
      </c>
      <c r="H279" s="228"/>
      <c r="I279" s="256" t="s">
        <v>368</v>
      </c>
      <c r="J279" s="236"/>
      <c r="K279" s="236"/>
      <c r="L279" s="236"/>
      <c r="M279" s="236"/>
      <c r="N279" s="236"/>
      <c r="O279" s="236">
        <v>4426.6499999999996</v>
      </c>
      <c r="P279" s="236">
        <f t="shared" si="11"/>
        <v>0</v>
      </c>
      <c r="Q279" s="256"/>
      <c r="R279" s="228" t="s">
        <v>338</v>
      </c>
    </row>
    <row r="280" spans="1:18" x14ac:dyDescent="0.3">
      <c r="A280" s="233" t="s">
        <v>360</v>
      </c>
      <c r="B280" s="234" t="s">
        <v>585</v>
      </c>
      <c r="C280" s="234"/>
      <c r="D280" s="236">
        <f t="shared" si="12"/>
        <v>4110</v>
      </c>
      <c r="E280" s="237">
        <v>4110</v>
      </c>
      <c r="F280" s="237">
        <v>4110</v>
      </c>
      <c r="G280" s="238"/>
      <c r="H280" s="228"/>
      <c r="I280" s="256" t="s">
        <v>368</v>
      </c>
      <c r="J280" s="237"/>
      <c r="K280" s="237" t="s">
        <v>363</v>
      </c>
      <c r="L280" s="237"/>
      <c r="M280" s="237" t="s">
        <v>363</v>
      </c>
      <c r="N280" s="237" t="s">
        <v>363</v>
      </c>
      <c r="O280" s="237">
        <v>4110</v>
      </c>
      <c r="P280" s="236">
        <f t="shared" si="11"/>
        <v>0</v>
      </c>
      <c r="Q280" s="260"/>
      <c r="R280" s="251" t="s">
        <v>338</v>
      </c>
    </row>
    <row r="281" spans="1:18" x14ac:dyDescent="0.3">
      <c r="A281" s="241" t="s">
        <v>344</v>
      </c>
      <c r="B281" s="236" t="s">
        <v>586</v>
      </c>
      <c r="C281" s="236"/>
      <c r="D281" s="236">
        <f t="shared" si="12"/>
        <v>4000</v>
      </c>
      <c r="E281" s="236">
        <v>4000</v>
      </c>
      <c r="F281" s="236">
        <v>4000</v>
      </c>
      <c r="G281" s="240" t="s">
        <v>346</v>
      </c>
      <c r="H281" s="228"/>
      <c r="I281" s="256" t="s">
        <v>368</v>
      </c>
      <c r="J281" s="236"/>
      <c r="K281" s="236">
        <v>4000</v>
      </c>
      <c r="L281" s="236"/>
      <c r="M281" s="236"/>
      <c r="N281" s="236"/>
      <c r="O281" s="236"/>
      <c r="P281" s="236">
        <f t="shared" si="11"/>
        <v>0</v>
      </c>
      <c r="Q281" s="260"/>
      <c r="R281" s="251" t="s">
        <v>338</v>
      </c>
    </row>
    <row r="282" spans="1:18" x14ac:dyDescent="0.3">
      <c r="A282" s="241" t="s">
        <v>344</v>
      </c>
      <c r="B282" s="236" t="s">
        <v>587</v>
      </c>
      <c r="C282" s="236"/>
      <c r="D282" s="236">
        <f t="shared" ref="D282:D299" si="13">E282</f>
        <v>0</v>
      </c>
      <c r="E282" s="236"/>
      <c r="F282" s="236">
        <v>4000</v>
      </c>
      <c r="G282" s="240" t="s">
        <v>346</v>
      </c>
      <c r="H282" s="228"/>
      <c r="I282" s="256" t="s">
        <v>368</v>
      </c>
      <c r="J282" s="236">
        <v>4000</v>
      </c>
      <c r="K282" s="236"/>
      <c r="L282" s="236"/>
      <c r="M282" s="236"/>
      <c r="N282" s="236"/>
      <c r="O282" s="236"/>
      <c r="P282" s="236">
        <f t="shared" si="11"/>
        <v>0</v>
      </c>
      <c r="Q282" s="260"/>
      <c r="R282" s="251" t="s">
        <v>338</v>
      </c>
    </row>
    <row r="283" spans="1:18" x14ac:dyDescent="0.3">
      <c r="A283" s="241" t="s">
        <v>344</v>
      </c>
      <c r="B283" s="236" t="s">
        <v>588</v>
      </c>
      <c r="C283" s="236"/>
      <c r="D283" s="236">
        <f t="shared" si="13"/>
        <v>0</v>
      </c>
      <c r="E283" s="236"/>
      <c r="F283" s="236">
        <v>3900</v>
      </c>
      <c r="G283" s="240" t="s">
        <v>346</v>
      </c>
      <c r="H283" s="228"/>
      <c r="I283" s="256" t="s">
        <v>368</v>
      </c>
      <c r="J283" s="236">
        <v>3900</v>
      </c>
      <c r="K283" s="236"/>
      <c r="L283" s="236"/>
      <c r="M283" s="236"/>
      <c r="N283" s="236"/>
      <c r="O283" s="236"/>
      <c r="P283" s="236">
        <f t="shared" si="11"/>
        <v>0</v>
      </c>
      <c r="Q283" s="260"/>
      <c r="R283" s="251" t="s">
        <v>338</v>
      </c>
    </row>
    <row r="284" spans="1:18" x14ac:dyDescent="0.3">
      <c r="A284" s="241" t="s">
        <v>344</v>
      </c>
      <c r="B284" s="243" t="s">
        <v>589</v>
      </c>
      <c r="C284" s="243"/>
      <c r="D284" s="236">
        <f t="shared" si="13"/>
        <v>11312.47</v>
      </c>
      <c r="E284" s="236">
        <v>11312.47</v>
      </c>
      <c r="F284" s="236">
        <v>3507.47</v>
      </c>
      <c r="G284" s="240" t="s">
        <v>346</v>
      </c>
      <c r="H284" s="228"/>
      <c r="I284" s="256" t="s">
        <v>368</v>
      </c>
      <c r="J284" s="236"/>
      <c r="K284" s="236">
        <v>3507.47</v>
      </c>
      <c r="L284" s="236"/>
      <c r="M284" s="236"/>
      <c r="N284" s="236"/>
      <c r="O284" s="236"/>
      <c r="P284" s="236">
        <f t="shared" si="11"/>
        <v>0</v>
      </c>
      <c r="Q284" s="260"/>
      <c r="R284" s="251" t="s">
        <v>338</v>
      </c>
    </row>
    <row r="285" spans="1:18" x14ac:dyDescent="0.3">
      <c r="A285" s="241" t="s">
        <v>344</v>
      </c>
      <c r="B285" s="236" t="s">
        <v>590</v>
      </c>
      <c r="C285" s="236"/>
      <c r="D285" s="236">
        <f t="shared" si="13"/>
        <v>0</v>
      </c>
      <c r="E285" s="236"/>
      <c r="F285" s="236">
        <v>3209.92</v>
      </c>
      <c r="G285" s="240" t="s">
        <v>346</v>
      </c>
      <c r="H285" s="228"/>
      <c r="I285" s="256" t="s">
        <v>368</v>
      </c>
      <c r="J285" s="236">
        <v>3209.92</v>
      </c>
      <c r="K285" s="236"/>
      <c r="L285" s="236"/>
      <c r="M285" s="236"/>
      <c r="N285" s="236"/>
      <c r="O285" s="236"/>
      <c r="P285" s="236">
        <f t="shared" si="11"/>
        <v>0</v>
      </c>
      <c r="Q285" s="260"/>
      <c r="R285" s="251" t="s">
        <v>338</v>
      </c>
    </row>
    <row r="286" spans="1:18" x14ac:dyDescent="0.3">
      <c r="A286" s="233" t="s">
        <v>357</v>
      </c>
      <c r="B286" s="236" t="s">
        <v>591</v>
      </c>
      <c r="C286" s="236"/>
      <c r="D286" s="236">
        <f t="shared" si="13"/>
        <v>3000</v>
      </c>
      <c r="E286" s="236">
        <v>3000</v>
      </c>
      <c r="F286" s="236">
        <v>3000</v>
      </c>
      <c r="G286" s="240"/>
      <c r="H286" s="228"/>
      <c r="I286" s="256" t="s">
        <v>368</v>
      </c>
      <c r="J286" s="236">
        <v>0</v>
      </c>
      <c r="K286" s="236"/>
      <c r="L286" s="236"/>
      <c r="M286" s="236"/>
      <c r="N286" s="236"/>
      <c r="O286" s="236">
        <v>3000</v>
      </c>
      <c r="P286" s="236">
        <f t="shared" si="11"/>
        <v>0</v>
      </c>
      <c r="Q286" s="260"/>
      <c r="R286" s="228" t="s">
        <v>338</v>
      </c>
    </row>
    <row r="287" spans="1:18" x14ac:dyDescent="0.3">
      <c r="A287" s="233" t="s">
        <v>360</v>
      </c>
      <c r="B287" s="234" t="s">
        <v>592</v>
      </c>
      <c r="C287" s="234"/>
      <c r="D287" s="236">
        <f t="shared" si="13"/>
        <v>0</v>
      </c>
      <c r="E287" s="237">
        <v>0</v>
      </c>
      <c r="F287" s="237">
        <v>3000</v>
      </c>
      <c r="G287" s="238"/>
      <c r="H287" s="228"/>
      <c r="I287" s="256" t="s">
        <v>337</v>
      </c>
      <c r="J287" s="237">
        <v>3000</v>
      </c>
      <c r="K287" s="237"/>
      <c r="L287" s="237" t="s">
        <v>363</v>
      </c>
      <c r="M287" s="237" t="s">
        <v>363</v>
      </c>
      <c r="N287" s="237" t="s">
        <v>363</v>
      </c>
      <c r="O287" s="237" t="s">
        <v>363</v>
      </c>
      <c r="P287" s="236">
        <f t="shared" si="11"/>
        <v>0</v>
      </c>
      <c r="Q287" s="260"/>
      <c r="R287" s="251" t="s">
        <v>338</v>
      </c>
    </row>
    <row r="288" spans="1:18" x14ac:dyDescent="0.3">
      <c r="A288" s="233" t="s">
        <v>350</v>
      </c>
      <c r="B288" s="236" t="s">
        <v>593</v>
      </c>
      <c r="C288" s="236"/>
      <c r="D288" s="236">
        <f t="shared" si="13"/>
        <v>2613.23</v>
      </c>
      <c r="E288" s="236">
        <v>2613.23</v>
      </c>
      <c r="F288" s="236">
        <v>2613.23</v>
      </c>
      <c r="G288" s="240"/>
      <c r="H288" s="228"/>
      <c r="I288" s="256" t="s">
        <v>337</v>
      </c>
      <c r="J288" s="236"/>
      <c r="K288" s="236"/>
      <c r="L288" s="236"/>
      <c r="M288" s="236"/>
      <c r="N288" s="236"/>
      <c r="O288" s="236">
        <v>2613.23</v>
      </c>
      <c r="P288" s="236">
        <f t="shared" si="11"/>
        <v>0</v>
      </c>
      <c r="Q288" s="256"/>
      <c r="R288" s="228" t="s">
        <v>338</v>
      </c>
    </row>
    <row r="289" spans="1:18" x14ac:dyDescent="0.3">
      <c r="A289" s="233" t="s">
        <v>360</v>
      </c>
      <c r="B289" s="234" t="s">
        <v>594</v>
      </c>
      <c r="C289" s="234"/>
      <c r="D289" s="236">
        <f t="shared" si="13"/>
        <v>961.47</v>
      </c>
      <c r="E289" s="237">
        <v>961.47</v>
      </c>
      <c r="F289" s="237">
        <v>2518.9699999999998</v>
      </c>
      <c r="G289" s="238"/>
      <c r="H289" s="228"/>
      <c r="I289" s="256" t="s">
        <v>368</v>
      </c>
      <c r="J289" s="237">
        <v>2518.9699999999998</v>
      </c>
      <c r="K289" s="237"/>
      <c r="L289" s="237"/>
      <c r="M289" s="237"/>
      <c r="N289" s="237"/>
      <c r="O289" s="237"/>
      <c r="P289" s="236">
        <f t="shared" si="11"/>
        <v>0</v>
      </c>
      <c r="Q289" s="260"/>
      <c r="R289" s="251" t="s">
        <v>338</v>
      </c>
    </row>
    <row r="290" spans="1:18" x14ac:dyDescent="0.3">
      <c r="A290" s="233" t="s">
        <v>350</v>
      </c>
      <c r="B290" s="236" t="s">
        <v>595</v>
      </c>
      <c r="C290" s="236"/>
      <c r="D290" s="236">
        <f t="shared" si="13"/>
        <v>2000</v>
      </c>
      <c r="E290" s="236">
        <v>2000</v>
      </c>
      <c r="F290" s="236">
        <v>2000</v>
      </c>
      <c r="G290" s="240"/>
      <c r="H290" s="228"/>
      <c r="I290" s="256" t="s">
        <v>337</v>
      </c>
      <c r="J290" s="236"/>
      <c r="K290" s="236"/>
      <c r="L290" s="236"/>
      <c r="M290" s="236"/>
      <c r="N290" s="236"/>
      <c r="O290" s="236">
        <v>2000</v>
      </c>
      <c r="P290" s="236">
        <f t="shared" si="11"/>
        <v>0</v>
      </c>
      <c r="Q290" s="256"/>
      <c r="R290" s="228" t="s">
        <v>338</v>
      </c>
    </row>
    <row r="291" spans="1:18" x14ac:dyDescent="0.3">
      <c r="A291" s="233" t="s">
        <v>350</v>
      </c>
      <c r="B291" s="236" t="s">
        <v>596</v>
      </c>
      <c r="C291" s="242" t="s">
        <v>336</v>
      </c>
      <c r="D291" s="236">
        <f t="shared" si="13"/>
        <v>2000</v>
      </c>
      <c r="E291" s="236">
        <v>2000</v>
      </c>
      <c r="F291" s="236">
        <v>2000</v>
      </c>
      <c r="G291" s="240"/>
      <c r="H291" s="228"/>
      <c r="I291" s="256" t="s">
        <v>368</v>
      </c>
      <c r="J291" s="236"/>
      <c r="K291" s="236">
        <v>0</v>
      </c>
      <c r="L291" s="236"/>
      <c r="M291" s="236"/>
      <c r="N291" s="236"/>
      <c r="O291" s="236">
        <v>2000</v>
      </c>
      <c r="P291" s="236">
        <f t="shared" si="11"/>
        <v>0</v>
      </c>
      <c r="Q291" s="256"/>
      <c r="R291" s="228" t="s">
        <v>462</v>
      </c>
    </row>
    <row r="292" spans="1:18" x14ac:dyDescent="0.3">
      <c r="A292" s="241" t="s">
        <v>344</v>
      </c>
      <c r="B292" s="236" t="s">
        <v>597</v>
      </c>
      <c r="C292" s="236"/>
      <c r="D292" s="236">
        <f t="shared" si="13"/>
        <v>2000</v>
      </c>
      <c r="E292" s="236">
        <v>2000</v>
      </c>
      <c r="F292" s="236">
        <v>2000</v>
      </c>
      <c r="G292" s="240" t="s">
        <v>346</v>
      </c>
      <c r="H292" s="228"/>
      <c r="I292" s="256" t="s">
        <v>368</v>
      </c>
      <c r="J292" s="236"/>
      <c r="K292" s="236"/>
      <c r="L292" s="236">
        <v>2000</v>
      </c>
      <c r="M292" s="236"/>
      <c r="N292" s="236"/>
      <c r="O292" s="236"/>
      <c r="P292" s="236">
        <f t="shared" si="11"/>
        <v>0</v>
      </c>
      <c r="Q292" s="260"/>
      <c r="R292" s="251" t="s">
        <v>462</v>
      </c>
    </row>
    <row r="293" spans="1:18" x14ac:dyDescent="0.3">
      <c r="A293" s="241" t="s">
        <v>344</v>
      </c>
      <c r="B293" s="236" t="s">
        <v>598</v>
      </c>
      <c r="C293" s="236"/>
      <c r="D293" s="236">
        <f t="shared" si="13"/>
        <v>1999.11</v>
      </c>
      <c r="E293" s="236">
        <v>1999.11</v>
      </c>
      <c r="F293" s="236">
        <v>1999.11</v>
      </c>
      <c r="G293" s="240" t="s">
        <v>346</v>
      </c>
      <c r="H293" s="228"/>
      <c r="I293" s="256" t="s">
        <v>337</v>
      </c>
      <c r="J293" s="236"/>
      <c r="K293" s="236"/>
      <c r="L293" s="236">
        <v>1999.11</v>
      </c>
      <c r="M293" s="236"/>
      <c r="N293" s="236"/>
      <c r="O293" s="236"/>
      <c r="P293" s="236">
        <f t="shared" si="11"/>
        <v>0</v>
      </c>
      <c r="Q293" s="260"/>
      <c r="R293" s="228" t="s">
        <v>338</v>
      </c>
    </row>
    <row r="294" spans="1:18" x14ac:dyDescent="0.3">
      <c r="A294" s="241" t="s">
        <v>344</v>
      </c>
      <c r="B294" s="236" t="s">
        <v>599</v>
      </c>
      <c r="C294" s="236"/>
      <c r="D294" s="236">
        <f t="shared" si="13"/>
        <v>1767.35</v>
      </c>
      <c r="E294" s="236">
        <v>1767.35</v>
      </c>
      <c r="F294" s="236">
        <v>1767.35</v>
      </c>
      <c r="G294" s="240" t="s">
        <v>346</v>
      </c>
      <c r="H294" s="228"/>
      <c r="I294" s="256" t="s">
        <v>368</v>
      </c>
      <c r="J294" s="236"/>
      <c r="K294" s="236"/>
      <c r="L294" s="236"/>
      <c r="M294" s="236">
        <v>1767.35</v>
      </c>
      <c r="N294" s="236"/>
      <c r="O294" s="236"/>
      <c r="P294" s="236">
        <f t="shared" si="11"/>
        <v>0</v>
      </c>
      <c r="Q294" s="260"/>
      <c r="R294" s="228" t="s">
        <v>338</v>
      </c>
    </row>
    <row r="295" spans="1:18" x14ac:dyDescent="0.3">
      <c r="A295" s="241" t="s">
        <v>344</v>
      </c>
      <c r="B295" s="236" t="s">
        <v>600</v>
      </c>
      <c r="C295" s="236"/>
      <c r="D295" s="236">
        <f t="shared" si="13"/>
        <v>1745</v>
      </c>
      <c r="E295" s="236">
        <v>1745</v>
      </c>
      <c r="F295" s="236">
        <v>1745</v>
      </c>
      <c r="G295" s="240" t="s">
        <v>346</v>
      </c>
      <c r="H295" s="228"/>
      <c r="I295" s="256" t="s">
        <v>368</v>
      </c>
      <c r="J295" s="236"/>
      <c r="K295" s="236"/>
      <c r="L295" s="236"/>
      <c r="M295" s="236"/>
      <c r="N295" s="236"/>
      <c r="O295" s="236">
        <v>1745</v>
      </c>
      <c r="P295" s="236">
        <f t="shared" si="11"/>
        <v>0</v>
      </c>
      <c r="Q295" s="260"/>
      <c r="R295" s="228" t="s">
        <v>338</v>
      </c>
    </row>
    <row r="296" spans="1:18" x14ac:dyDescent="0.3">
      <c r="A296" s="241" t="s">
        <v>344</v>
      </c>
      <c r="B296" s="236" t="s">
        <v>601</v>
      </c>
      <c r="C296" s="236"/>
      <c r="D296" s="236">
        <f t="shared" si="13"/>
        <v>0</v>
      </c>
      <c r="E296" s="236"/>
      <c r="F296" s="236">
        <v>1641.6</v>
      </c>
      <c r="G296" s="240" t="s">
        <v>346</v>
      </c>
      <c r="H296" s="228"/>
      <c r="I296" s="256" t="s">
        <v>368</v>
      </c>
      <c r="J296" s="236">
        <v>1641.6</v>
      </c>
      <c r="K296" s="236"/>
      <c r="L296" s="236"/>
      <c r="M296" s="236"/>
      <c r="N296" s="236"/>
      <c r="O296" s="236"/>
      <c r="P296" s="236">
        <f t="shared" si="11"/>
        <v>0</v>
      </c>
      <c r="Q296" s="260"/>
      <c r="R296" s="228" t="s">
        <v>338</v>
      </c>
    </row>
    <row r="297" spans="1:18" x14ac:dyDescent="0.3">
      <c r="A297" s="241" t="s">
        <v>344</v>
      </c>
      <c r="B297" s="236" t="s">
        <v>602</v>
      </c>
      <c r="C297" s="236"/>
      <c r="D297" s="236">
        <f t="shared" si="13"/>
        <v>0</v>
      </c>
      <c r="E297" s="236"/>
      <c r="F297" s="236">
        <v>1600</v>
      </c>
      <c r="G297" s="240" t="s">
        <v>346</v>
      </c>
      <c r="H297" s="228"/>
      <c r="I297" s="256" t="s">
        <v>368</v>
      </c>
      <c r="J297" s="236">
        <v>1600</v>
      </c>
      <c r="K297" s="236"/>
      <c r="L297" s="236"/>
      <c r="M297" s="236"/>
      <c r="N297" s="236"/>
      <c r="O297" s="236"/>
      <c r="P297" s="236">
        <f t="shared" si="11"/>
        <v>0</v>
      </c>
      <c r="Q297" s="260"/>
      <c r="R297" s="228" t="s">
        <v>338</v>
      </c>
    </row>
    <row r="298" spans="1:18" x14ac:dyDescent="0.3">
      <c r="A298" s="241" t="s">
        <v>344</v>
      </c>
      <c r="B298" s="236" t="s">
        <v>603</v>
      </c>
      <c r="C298" s="236"/>
      <c r="D298" s="236">
        <f t="shared" si="13"/>
        <v>1595.42</v>
      </c>
      <c r="E298" s="236">
        <v>1595.42</v>
      </c>
      <c r="F298" s="236">
        <v>1595.42</v>
      </c>
      <c r="G298" s="240" t="s">
        <v>346</v>
      </c>
      <c r="H298" s="228"/>
      <c r="I298" s="256" t="s">
        <v>368</v>
      </c>
      <c r="J298" s="236"/>
      <c r="K298" s="236"/>
      <c r="L298" s="236"/>
      <c r="M298" s="236"/>
      <c r="N298" s="236">
        <v>1595.42</v>
      </c>
      <c r="O298" s="236"/>
      <c r="P298" s="236">
        <f t="shared" si="11"/>
        <v>0</v>
      </c>
      <c r="Q298" s="260"/>
      <c r="R298" s="228" t="s">
        <v>338</v>
      </c>
    </row>
    <row r="299" spans="1:18" x14ac:dyDescent="0.3">
      <c r="A299" s="241" t="s">
        <v>344</v>
      </c>
      <c r="B299" s="236" t="s">
        <v>604</v>
      </c>
      <c r="C299" s="236"/>
      <c r="D299" s="236">
        <f t="shared" si="13"/>
        <v>3139.06</v>
      </c>
      <c r="E299" s="236">
        <v>3139.06</v>
      </c>
      <c r="F299" s="236">
        <v>1543.79</v>
      </c>
      <c r="G299" s="240" t="s">
        <v>346</v>
      </c>
      <c r="H299" s="228"/>
      <c r="I299" s="256" t="s">
        <v>368</v>
      </c>
      <c r="J299" s="236"/>
      <c r="K299" s="236">
        <v>1543.79</v>
      </c>
      <c r="L299" s="236"/>
      <c r="M299" s="236"/>
      <c r="N299" s="236"/>
      <c r="O299" s="236"/>
      <c r="P299" s="236">
        <f t="shared" ref="P299:P362" si="14">F299-SUM(J299:O299)</f>
        <v>0</v>
      </c>
      <c r="Q299" s="260"/>
      <c r="R299" s="251" t="s">
        <v>338</v>
      </c>
    </row>
    <row r="300" spans="1:18" x14ac:dyDescent="0.3">
      <c r="A300" s="233" t="s">
        <v>334</v>
      </c>
      <c r="B300" s="234" t="s">
        <v>605</v>
      </c>
      <c r="C300" s="234"/>
      <c r="D300" s="236">
        <v>1200</v>
      </c>
      <c r="E300" s="237">
        <v>1200</v>
      </c>
      <c r="F300" s="237">
        <v>1200</v>
      </c>
      <c r="G300" s="240" t="s">
        <v>340</v>
      </c>
      <c r="H300" s="228" t="s">
        <v>415</v>
      </c>
      <c r="I300" s="256" t="s">
        <v>415</v>
      </c>
      <c r="J300" s="237"/>
      <c r="K300" s="237" t="s">
        <v>343</v>
      </c>
      <c r="L300" s="237" t="s">
        <v>343</v>
      </c>
      <c r="M300" s="237">
        <v>1200</v>
      </c>
      <c r="N300" s="237" t="s">
        <v>343</v>
      </c>
      <c r="O300" s="237" t="s">
        <v>343</v>
      </c>
      <c r="P300" s="236">
        <f t="shared" si="14"/>
        <v>0</v>
      </c>
      <c r="Q300" s="260"/>
      <c r="R300" s="251" t="s">
        <v>338</v>
      </c>
    </row>
    <row r="301" spans="1:18" x14ac:dyDescent="0.3">
      <c r="A301" s="241" t="s">
        <v>344</v>
      </c>
      <c r="B301" s="236" t="s">
        <v>606</v>
      </c>
      <c r="C301" s="236"/>
      <c r="D301" s="236">
        <f>E301</f>
        <v>0</v>
      </c>
      <c r="E301" s="236"/>
      <c r="F301" s="236">
        <v>1000</v>
      </c>
      <c r="G301" s="240" t="s">
        <v>346</v>
      </c>
      <c r="H301" s="228"/>
      <c r="I301" s="256" t="s">
        <v>368</v>
      </c>
      <c r="J301" s="236">
        <v>1000</v>
      </c>
      <c r="K301" s="236"/>
      <c r="L301" s="236"/>
      <c r="M301" s="236"/>
      <c r="N301" s="236"/>
      <c r="O301" s="236"/>
      <c r="P301" s="236">
        <f t="shared" si="14"/>
        <v>0</v>
      </c>
      <c r="Q301" s="260"/>
      <c r="R301" s="251" t="s">
        <v>338</v>
      </c>
    </row>
    <row r="302" spans="1:18" x14ac:dyDescent="0.3">
      <c r="A302" s="241" t="s">
        <v>344</v>
      </c>
      <c r="B302" s="236" t="s">
        <v>607</v>
      </c>
      <c r="C302" s="236"/>
      <c r="D302" s="236">
        <f>E302</f>
        <v>0</v>
      </c>
      <c r="E302" s="236"/>
      <c r="F302" s="236">
        <v>1000</v>
      </c>
      <c r="G302" s="240" t="s">
        <v>346</v>
      </c>
      <c r="H302" s="228"/>
      <c r="I302" s="256" t="s">
        <v>368</v>
      </c>
      <c r="J302" s="236">
        <v>1000</v>
      </c>
      <c r="K302" s="236"/>
      <c r="L302" s="236"/>
      <c r="M302" s="236"/>
      <c r="N302" s="236"/>
      <c r="O302" s="236"/>
      <c r="P302" s="236">
        <f t="shared" si="14"/>
        <v>0</v>
      </c>
      <c r="Q302" s="260"/>
      <c r="R302" s="251" t="s">
        <v>338</v>
      </c>
    </row>
    <row r="303" spans="1:18" x14ac:dyDescent="0.3">
      <c r="A303" s="241" t="s">
        <v>344</v>
      </c>
      <c r="B303" s="236" t="s">
        <v>608</v>
      </c>
      <c r="C303" s="236"/>
      <c r="D303" s="236">
        <f>E303</f>
        <v>1000</v>
      </c>
      <c r="E303" s="236">
        <v>1000</v>
      </c>
      <c r="F303" s="236">
        <v>1000</v>
      </c>
      <c r="G303" s="240" t="s">
        <v>346</v>
      </c>
      <c r="H303" s="228"/>
      <c r="I303" s="256" t="s">
        <v>368</v>
      </c>
      <c r="J303" s="236"/>
      <c r="K303" s="236"/>
      <c r="L303" s="236"/>
      <c r="M303" s="236">
        <v>1000</v>
      </c>
      <c r="N303" s="236"/>
      <c r="O303" s="236"/>
      <c r="P303" s="236">
        <f t="shared" si="14"/>
        <v>0</v>
      </c>
      <c r="Q303" s="260"/>
      <c r="R303" s="251" t="s">
        <v>338</v>
      </c>
    </row>
    <row r="304" spans="1:18" x14ac:dyDescent="0.3">
      <c r="A304" s="233" t="s">
        <v>360</v>
      </c>
      <c r="B304" s="236" t="s">
        <v>609</v>
      </c>
      <c r="C304" s="236"/>
      <c r="D304" s="236">
        <f>E304</f>
        <v>1000</v>
      </c>
      <c r="E304" s="237">
        <v>1000</v>
      </c>
      <c r="F304" s="237">
        <v>1000</v>
      </c>
      <c r="G304" s="238"/>
      <c r="H304" s="228"/>
      <c r="I304" s="256" t="s">
        <v>368</v>
      </c>
      <c r="J304" s="237"/>
      <c r="K304" s="237" t="s">
        <v>363</v>
      </c>
      <c r="L304" s="237"/>
      <c r="M304" s="237" t="s">
        <v>363</v>
      </c>
      <c r="N304" s="237" t="s">
        <v>363</v>
      </c>
      <c r="O304" s="237">
        <v>1000</v>
      </c>
      <c r="P304" s="236">
        <f t="shared" si="14"/>
        <v>0</v>
      </c>
      <c r="Q304" s="260"/>
      <c r="R304" s="251" t="s">
        <v>338</v>
      </c>
    </row>
    <row r="305" spans="1:18" x14ac:dyDescent="0.3">
      <c r="A305" s="233" t="s">
        <v>360</v>
      </c>
      <c r="B305" s="236" t="s">
        <v>610</v>
      </c>
      <c r="C305" s="236"/>
      <c r="D305" s="236">
        <f>E305</f>
        <v>1000</v>
      </c>
      <c r="E305" s="236">
        <v>1000</v>
      </c>
      <c r="F305" s="236">
        <v>1000</v>
      </c>
      <c r="G305" s="240"/>
      <c r="H305" s="228"/>
      <c r="I305" s="256" t="s">
        <v>368</v>
      </c>
      <c r="J305" s="236"/>
      <c r="K305" s="236" t="s">
        <v>363</v>
      </c>
      <c r="L305" s="236"/>
      <c r="M305" s="236" t="s">
        <v>363</v>
      </c>
      <c r="N305" s="236" t="s">
        <v>363</v>
      </c>
      <c r="O305" s="236">
        <v>1000</v>
      </c>
      <c r="P305" s="236">
        <f t="shared" si="14"/>
        <v>0</v>
      </c>
      <c r="Q305" s="260"/>
      <c r="R305" s="251" t="s">
        <v>338</v>
      </c>
    </row>
    <row r="306" spans="1:18" x14ac:dyDescent="0.3">
      <c r="A306" s="233" t="s">
        <v>334</v>
      </c>
      <c r="B306" s="236" t="s">
        <v>611</v>
      </c>
      <c r="C306" s="236"/>
      <c r="D306" s="236">
        <v>900</v>
      </c>
      <c r="E306" s="237">
        <v>900</v>
      </c>
      <c r="F306" s="237">
        <v>900</v>
      </c>
      <c r="G306" s="240" t="s">
        <v>340</v>
      </c>
      <c r="H306" s="228" t="s">
        <v>415</v>
      </c>
      <c r="I306" s="256" t="s">
        <v>415</v>
      </c>
      <c r="J306" s="237"/>
      <c r="K306" s="237">
        <v>900</v>
      </c>
      <c r="L306" s="237" t="s">
        <v>343</v>
      </c>
      <c r="M306" s="237" t="s">
        <v>343</v>
      </c>
      <c r="N306" s="237" t="s">
        <v>343</v>
      </c>
      <c r="O306" s="237" t="s">
        <v>343</v>
      </c>
      <c r="P306" s="236">
        <f t="shared" si="14"/>
        <v>0</v>
      </c>
      <c r="Q306" s="260"/>
      <c r="R306" s="251" t="s">
        <v>338</v>
      </c>
    </row>
    <row r="307" spans="1:18" x14ac:dyDescent="0.3">
      <c r="A307" s="233" t="s">
        <v>334</v>
      </c>
      <c r="B307" s="236" t="s">
        <v>612</v>
      </c>
      <c r="C307" s="236"/>
      <c r="D307" s="236">
        <v>798.21</v>
      </c>
      <c r="E307" s="237">
        <v>798.21</v>
      </c>
      <c r="F307" s="237">
        <v>798.21</v>
      </c>
      <c r="G307" s="238"/>
      <c r="H307" s="228"/>
      <c r="I307" s="256" t="s">
        <v>337</v>
      </c>
      <c r="J307" s="237"/>
      <c r="K307" s="237">
        <v>798.21</v>
      </c>
      <c r="L307" s="237" t="s">
        <v>343</v>
      </c>
      <c r="M307" s="237" t="s">
        <v>343</v>
      </c>
      <c r="N307" s="237" t="s">
        <v>343</v>
      </c>
      <c r="O307" s="237" t="s">
        <v>343</v>
      </c>
      <c r="P307" s="236">
        <f t="shared" si="14"/>
        <v>0</v>
      </c>
      <c r="Q307" s="260"/>
      <c r="R307" s="251" t="s">
        <v>449</v>
      </c>
    </row>
    <row r="308" spans="1:18" x14ac:dyDescent="0.3">
      <c r="A308" s="233" t="s">
        <v>360</v>
      </c>
      <c r="B308" s="234" t="s">
        <v>613</v>
      </c>
      <c r="C308" s="234"/>
      <c r="D308" s="236">
        <f t="shared" ref="D308:D332" si="15">E308</f>
        <v>700</v>
      </c>
      <c r="E308" s="237">
        <v>700</v>
      </c>
      <c r="F308" s="237">
        <v>600</v>
      </c>
      <c r="G308" s="238"/>
      <c r="H308" s="228"/>
      <c r="I308" s="256" t="s">
        <v>337</v>
      </c>
      <c r="J308" s="237"/>
      <c r="K308" s="237" t="s">
        <v>363</v>
      </c>
      <c r="L308" s="237">
        <v>600</v>
      </c>
      <c r="M308" s="237" t="s">
        <v>363</v>
      </c>
      <c r="N308" s="237" t="s">
        <v>363</v>
      </c>
      <c r="O308" s="237" t="s">
        <v>363</v>
      </c>
      <c r="P308" s="236">
        <f t="shared" si="14"/>
        <v>0</v>
      </c>
      <c r="Q308" s="260"/>
      <c r="R308" s="251" t="s">
        <v>338</v>
      </c>
    </row>
    <row r="309" spans="1:18" x14ac:dyDescent="0.3">
      <c r="A309" s="241" t="s">
        <v>344</v>
      </c>
      <c r="B309" s="236" t="s">
        <v>614</v>
      </c>
      <c r="C309" s="236"/>
      <c r="D309" s="236">
        <f t="shared" si="15"/>
        <v>0</v>
      </c>
      <c r="E309" s="236"/>
      <c r="F309" s="236">
        <v>500</v>
      </c>
      <c r="G309" s="240" t="s">
        <v>346</v>
      </c>
      <c r="H309" s="228"/>
      <c r="I309" s="256" t="s">
        <v>368</v>
      </c>
      <c r="J309" s="236">
        <v>500</v>
      </c>
      <c r="K309" s="236"/>
      <c r="L309" s="236"/>
      <c r="M309" s="236"/>
      <c r="N309" s="236"/>
      <c r="O309" s="236"/>
      <c r="P309" s="236">
        <f t="shared" si="14"/>
        <v>0</v>
      </c>
      <c r="Q309" s="260"/>
      <c r="R309" s="251" t="s">
        <v>338</v>
      </c>
    </row>
    <row r="310" spans="1:18" x14ac:dyDescent="0.3">
      <c r="A310" s="241" t="s">
        <v>344</v>
      </c>
      <c r="B310" s="236" t="s">
        <v>615</v>
      </c>
      <c r="C310" s="236"/>
      <c r="D310" s="236">
        <f t="shared" si="15"/>
        <v>0</v>
      </c>
      <c r="E310" s="236"/>
      <c r="F310" s="236">
        <v>500</v>
      </c>
      <c r="G310" s="240" t="s">
        <v>346</v>
      </c>
      <c r="H310" s="228"/>
      <c r="I310" s="256" t="s">
        <v>368</v>
      </c>
      <c r="J310" s="236">
        <v>500</v>
      </c>
      <c r="K310" s="236"/>
      <c r="L310" s="236"/>
      <c r="M310" s="236"/>
      <c r="N310" s="236"/>
      <c r="O310" s="236"/>
      <c r="P310" s="236">
        <f t="shared" si="14"/>
        <v>0</v>
      </c>
      <c r="Q310" s="260"/>
      <c r="R310" s="251" t="s">
        <v>338</v>
      </c>
    </row>
    <row r="311" spans="1:18" x14ac:dyDescent="0.3">
      <c r="A311" s="241" t="s">
        <v>344</v>
      </c>
      <c r="B311" s="243" t="s">
        <v>599</v>
      </c>
      <c r="C311" s="243"/>
      <c r="D311" s="236">
        <f t="shared" si="15"/>
        <v>471.95</v>
      </c>
      <c r="E311" s="236">
        <v>471.95</v>
      </c>
      <c r="F311" s="236">
        <v>471.95</v>
      </c>
      <c r="G311" s="240" t="s">
        <v>346</v>
      </c>
      <c r="H311" s="228"/>
      <c r="I311" s="256" t="s">
        <v>368</v>
      </c>
      <c r="J311" s="236"/>
      <c r="K311" s="236"/>
      <c r="L311" s="236"/>
      <c r="M311" s="236"/>
      <c r="N311" s="236"/>
      <c r="O311" s="236">
        <v>471.95</v>
      </c>
      <c r="P311" s="236">
        <f t="shared" si="14"/>
        <v>0</v>
      </c>
      <c r="Q311" s="256"/>
      <c r="R311" s="251" t="s">
        <v>338</v>
      </c>
    </row>
    <row r="312" spans="1:18" x14ac:dyDescent="0.3">
      <c r="A312" s="241" t="s">
        <v>344</v>
      </c>
      <c r="B312" s="236" t="s">
        <v>616</v>
      </c>
      <c r="C312" s="236"/>
      <c r="D312" s="236">
        <f t="shared" si="15"/>
        <v>393.1</v>
      </c>
      <c r="E312" s="252">
        <v>393.1</v>
      </c>
      <c r="F312" s="252">
        <v>393.1</v>
      </c>
      <c r="G312" s="240" t="s">
        <v>346</v>
      </c>
      <c r="H312" s="228"/>
      <c r="I312" s="256" t="s">
        <v>368</v>
      </c>
      <c r="J312" s="236"/>
      <c r="K312" s="236"/>
      <c r="L312" s="236"/>
      <c r="M312" s="236"/>
      <c r="N312" s="236">
        <v>393.1</v>
      </c>
      <c r="O312" s="236"/>
      <c r="P312" s="236">
        <f t="shared" si="14"/>
        <v>0</v>
      </c>
      <c r="Q312" s="260"/>
      <c r="R312" s="251" t="s">
        <v>338</v>
      </c>
    </row>
    <row r="313" spans="1:18" x14ac:dyDescent="0.3">
      <c r="A313" s="241" t="s">
        <v>344</v>
      </c>
      <c r="B313" s="236" t="s">
        <v>617</v>
      </c>
      <c r="C313" s="236"/>
      <c r="D313" s="236">
        <f t="shared" si="15"/>
        <v>0</v>
      </c>
      <c r="E313" s="236"/>
      <c r="F313" s="236">
        <v>380</v>
      </c>
      <c r="G313" s="240" t="s">
        <v>346</v>
      </c>
      <c r="H313" s="228"/>
      <c r="I313" s="256" t="s">
        <v>368</v>
      </c>
      <c r="J313" s="236">
        <v>380</v>
      </c>
      <c r="K313" s="236"/>
      <c r="L313" s="236"/>
      <c r="M313" s="236"/>
      <c r="N313" s="236"/>
      <c r="O313" s="236"/>
      <c r="P313" s="236">
        <f t="shared" si="14"/>
        <v>0</v>
      </c>
      <c r="Q313" s="260"/>
      <c r="R313" s="228" t="s">
        <v>338</v>
      </c>
    </row>
    <row r="314" spans="1:18" x14ac:dyDescent="0.3">
      <c r="A314" s="241" t="s">
        <v>344</v>
      </c>
      <c r="B314" s="236" t="s">
        <v>521</v>
      </c>
      <c r="C314" s="236"/>
      <c r="D314" s="236">
        <f t="shared" si="15"/>
        <v>0</v>
      </c>
      <c r="E314" s="236">
        <v>0</v>
      </c>
      <c r="F314" s="236">
        <v>93.92</v>
      </c>
      <c r="G314" s="240" t="s">
        <v>346</v>
      </c>
      <c r="H314" s="228"/>
      <c r="I314" s="256" t="s">
        <v>368</v>
      </c>
      <c r="J314" s="236">
        <v>93.92</v>
      </c>
      <c r="K314" s="236"/>
      <c r="L314" s="236"/>
      <c r="M314" s="236"/>
      <c r="N314" s="236"/>
      <c r="O314" s="236"/>
      <c r="P314" s="236">
        <f t="shared" si="14"/>
        <v>0</v>
      </c>
      <c r="Q314" s="260"/>
      <c r="R314" s="228" t="s">
        <v>338</v>
      </c>
    </row>
    <row r="315" spans="1:18" x14ac:dyDescent="0.3">
      <c r="A315" s="241" t="s">
        <v>344</v>
      </c>
      <c r="B315" s="243" t="s">
        <v>618</v>
      </c>
      <c r="C315" s="243"/>
      <c r="D315" s="236">
        <f t="shared" si="15"/>
        <v>190</v>
      </c>
      <c r="E315" s="236">
        <v>190</v>
      </c>
      <c r="F315" s="236">
        <v>90</v>
      </c>
      <c r="G315" s="240" t="s">
        <v>346</v>
      </c>
      <c r="H315" s="228"/>
      <c r="I315" s="256" t="s">
        <v>368</v>
      </c>
      <c r="J315" s="236"/>
      <c r="K315" s="236"/>
      <c r="L315" s="236"/>
      <c r="M315" s="236"/>
      <c r="N315" s="236">
        <v>90</v>
      </c>
      <c r="O315" s="236"/>
      <c r="P315" s="236">
        <f t="shared" si="14"/>
        <v>0</v>
      </c>
      <c r="Q315" s="260"/>
      <c r="R315" s="251" t="s">
        <v>338</v>
      </c>
    </row>
    <row r="316" spans="1:18" x14ac:dyDescent="0.3">
      <c r="A316" s="241" t="s">
        <v>344</v>
      </c>
      <c r="B316" s="243" t="s">
        <v>393</v>
      </c>
      <c r="C316" s="243"/>
      <c r="D316" s="236">
        <f t="shared" si="15"/>
        <v>87.69</v>
      </c>
      <c r="E316" s="236">
        <v>87.69</v>
      </c>
      <c r="F316" s="236">
        <v>87.69</v>
      </c>
      <c r="G316" s="240" t="s">
        <v>346</v>
      </c>
      <c r="H316" s="228"/>
      <c r="I316" s="256" t="s">
        <v>337</v>
      </c>
      <c r="J316" s="236"/>
      <c r="K316" s="236"/>
      <c r="L316" s="236">
        <v>87.69</v>
      </c>
      <c r="M316" s="236"/>
      <c r="N316" s="236"/>
      <c r="O316" s="236"/>
      <c r="P316" s="236">
        <f t="shared" si="14"/>
        <v>0</v>
      </c>
      <c r="Q316" s="256"/>
      <c r="R316" s="228" t="s">
        <v>338</v>
      </c>
    </row>
    <row r="317" spans="1:18" x14ac:dyDescent="0.3">
      <c r="A317" s="233" t="s">
        <v>350</v>
      </c>
      <c r="B317" s="236" t="s">
        <v>619</v>
      </c>
      <c r="C317" s="242" t="s">
        <v>336</v>
      </c>
      <c r="D317" s="236">
        <f t="shared" si="15"/>
        <v>85.21</v>
      </c>
      <c r="E317" s="236">
        <v>85.21</v>
      </c>
      <c r="F317" s="236">
        <v>85.21</v>
      </c>
      <c r="G317" s="240"/>
      <c r="H317" s="228"/>
      <c r="I317" s="256" t="s">
        <v>368</v>
      </c>
      <c r="J317" s="236"/>
      <c r="K317" s="236">
        <v>85.21</v>
      </c>
      <c r="L317" s="236"/>
      <c r="M317" s="236"/>
      <c r="N317" s="236"/>
      <c r="O317" s="236"/>
      <c r="P317" s="236">
        <f t="shared" si="14"/>
        <v>0</v>
      </c>
      <c r="Q317" s="256"/>
      <c r="R317" s="228" t="s">
        <v>462</v>
      </c>
    </row>
    <row r="318" spans="1:18" x14ac:dyDescent="0.3">
      <c r="A318" s="233" t="s">
        <v>620</v>
      </c>
      <c r="B318" s="234" t="s">
        <v>621</v>
      </c>
      <c r="C318" s="234"/>
      <c r="D318" s="236">
        <f t="shared" si="15"/>
        <v>0</v>
      </c>
      <c r="E318" s="237"/>
      <c r="F318" s="237">
        <v>10</v>
      </c>
      <c r="G318" s="238"/>
      <c r="H318" s="228"/>
      <c r="I318" s="256" t="s">
        <v>368</v>
      </c>
      <c r="J318" s="237">
        <v>10</v>
      </c>
      <c r="K318" s="237"/>
      <c r="L318" s="237"/>
      <c r="M318" s="237"/>
      <c r="N318" s="237"/>
      <c r="O318" s="237"/>
      <c r="P318" s="236">
        <f t="shared" si="14"/>
        <v>0</v>
      </c>
      <c r="Q318" s="260"/>
      <c r="R318" s="251" t="s">
        <v>338</v>
      </c>
    </row>
    <row r="319" spans="1:18" x14ac:dyDescent="0.3">
      <c r="A319" s="241" t="s">
        <v>344</v>
      </c>
      <c r="B319" s="236" t="s">
        <v>622</v>
      </c>
      <c r="C319" s="236"/>
      <c r="D319" s="236">
        <f t="shared" si="15"/>
        <v>0</v>
      </c>
      <c r="E319" s="236"/>
      <c r="F319" s="236">
        <v>0.01</v>
      </c>
      <c r="G319" s="240" t="s">
        <v>346</v>
      </c>
      <c r="H319" s="228"/>
      <c r="I319" s="256" t="s">
        <v>368</v>
      </c>
      <c r="J319" s="236">
        <v>0.01</v>
      </c>
      <c r="K319" s="236"/>
      <c r="L319" s="236"/>
      <c r="M319" s="236"/>
      <c r="N319" s="236"/>
      <c r="O319" s="236"/>
      <c r="P319" s="236">
        <f t="shared" si="14"/>
        <v>0</v>
      </c>
      <c r="Q319" s="260"/>
      <c r="R319" s="251" t="s">
        <v>338</v>
      </c>
    </row>
    <row r="320" spans="1:18" x14ac:dyDescent="0.3">
      <c r="A320" s="241" t="s">
        <v>344</v>
      </c>
      <c r="B320" s="236" t="s">
        <v>623</v>
      </c>
      <c r="C320" s="236"/>
      <c r="D320" s="236">
        <f t="shared" si="15"/>
        <v>4646</v>
      </c>
      <c r="E320" s="236">
        <v>4646</v>
      </c>
      <c r="F320" s="236">
        <v>0</v>
      </c>
      <c r="G320" s="240"/>
      <c r="H320" s="228"/>
      <c r="I320" s="256" t="s">
        <v>368</v>
      </c>
      <c r="J320" s="236"/>
      <c r="K320" s="236"/>
      <c r="L320" s="236"/>
      <c r="M320" s="236"/>
      <c r="N320" s="236"/>
      <c r="O320" s="236"/>
      <c r="P320" s="236">
        <f t="shared" si="14"/>
        <v>0</v>
      </c>
      <c r="Q320" s="260"/>
      <c r="R320" s="251" t="s">
        <v>338</v>
      </c>
    </row>
    <row r="321" spans="1:18" x14ac:dyDescent="0.3">
      <c r="A321" s="241" t="s">
        <v>344</v>
      </c>
      <c r="B321" s="236" t="s">
        <v>624</v>
      </c>
      <c r="C321" s="236"/>
      <c r="D321" s="236">
        <f t="shared" si="15"/>
        <v>32347.33</v>
      </c>
      <c r="E321" s="236">
        <v>32347.33</v>
      </c>
      <c r="F321" s="236">
        <v>0</v>
      </c>
      <c r="G321" s="240" t="s">
        <v>346</v>
      </c>
      <c r="H321" s="228"/>
      <c r="I321" s="256" t="s">
        <v>368</v>
      </c>
      <c r="J321" s="236"/>
      <c r="K321" s="236"/>
      <c r="L321" s="236"/>
      <c r="M321" s="236"/>
      <c r="N321" s="236"/>
      <c r="O321" s="236"/>
      <c r="P321" s="236">
        <f t="shared" si="14"/>
        <v>0</v>
      </c>
      <c r="Q321" s="260"/>
      <c r="R321" s="251" t="s">
        <v>338</v>
      </c>
    </row>
    <row r="322" spans="1:18" x14ac:dyDescent="0.3">
      <c r="A322" s="241" t="s">
        <v>344</v>
      </c>
      <c r="B322" s="236" t="s">
        <v>625</v>
      </c>
      <c r="C322" s="236"/>
      <c r="D322" s="236">
        <f t="shared" si="15"/>
        <v>110000</v>
      </c>
      <c r="E322" s="236">
        <v>110000</v>
      </c>
      <c r="F322" s="236">
        <v>0</v>
      </c>
      <c r="G322" s="240" t="s">
        <v>346</v>
      </c>
      <c r="H322" s="228"/>
      <c r="I322" s="256" t="s">
        <v>368</v>
      </c>
      <c r="J322" s="236"/>
      <c r="K322" s="236"/>
      <c r="L322" s="236"/>
      <c r="M322" s="236"/>
      <c r="N322" s="236"/>
      <c r="O322" s="236"/>
      <c r="P322" s="236">
        <f t="shared" si="14"/>
        <v>0</v>
      </c>
      <c r="Q322" s="260"/>
      <c r="R322" s="251" t="s">
        <v>338</v>
      </c>
    </row>
    <row r="323" spans="1:18" x14ac:dyDescent="0.3">
      <c r="A323" s="241" t="s">
        <v>344</v>
      </c>
      <c r="B323" s="236" t="s">
        <v>626</v>
      </c>
      <c r="C323" s="236"/>
      <c r="D323" s="236">
        <f t="shared" si="15"/>
        <v>89387.72</v>
      </c>
      <c r="E323" s="236">
        <v>89387.72</v>
      </c>
      <c r="F323" s="236">
        <v>0</v>
      </c>
      <c r="G323" s="240" t="s">
        <v>346</v>
      </c>
      <c r="H323" s="228"/>
      <c r="I323" s="256" t="s">
        <v>337</v>
      </c>
      <c r="J323" s="236"/>
      <c r="K323" s="236"/>
      <c r="L323" s="236"/>
      <c r="M323" s="236"/>
      <c r="N323" s="236"/>
      <c r="O323" s="236"/>
      <c r="P323" s="236">
        <f t="shared" si="14"/>
        <v>0</v>
      </c>
      <c r="Q323" s="260"/>
      <c r="R323" s="251" t="s">
        <v>338</v>
      </c>
    </row>
    <row r="324" spans="1:18" x14ac:dyDescent="0.3">
      <c r="A324" s="241" t="s">
        <v>344</v>
      </c>
      <c r="B324" s="236" t="s">
        <v>473</v>
      </c>
      <c r="C324" s="236"/>
      <c r="D324" s="236">
        <f t="shared" si="15"/>
        <v>262840</v>
      </c>
      <c r="E324" s="236">
        <v>262840</v>
      </c>
      <c r="F324" s="236">
        <v>0</v>
      </c>
      <c r="G324" s="240" t="s">
        <v>346</v>
      </c>
      <c r="H324" s="228"/>
      <c r="I324" s="256" t="s">
        <v>337</v>
      </c>
      <c r="J324" s="236"/>
      <c r="K324" s="236"/>
      <c r="L324" s="236"/>
      <c r="M324" s="236"/>
      <c r="N324" s="236"/>
      <c r="O324" s="236"/>
      <c r="P324" s="236">
        <f t="shared" si="14"/>
        <v>0</v>
      </c>
      <c r="Q324" s="260"/>
      <c r="R324" s="251" t="s">
        <v>338</v>
      </c>
    </row>
    <row r="325" spans="1:18" x14ac:dyDescent="0.3">
      <c r="A325" s="241" t="s">
        <v>344</v>
      </c>
      <c r="B325" s="236" t="s">
        <v>627</v>
      </c>
      <c r="C325" s="236"/>
      <c r="D325" s="236">
        <f t="shared" si="15"/>
        <v>50000</v>
      </c>
      <c r="E325" s="236">
        <v>50000</v>
      </c>
      <c r="F325" s="236">
        <v>0</v>
      </c>
      <c r="G325" s="240" t="s">
        <v>346</v>
      </c>
      <c r="H325" s="228"/>
      <c r="I325" s="256" t="s">
        <v>368</v>
      </c>
      <c r="J325" s="236"/>
      <c r="K325" s="236"/>
      <c r="L325" s="236"/>
      <c r="M325" s="236"/>
      <c r="N325" s="236"/>
      <c r="O325" s="236"/>
      <c r="P325" s="236">
        <f t="shared" si="14"/>
        <v>0</v>
      </c>
      <c r="Q325" s="260"/>
      <c r="R325" s="251" t="s">
        <v>338</v>
      </c>
    </row>
    <row r="326" spans="1:18" x14ac:dyDescent="0.3">
      <c r="A326" s="241" t="s">
        <v>344</v>
      </c>
      <c r="B326" s="236" t="s">
        <v>628</v>
      </c>
      <c r="C326" s="236"/>
      <c r="D326" s="236">
        <f t="shared" si="15"/>
        <v>20000</v>
      </c>
      <c r="E326" s="236">
        <v>20000</v>
      </c>
      <c r="F326" s="236">
        <v>0</v>
      </c>
      <c r="G326" s="240"/>
      <c r="H326" s="228"/>
      <c r="I326" s="256" t="s">
        <v>368</v>
      </c>
      <c r="J326" s="236"/>
      <c r="K326" s="236"/>
      <c r="L326" s="236"/>
      <c r="M326" s="236"/>
      <c r="N326" s="236"/>
      <c r="O326" s="236"/>
      <c r="P326" s="236">
        <f t="shared" si="14"/>
        <v>0</v>
      </c>
      <c r="Q326" s="260"/>
      <c r="R326" s="251" t="s">
        <v>338</v>
      </c>
    </row>
    <row r="327" spans="1:18" x14ac:dyDescent="0.3">
      <c r="A327" s="241" t="s">
        <v>344</v>
      </c>
      <c r="B327" s="236" t="s">
        <v>629</v>
      </c>
      <c r="C327" s="236"/>
      <c r="D327" s="236">
        <f t="shared" si="15"/>
        <v>500</v>
      </c>
      <c r="E327" s="236">
        <v>500</v>
      </c>
      <c r="F327" s="236">
        <v>0</v>
      </c>
      <c r="G327" s="240"/>
      <c r="H327" s="228"/>
      <c r="I327" s="256" t="s">
        <v>368</v>
      </c>
      <c r="J327" s="236"/>
      <c r="K327" s="236"/>
      <c r="L327" s="236"/>
      <c r="M327" s="236"/>
      <c r="N327" s="236"/>
      <c r="O327" s="236"/>
      <c r="P327" s="236">
        <f t="shared" si="14"/>
        <v>0</v>
      </c>
      <c r="Q327" s="260"/>
      <c r="R327" s="251" t="s">
        <v>338</v>
      </c>
    </row>
    <row r="328" spans="1:18" x14ac:dyDescent="0.3">
      <c r="A328" s="241" t="s">
        <v>344</v>
      </c>
      <c r="B328" s="265" t="s">
        <v>630</v>
      </c>
      <c r="C328" s="265"/>
      <c r="D328" s="236">
        <f t="shared" si="15"/>
        <v>10000</v>
      </c>
      <c r="E328" s="266">
        <v>10000</v>
      </c>
      <c r="F328" s="266">
        <v>0</v>
      </c>
      <c r="G328" s="267" t="s">
        <v>346</v>
      </c>
      <c r="H328" s="268"/>
      <c r="I328" s="269" t="s">
        <v>368</v>
      </c>
      <c r="J328" s="236"/>
      <c r="K328" s="236"/>
      <c r="L328" s="236"/>
      <c r="M328" s="236"/>
      <c r="N328" s="236"/>
      <c r="O328" s="236"/>
      <c r="P328" s="236">
        <f t="shared" si="14"/>
        <v>0</v>
      </c>
      <c r="Q328" s="269"/>
      <c r="R328" s="251" t="s">
        <v>338</v>
      </c>
    </row>
    <row r="329" spans="1:18" x14ac:dyDescent="0.3">
      <c r="A329" s="241" t="s">
        <v>344</v>
      </c>
      <c r="B329" s="236" t="s">
        <v>631</v>
      </c>
      <c r="C329" s="236"/>
      <c r="D329" s="236">
        <f t="shared" si="15"/>
        <v>25150.080000000002</v>
      </c>
      <c r="E329" s="236">
        <v>25150.080000000002</v>
      </c>
      <c r="F329" s="236">
        <v>0</v>
      </c>
      <c r="G329" s="240" t="s">
        <v>346</v>
      </c>
      <c r="H329" s="228"/>
      <c r="I329" s="256" t="s">
        <v>368</v>
      </c>
      <c r="J329" s="236"/>
      <c r="K329" s="236"/>
      <c r="L329" s="236"/>
      <c r="M329" s="236"/>
      <c r="N329" s="236"/>
      <c r="O329" s="236"/>
      <c r="P329" s="236">
        <f t="shared" si="14"/>
        <v>0</v>
      </c>
      <c r="Q329" s="260"/>
      <c r="R329" s="251" t="s">
        <v>338</v>
      </c>
    </row>
    <row r="330" spans="1:18" x14ac:dyDescent="0.3">
      <c r="A330" s="241" t="s">
        <v>344</v>
      </c>
      <c r="B330" s="236" t="s">
        <v>632</v>
      </c>
      <c r="C330" s="236"/>
      <c r="D330" s="236">
        <f t="shared" si="15"/>
        <v>64687</v>
      </c>
      <c r="E330" s="236">
        <v>64687</v>
      </c>
      <c r="F330" s="236">
        <v>0</v>
      </c>
      <c r="G330" s="240" t="s">
        <v>346</v>
      </c>
      <c r="H330" s="228"/>
      <c r="I330" s="256" t="s">
        <v>368</v>
      </c>
      <c r="J330" s="236"/>
      <c r="K330" s="236"/>
      <c r="L330" s="236"/>
      <c r="M330" s="236"/>
      <c r="N330" s="236"/>
      <c r="O330" s="236"/>
      <c r="P330" s="236">
        <f t="shared" si="14"/>
        <v>0</v>
      </c>
      <c r="Q330" s="260"/>
      <c r="R330" s="251" t="s">
        <v>338</v>
      </c>
    </row>
    <row r="331" spans="1:18" x14ac:dyDescent="0.3">
      <c r="A331" s="241" t="s">
        <v>344</v>
      </c>
      <c r="B331" s="236" t="s">
        <v>462</v>
      </c>
      <c r="C331" s="236"/>
      <c r="D331" s="236">
        <f t="shared" si="15"/>
        <v>60494.29</v>
      </c>
      <c r="E331" s="236">
        <v>60494.29</v>
      </c>
      <c r="F331" s="236">
        <v>0</v>
      </c>
      <c r="G331" s="240" t="s">
        <v>346</v>
      </c>
      <c r="H331" s="228"/>
      <c r="I331" s="256" t="s">
        <v>368</v>
      </c>
      <c r="J331" s="236"/>
      <c r="K331" s="236"/>
      <c r="L331" s="236"/>
      <c r="M331" s="236"/>
      <c r="N331" s="236"/>
      <c r="O331" s="236"/>
      <c r="P331" s="236">
        <f t="shared" si="14"/>
        <v>0</v>
      </c>
      <c r="Q331" s="260"/>
      <c r="R331" s="251" t="s">
        <v>338</v>
      </c>
    </row>
    <row r="332" spans="1:18" x14ac:dyDescent="0.3">
      <c r="A332" s="241" t="s">
        <v>344</v>
      </c>
      <c r="B332" s="236" t="s">
        <v>633</v>
      </c>
      <c r="C332" s="236"/>
      <c r="D332" s="236">
        <f t="shared" si="15"/>
        <v>5900000</v>
      </c>
      <c r="E332" s="252">
        <v>5900000</v>
      </c>
      <c r="F332" s="252">
        <v>0</v>
      </c>
      <c r="G332" s="240" t="s">
        <v>346</v>
      </c>
      <c r="H332" s="228"/>
      <c r="I332" s="256" t="s">
        <v>368</v>
      </c>
      <c r="J332" s="236"/>
      <c r="K332" s="236"/>
      <c r="L332" s="236"/>
      <c r="M332" s="236"/>
      <c r="N332" s="236"/>
      <c r="O332" s="236"/>
      <c r="P332" s="236">
        <f t="shared" si="14"/>
        <v>0</v>
      </c>
      <c r="Q332" s="260"/>
      <c r="R332" s="251" t="s">
        <v>396</v>
      </c>
    </row>
    <row r="333" spans="1:18" x14ac:dyDescent="0.3">
      <c r="A333" s="233" t="s">
        <v>334</v>
      </c>
      <c r="B333" s="236" t="s">
        <v>634</v>
      </c>
      <c r="C333" s="236"/>
      <c r="D333" s="236">
        <v>-407654643.52999997</v>
      </c>
      <c r="E333" s="236">
        <v>-407654643.52999997</v>
      </c>
      <c r="F333" s="236">
        <v>0</v>
      </c>
      <c r="G333" s="240"/>
      <c r="H333" s="228"/>
      <c r="I333" s="256" t="s">
        <v>337</v>
      </c>
      <c r="J333" s="236"/>
      <c r="K333" s="236"/>
      <c r="L333" s="236"/>
      <c r="M333" s="236"/>
      <c r="N333" s="236"/>
      <c r="O333" s="236">
        <v>0</v>
      </c>
      <c r="P333" s="236">
        <f t="shared" si="14"/>
        <v>0</v>
      </c>
      <c r="Q333" s="260"/>
      <c r="R333" s="251" t="s">
        <v>338</v>
      </c>
    </row>
    <row r="334" spans="1:18" x14ac:dyDescent="0.3">
      <c r="A334" s="233" t="s">
        <v>334</v>
      </c>
      <c r="B334" s="234" t="s">
        <v>635</v>
      </c>
      <c r="C334" s="234"/>
      <c r="D334" s="236">
        <v>200000000</v>
      </c>
      <c r="E334" s="237"/>
      <c r="F334" s="237">
        <v>0</v>
      </c>
      <c r="G334" s="240" t="s">
        <v>340</v>
      </c>
      <c r="H334" s="228" t="s">
        <v>636</v>
      </c>
      <c r="I334" s="256" t="s">
        <v>384</v>
      </c>
      <c r="J334" s="237"/>
      <c r="K334" s="237"/>
      <c r="L334" s="237"/>
      <c r="M334" s="237"/>
      <c r="N334" s="237"/>
      <c r="O334" s="237" t="s">
        <v>343</v>
      </c>
      <c r="P334" s="236">
        <f t="shared" si="14"/>
        <v>0</v>
      </c>
      <c r="Q334" s="260"/>
      <c r="R334" s="251" t="s">
        <v>338</v>
      </c>
    </row>
    <row r="335" spans="1:18" x14ac:dyDescent="0.3">
      <c r="A335" s="233" t="s">
        <v>334</v>
      </c>
      <c r="B335" s="234" t="s">
        <v>637</v>
      </c>
      <c r="C335" s="234"/>
      <c r="D335" s="236">
        <v>30000000</v>
      </c>
      <c r="E335" s="237"/>
      <c r="F335" s="237">
        <v>0</v>
      </c>
      <c r="G335" s="238"/>
      <c r="H335" s="228"/>
      <c r="I335" s="256" t="s">
        <v>337</v>
      </c>
      <c r="J335" s="237"/>
      <c r="K335" s="237" t="s">
        <v>343</v>
      </c>
      <c r="L335" s="237" t="s">
        <v>343</v>
      </c>
      <c r="M335" s="237" t="s">
        <v>343</v>
      </c>
      <c r="N335" s="237"/>
      <c r="O335" s="237" t="s">
        <v>343</v>
      </c>
      <c r="P335" s="236">
        <f t="shared" si="14"/>
        <v>0</v>
      </c>
      <c r="Q335" s="260"/>
      <c r="R335" s="251" t="s">
        <v>638</v>
      </c>
    </row>
    <row r="336" spans="1:18" x14ac:dyDescent="0.3">
      <c r="A336" s="233" t="s">
        <v>334</v>
      </c>
      <c r="B336" s="234" t="s">
        <v>639</v>
      </c>
      <c r="C336" s="234"/>
      <c r="D336" s="236">
        <v>0</v>
      </c>
      <c r="E336" s="237">
        <v>0</v>
      </c>
      <c r="F336" s="237">
        <v>0</v>
      </c>
      <c r="G336" s="238"/>
      <c r="H336" s="228"/>
      <c r="I336" s="256" t="s">
        <v>337</v>
      </c>
      <c r="J336" s="237"/>
      <c r="K336" s="237"/>
      <c r="L336" s="237"/>
      <c r="M336" s="237" t="s">
        <v>343</v>
      </c>
      <c r="N336" s="237" t="s">
        <v>343</v>
      </c>
      <c r="O336" s="237" t="s">
        <v>343</v>
      </c>
      <c r="P336" s="236">
        <f t="shared" si="14"/>
        <v>0</v>
      </c>
      <c r="Q336" s="260"/>
      <c r="R336" s="251" t="s">
        <v>338</v>
      </c>
    </row>
    <row r="337" spans="1:18" x14ac:dyDescent="0.3">
      <c r="A337" s="233" t="s">
        <v>334</v>
      </c>
      <c r="B337" s="234" t="s">
        <v>640</v>
      </c>
      <c r="C337" s="234"/>
      <c r="D337" s="236">
        <v>0</v>
      </c>
      <c r="E337" s="237">
        <v>0</v>
      </c>
      <c r="F337" s="237">
        <v>0</v>
      </c>
      <c r="G337" s="238"/>
      <c r="H337" s="228"/>
      <c r="I337" s="256" t="s">
        <v>368</v>
      </c>
      <c r="J337" s="237"/>
      <c r="K337" s="237" t="s">
        <v>343</v>
      </c>
      <c r="L337" s="237" t="s">
        <v>343</v>
      </c>
      <c r="M337" s="237" t="s">
        <v>343</v>
      </c>
      <c r="N337" s="237" t="s">
        <v>343</v>
      </c>
      <c r="O337" s="237" t="s">
        <v>343</v>
      </c>
      <c r="P337" s="236">
        <f t="shared" si="14"/>
        <v>0</v>
      </c>
      <c r="Q337" s="260"/>
      <c r="R337" s="251"/>
    </row>
    <row r="338" spans="1:18" x14ac:dyDescent="0.3">
      <c r="A338" s="233" t="s">
        <v>334</v>
      </c>
      <c r="B338" s="234" t="s">
        <v>641</v>
      </c>
      <c r="C338" s="234"/>
      <c r="D338" s="236">
        <v>13000000</v>
      </c>
      <c r="E338" s="237"/>
      <c r="F338" s="237">
        <v>0</v>
      </c>
      <c r="G338" s="238"/>
      <c r="H338" s="228"/>
      <c r="I338" s="256" t="s">
        <v>337</v>
      </c>
      <c r="J338" s="237"/>
      <c r="K338" s="237"/>
      <c r="L338" s="237" t="s">
        <v>343</v>
      </c>
      <c r="M338" s="237" t="s">
        <v>343</v>
      </c>
      <c r="N338" s="237" t="s">
        <v>343</v>
      </c>
      <c r="O338" s="237" t="s">
        <v>343</v>
      </c>
      <c r="P338" s="236">
        <f t="shared" si="14"/>
        <v>0</v>
      </c>
      <c r="Q338" s="260"/>
      <c r="R338" s="251" t="s">
        <v>638</v>
      </c>
    </row>
    <row r="339" spans="1:18" x14ac:dyDescent="0.3">
      <c r="A339" s="233" t="s">
        <v>334</v>
      </c>
      <c r="B339" s="234" t="s">
        <v>642</v>
      </c>
      <c r="C339" s="234"/>
      <c r="D339" s="236">
        <v>0</v>
      </c>
      <c r="E339" s="237">
        <v>0</v>
      </c>
      <c r="F339" s="237">
        <v>0</v>
      </c>
      <c r="G339" s="240" t="s">
        <v>340</v>
      </c>
      <c r="H339" s="228" t="s">
        <v>384</v>
      </c>
      <c r="I339" s="256" t="s">
        <v>384</v>
      </c>
      <c r="J339" s="237"/>
      <c r="K339" s="237" t="s">
        <v>343</v>
      </c>
      <c r="L339" s="237" t="s">
        <v>343</v>
      </c>
      <c r="M339" s="237" t="s">
        <v>343</v>
      </c>
      <c r="N339" s="237" t="s">
        <v>343</v>
      </c>
      <c r="O339" s="237" t="s">
        <v>343</v>
      </c>
      <c r="P339" s="236">
        <f t="shared" si="14"/>
        <v>0</v>
      </c>
      <c r="Q339" s="260"/>
      <c r="R339" s="251"/>
    </row>
    <row r="340" spans="1:18" x14ac:dyDescent="0.3">
      <c r="A340" s="233" t="s">
        <v>334</v>
      </c>
      <c r="B340" s="234" t="s">
        <v>643</v>
      </c>
      <c r="C340" s="234"/>
      <c r="D340" s="236">
        <v>0</v>
      </c>
      <c r="E340" s="237">
        <v>0</v>
      </c>
      <c r="F340" s="237">
        <v>0</v>
      </c>
      <c r="G340" s="238"/>
      <c r="H340" s="228"/>
      <c r="I340" s="256" t="s">
        <v>337</v>
      </c>
      <c r="J340" s="237"/>
      <c r="K340" s="237" t="s">
        <v>343</v>
      </c>
      <c r="L340" s="237" t="s">
        <v>343</v>
      </c>
      <c r="M340" s="237" t="s">
        <v>343</v>
      </c>
      <c r="N340" s="237" t="s">
        <v>343</v>
      </c>
      <c r="O340" s="237" t="s">
        <v>343</v>
      </c>
      <c r="P340" s="236">
        <f t="shared" si="14"/>
        <v>0</v>
      </c>
      <c r="Q340" s="260"/>
      <c r="R340" s="251"/>
    </row>
    <row r="341" spans="1:18" hidden="1" x14ac:dyDescent="0.3">
      <c r="A341" s="233" t="s">
        <v>334</v>
      </c>
      <c r="B341" s="234" t="s">
        <v>644</v>
      </c>
      <c r="C341" s="234"/>
      <c r="D341" s="236">
        <v>0</v>
      </c>
      <c r="E341" s="237">
        <v>0</v>
      </c>
      <c r="F341" s="237">
        <v>0</v>
      </c>
      <c r="G341" s="240" t="s">
        <v>340</v>
      </c>
      <c r="H341" s="228" t="s">
        <v>341</v>
      </c>
      <c r="I341" s="256" t="s">
        <v>342</v>
      </c>
      <c r="J341" s="237"/>
      <c r="K341" s="237"/>
      <c r="L341" s="237"/>
      <c r="M341" s="237"/>
      <c r="N341" s="237" t="s">
        <v>343</v>
      </c>
      <c r="O341" s="237" t="s">
        <v>343</v>
      </c>
      <c r="P341" s="236">
        <f t="shared" si="14"/>
        <v>0</v>
      </c>
      <c r="Q341" s="260"/>
      <c r="R341" s="251"/>
    </row>
    <row r="342" spans="1:18" x14ac:dyDescent="0.3">
      <c r="A342" s="233" t="s">
        <v>334</v>
      </c>
      <c r="B342" s="234" t="s">
        <v>645</v>
      </c>
      <c r="C342" s="234"/>
      <c r="D342" s="236">
        <v>0</v>
      </c>
      <c r="E342" s="237">
        <v>0</v>
      </c>
      <c r="F342" s="237">
        <v>0</v>
      </c>
      <c r="G342" s="238"/>
      <c r="H342" s="228"/>
      <c r="I342" s="256" t="s">
        <v>368</v>
      </c>
      <c r="J342" s="237"/>
      <c r="K342" s="237" t="s">
        <v>343</v>
      </c>
      <c r="L342" s="237" t="s">
        <v>343</v>
      </c>
      <c r="M342" s="237" t="s">
        <v>343</v>
      </c>
      <c r="N342" s="237" t="s">
        <v>343</v>
      </c>
      <c r="O342" s="237" t="s">
        <v>343</v>
      </c>
      <c r="P342" s="236">
        <f t="shared" si="14"/>
        <v>0</v>
      </c>
      <c r="Q342" s="260"/>
      <c r="R342" s="251"/>
    </row>
    <row r="343" spans="1:18" x14ac:dyDescent="0.3">
      <c r="A343" s="233" t="s">
        <v>334</v>
      </c>
      <c r="B343" s="234" t="s">
        <v>646</v>
      </c>
      <c r="C343" s="234"/>
      <c r="D343" s="236">
        <v>0</v>
      </c>
      <c r="E343" s="237">
        <v>0</v>
      </c>
      <c r="F343" s="237">
        <v>0</v>
      </c>
      <c r="G343" s="238"/>
      <c r="H343" s="228"/>
      <c r="I343" s="256" t="s">
        <v>368</v>
      </c>
      <c r="J343" s="237"/>
      <c r="K343" s="237" t="s">
        <v>343</v>
      </c>
      <c r="L343" s="237" t="s">
        <v>343</v>
      </c>
      <c r="M343" s="237" t="s">
        <v>343</v>
      </c>
      <c r="N343" s="237" t="s">
        <v>343</v>
      </c>
      <c r="O343" s="237" t="s">
        <v>343</v>
      </c>
      <c r="P343" s="236">
        <f t="shared" si="14"/>
        <v>0</v>
      </c>
      <c r="Q343" s="260"/>
      <c r="R343" s="251"/>
    </row>
    <row r="344" spans="1:18" hidden="1" x14ac:dyDescent="0.3">
      <c r="A344" s="233" t="s">
        <v>334</v>
      </c>
      <c r="B344" s="234" t="s">
        <v>376</v>
      </c>
      <c r="C344" s="234"/>
      <c r="D344" s="236">
        <v>0</v>
      </c>
      <c r="E344" s="237">
        <v>0</v>
      </c>
      <c r="F344" s="237">
        <v>0</v>
      </c>
      <c r="G344" s="240" t="s">
        <v>340</v>
      </c>
      <c r="H344" s="228" t="s">
        <v>341</v>
      </c>
      <c r="I344" s="256" t="s">
        <v>342</v>
      </c>
      <c r="J344" s="237"/>
      <c r="K344" s="237"/>
      <c r="L344" s="237" t="s">
        <v>343</v>
      </c>
      <c r="M344" s="237" t="s">
        <v>343</v>
      </c>
      <c r="N344" s="237" t="s">
        <v>343</v>
      </c>
      <c r="O344" s="237" t="s">
        <v>343</v>
      </c>
      <c r="P344" s="236">
        <f t="shared" si="14"/>
        <v>0</v>
      </c>
      <c r="Q344" s="260"/>
      <c r="R344" s="251" t="s">
        <v>338</v>
      </c>
    </row>
    <row r="345" spans="1:18" hidden="1" x14ac:dyDescent="0.3">
      <c r="A345" s="233" t="s">
        <v>334</v>
      </c>
      <c r="B345" s="234" t="s">
        <v>647</v>
      </c>
      <c r="C345" s="234"/>
      <c r="D345" s="236">
        <v>0</v>
      </c>
      <c r="E345" s="237">
        <v>0</v>
      </c>
      <c r="F345" s="237">
        <v>0</v>
      </c>
      <c r="G345" s="240" t="s">
        <v>340</v>
      </c>
      <c r="H345" s="228" t="s">
        <v>341</v>
      </c>
      <c r="I345" s="256" t="s">
        <v>342</v>
      </c>
      <c r="J345" s="237"/>
      <c r="K345" s="237"/>
      <c r="L345" s="237"/>
      <c r="M345" s="237"/>
      <c r="N345" s="237"/>
      <c r="O345" s="237" t="s">
        <v>343</v>
      </c>
      <c r="P345" s="236">
        <f t="shared" si="14"/>
        <v>0</v>
      </c>
      <c r="Q345" s="260"/>
      <c r="R345" s="251" t="s">
        <v>338</v>
      </c>
    </row>
    <row r="346" spans="1:18" x14ac:dyDescent="0.3">
      <c r="A346" s="233" t="s">
        <v>334</v>
      </c>
      <c r="B346" s="234" t="s">
        <v>648</v>
      </c>
      <c r="C346" s="234"/>
      <c r="D346" s="236">
        <v>0</v>
      </c>
      <c r="E346" s="237">
        <v>0</v>
      </c>
      <c r="F346" s="237">
        <v>0</v>
      </c>
      <c r="G346" s="238"/>
      <c r="H346" s="228"/>
      <c r="I346" s="256" t="s">
        <v>337</v>
      </c>
      <c r="J346" s="237"/>
      <c r="K346" s="237" t="s">
        <v>343</v>
      </c>
      <c r="L346" s="237" t="s">
        <v>343</v>
      </c>
      <c r="M346" s="237" t="s">
        <v>343</v>
      </c>
      <c r="N346" s="237" t="s">
        <v>343</v>
      </c>
      <c r="O346" s="237" t="s">
        <v>343</v>
      </c>
      <c r="P346" s="236">
        <f t="shared" si="14"/>
        <v>0</v>
      </c>
      <c r="Q346" s="260"/>
      <c r="R346" s="251"/>
    </row>
    <row r="347" spans="1:18" x14ac:dyDescent="0.3">
      <c r="A347" s="233" t="s">
        <v>334</v>
      </c>
      <c r="B347" s="234" t="s">
        <v>649</v>
      </c>
      <c r="C347" s="234"/>
      <c r="D347" s="236">
        <v>0</v>
      </c>
      <c r="E347" s="237">
        <v>0</v>
      </c>
      <c r="F347" s="237">
        <v>0</v>
      </c>
      <c r="G347" s="240" t="s">
        <v>340</v>
      </c>
      <c r="H347" s="228" t="s">
        <v>384</v>
      </c>
      <c r="I347" s="256" t="s">
        <v>384</v>
      </c>
      <c r="J347" s="237"/>
      <c r="K347" s="237" t="s">
        <v>343</v>
      </c>
      <c r="L347" s="237" t="s">
        <v>343</v>
      </c>
      <c r="M347" s="237" t="s">
        <v>343</v>
      </c>
      <c r="N347" s="237"/>
      <c r="O347" s="237" t="s">
        <v>343</v>
      </c>
      <c r="P347" s="236">
        <f t="shared" si="14"/>
        <v>0</v>
      </c>
      <c r="Q347" s="260"/>
      <c r="R347" s="251"/>
    </row>
    <row r="348" spans="1:18" x14ac:dyDescent="0.3">
      <c r="A348" s="233" t="s">
        <v>334</v>
      </c>
      <c r="B348" s="234" t="s">
        <v>650</v>
      </c>
      <c r="C348" s="234"/>
      <c r="D348" s="236">
        <v>230000000</v>
      </c>
      <c r="E348" s="237"/>
      <c r="F348" s="237">
        <v>0</v>
      </c>
      <c r="G348" s="238"/>
      <c r="H348" s="228"/>
      <c r="I348" s="256" t="s">
        <v>337</v>
      </c>
      <c r="J348" s="237"/>
      <c r="K348" s="237"/>
      <c r="L348" s="237" t="s">
        <v>343</v>
      </c>
      <c r="M348" s="237" t="s">
        <v>343</v>
      </c>
      <c r="N348" s="237" t="s">
        <v>343</v>
      </c>
      <c r="O348" s="237" t="s">
        <v>343</v>
      </c>
      <c r="P348" s="236">
        <f t="shared" si="14"/>
        <v>0</v>
      </c>
      <c r="Q348" s="260"/>
      <c r="R348" s="251" t="s">
        <v>638</v>
      </c>
    </row>
    <row r="349" spans="1:18" x14ac:dyDescent="0.3">
      <c r="A349" s="233" t="s">
        <v>334</v>
      </c>
      <c r="B349" s="234" t="s">
        <v>651</v>
      </c>
      <c r="C349" s="234"/>
      <c r="D349" s="236">
        <v>0</v>
      </c>
      <c r="E349" s="237">
        <v>0</v>
      </c>
      <c r="F349" s="237">
        <v>0</v>
      </c>
      <c r="G349" s="238"/>
      <c r="H349" s="228"/>
      <c r="I349" s="256" t="s">
        <v>368</v>
      </c>
      <c r="J349" s="237"/>
      <c r="K349" s="237" t="s">
        <v>343</v>
      </c>
      <c r="L349" s="237"/>
      <c r="M349" s="237" t="s">
        <v>343</v>
      </c>
      <c r="N349" s="237" t="s">
        <v>343</v>
      </c>
      <c r="O349" s="237" t="s">
        <v>343</v>
      </c>
      <c r="P349" s="236">
        <f t="shared" si="14"/>
        <v>0</v>
      </c>
      <c r="Q349" s="260"/>
      <c r="R349" s="251" t="s">
        <v>338</v>
      </c>
    </row>
    <row r="350" spans="1:18" x14ac:dyDescent="0.3">
      <c r="A350" s="233" t="s">
        <v>334</v>
      </c>
      <c r="B350" s="234" t="s">
        <v>652</v>
      </c>
      <c r="C350" s="234"/>
      <c r="D350" s="236">
        <v>0</v>
      </c>
      <c r="E350" s="237">
        <v>0</v>
      </c>
      <c r="F350" s="237">
        <v>0</v>
      </c>
      <c r="G350" s="238"/>
      <c r="H350" s="228"/>
      <c r="I350" s="256" t="s">
        <v>368</v>
      </c>
      <c r="J350" s="237"/>
      <c r="K350" s="237"/>
      <c r="L350" s="237"/>
      <c r="M350" s="237"/>
      <c r="N350" s="237" t="s">
        <v>343</v>
      </c>
      <c r="O350" s="237" t="s">
        <v>343</v>
      </c>
      <c r="P350" s="236">
        <f t="shared" si="14"/>
        <v>0</v>
      </c>
      <c r="Q350" s="260"/>
      <c r="R350" s="251" t="s">
        <v>338</v>
      </c>
    </row>
    <row r="351" spans="1:18" x14ac:dyDescent="0.3">
      <c r="A351" s="233" t="s">
        <v>334</v>
      </c>
      <c r="B351" s="234" t="s">
        <v>653</v>
      </c>
      <c r="C351" s="234"/>
      <c r="D351" s="236">
        <v>0</v>
      </c>
      <c r="E351" s="237">
        <v>0</v>
      </c>
      <c r="F351" s="237">
        <v>0</v>
      </c>
      <c r="G351" s="240" t="s">
        <v>340</v>
      </c>
      <c r="H351" s="228" t="s">
        <v>384</v>
      </c>
      <c r="I351" s="256" t="s">
        <v>384</v>
      </c>
      <c r="J351" s="237"/>
      <c r="K351" s="237" t="s">
        <v>343</v>
      </c>
      <c r="L351" s="237" t="s">
        <v>343</v>
      </c>
      <c r="M351" s="237" t="s">
        <v>343</v>
      </c>
      <c r="N351" s="237" t="s">
        <v>343</v>
      </c>
      <c r="O351" s="237" t="s">
        <v>343</v>
      </c>
      <c r="P351" s="236">
        <f t="shared" si="14"/>
        <v>0</v>
      </c>
      <c r="Q351" s="260"/>
      <c r="R351" s="251"/>
    </row>
    <row r="352" spans="1:18" x14ac:dyDescent="0.3">
      <c r="A352" s="233" t="s">
        <v>334</v>
      </c>
      <c r="B352" s="234" t="s">
        <v>654</v>
      </c>
      <c r="C352" s="234"/>
      <c r="D352" s="236">
        <v>0</v>
      </c>
      <c r="E352" s="237">
        <v>0</v>
      </c>
      <c r="F352" s="237">
        <v>0</v>
      </c>
      <c r="G352" s="238"/>
      <c r="H352" s="228"/>
      <c r="I352" s="256" t="s">
        <v>368</v>
      </c>
      <c r="J352" s="237"/>
      <c r="K352" s="237" t="s">
        <v>343</v>
      </c>
      <c r="L352" s="237" t="s">
        <v>343</v>
      </c>
      <c r="M352" s="237" t="s">
        <v>343</v>
      </c>
      <c r="N352" s="237" t="s">
        <v>343</v>
      </c>
      <c r="O352" s="237" t="s">
        <v>343</v>
      </c>
      <c r="P352" s="236">
        <f t="shared" si="14"/>
        <v>0</v>
      </c>
      <c r="Q352" s="260"/>
      <c r="R352" s="251"/>
    </row>
    <row r="353" spans="1:18" hidden="1" x14ac:dyDescent="0.3">
      <c r="A353" s="233" t="s">
        <v>334</v>
      </c>
      <c r="B353" s="234" t="s">
        <v>655</v>
      </c>
      <c r="C353" s="234"/>
      <c r="D353" s="236">
        <v>0</v>
      </c>
      <c r="E353" s="237">
        <v>0</v>
      </c>
      <c r="F353" s="237">
        <v>0</v>
      </c>
      <c r="G353" s="240" t="s">
        <v>340</v>
      </c>
      <c r="H353" s="228" t="s">
        <v>341</v>
      </c>
      <c r="I353" s="256" t="s">
        <v>342</v>
      </c>
      <c r="J353" s="237"/>
      <c r="K353" s="237" t="s">
        <v>343</v>
      </c>
      <c r="L353" s="237" t="s">
        <v>343</v>
      </c>
      <c r="M353" s="237" t="s">
        <v>343</v>
      </c>
      <c r="N353" s="237" t="s">
        <v>343</v>
      </c>
      <c r="O353" s="237" t="s">
        <v>343</v>
      </c>
      <c r="P353" s="236">
        <f t="shared" si="14"/>
        <v>0</v>
      </c>
      <c r="Q353" s="260"/>
      <c r="R353" s="251"/>
    </row>
    <row r="354" spans="1:18" x14ac:dyDescent="0.3">
      <c r="A354" s="233" t="s">
        <v>334</v>
      </c>
      <c r="B354" s="234" t="s">
        <v>656</v>
      </c>
      <c r="C354" s="234"/>
      <c r="D354" s="236">
        <v>0</v>
      </c>
      <c r="E354" s="237">
        <v>0</v>
      </c>
      <c r="F354" s="237">
        <v>0</v>
      </c>
      <c r="G354" s="238"/>
      <c r="H354" s="228"/>
      <c r="I354" s="256" t="s">
        <v>368</v>
      </c>
      <c r="J354" s="237"/>
      <c r="K354" s="237"/>
      <c r="L354" s="237" t="s">
        <v>343</v>
      </c>
      <c r="M354" s="237" t="s">
        <v>343</v>
      </c>
      <c r="N354" s="237" t="s">
        <v>343</v>
      </c>
      <c r="O354" s="237" t="s">
        <v>343</v>
      </c>
      <c r="P354" s="236">
        <f t="shared" si="14"/>
        <v>0</v>
      </c>
      <c r="Q354" s="260"/>
      <c r="R354" s="251"/>
    </row>
    <row r="355" spans="1:18" x14ac:dyDescent="0.3">
      <c r="A355" s="233" t="s">
        <v>334</v>
      </c>
      <c r="B355" s="234" t="s">
        <v>657</v>
      </c>
      <c r="C355" s="234"/>
      <c r="D355" s="236">
        <v>25000000</v>
      </c>
      <c r="E355" s="237">
        <v>25000000</v>
      </c>
      <c r="F355" s="237">
        <v>0</v>
      </c>
      <c r="G355" s="238"/>
      <c r="H355" s="228"/>
      <c r="I355" s="256" t="s">
        <v>368</v>
      </c>
      <c r="J355" s="237"/>
      <c r="K355" s="237"/>
      <c r="L355" s="237" t="s">
        <v>343</v>
      </c>
      <c r="M355" s="237" t="s">
        <v>343</v>
      </c>
      <c r="N355" s="237" t="s">
        <v>343</v>
      </c>
      <c r="O355" s="237" t="s">
        <v>343</v>
      </c>
      <c r="P355" s="236">
        <f t="shared" si="14"/>
        <v>0</v>
      </c>
      <c r="Q355" s="260"/>
      <c r="R355" s="251" t="s">
        <v>338</v>
      </c>
    </row>
    <row r="356" spans="1:18" x14ac:dyDescent="0.3">
      <c r="A356" s="233" t="s">
        <v>334</v>
      </c>
      <c r="B356" s="234" t="s">
        <v>658</v>
      </c>
      <c r="C356" s="234"/>
      <c r="D356" s="236">
        <v>0</v>
      </c>
      <c r="E356" s="237">
        <v>0</v>
      </c>
      <c r="F356" s="237">
        <v>0</v>
      </c>
      <c r="G356" s="238"/>
      <c r="H356" s="228"/>
      <c r="I356" s="256" t="s">
        <v>368</v>
      </c>
      <c r="J356" s="237"/>
      <c r="K356" s="237"/>
      <c r="L356" s="237" t="s">
        <v>343</v>
      </c>
      <c r="M356" s="237" t="s">
        <v>343</v>
      </c>
      <c r="N356" s="237" t="s">
        <v>343</v>
      </c>
      <c r="O356" s="237" t="s">
        <v>343</v>
      </c>
      <c r="P356" s="236">
        <f t="shared" si="14"/>
        <v>0</v>
      </c>
      <c r="Q356" s="260"/>
      <c r="R356" s="228"/>
    </row>
    <row r="357" spans="1:18" x14ac:dyDescent="0.3">
      <c r="A357" s="233" t="s">
        <v>334</v>
      </c>
      <c r="B357" s="234" t="s">
        <v>659</v>
      </c>
      <c r="C357" s="234"/>
      <c r="D357" s="236">
        <v>0</v>
      </c>
      <c r="E357" s="237">
        <v>0</v>
      </c>
      <c r="F357" s="237">
        <v>0</v>
      </c>
      <c r="G357" s="238"/>
      <c r="H357" s="228"/>
      <c r="I357" s="256" t="s">
        <v>368</v>
      </c>
      <c r="J357" s="237"/>
      <c r="K357" s="237" t="s">
        <v>343</v>
      </c>
      <c r="L357" s="237" t="s">
        <v>343</v>
      </c>
      <c r="M357" s="237" t="s">
        <v>343</v>
      </c>
      <c r="N357" s="237" t="s">
        <v>343</v>
      </c>
      <c r="O357" s="237" t="s">
        <v>343</v>
      </c>
      <c r="P357" s="236">
        <f t="shared" si="14"/>
        <v>0</v>
      </c>
      <c r="Q357" s="260"/>
      <c r="R357" s="251"/>
    </row>
    <row r="358" spans="1:18" x14ac:dyDescent="0.3">
      <c r="A358" s="233" t="s">
        <v>334</v>
      </c>
      <c r="B358" s="234" t="s">
        <v>660</v>
      </c>
      <c r="C358" s="234"/>
      <c r="D358" s="236">
        <v>0</v>
      </c>
      <c r="E358" s="237">
        <v>0</v>
      </c>
      <c r="F358" s="237">
        <v>0</v>
      </c>
      <c r="G358" s="238"/>
      <c r="H358" s="228"/>
      <c r="I358" s="256" t="s">
        <v>368</v>
      </c>
      <c r="J358" s="237"/>
      <c r="K358" s="237" t="s">
        <v>343</v>
      </c>
      <c r="L358" s="237" t="s">
        <v>343</v>
      </c>
      <c r="M358" s="237" t="s">
        <v>343</v>
      </c>
      <c r="N358" s="237" t="s">
        <v>343</v>
      </c>
      <c r="O358" s="237" t="s">
        <v>343</v>
      </c>
      <c r="P358" s="236">
        <f t="shared" si="14"/>
        <v>0</v>
      </c>
      <c r="Q358" s="260"/>
      <c r="R358" s="251"/>
    </row>
    <row r="359" spans="1:18" x14ac:dyDescent="0.3">
      <c r="A359" s="233" t="s">
        <v>334</v>
      </c>
      <c r="B359" s="234" t="s">
        <v>661</v>
      </c>
      <c r="C359" s="234"/>
      <c r="D359" s="236">
        <v>0</v>
      </c>
      <c r="E359" s="237">
        <v>0</v>
      </c>
      <c r="F359" s="237">
        <v>0</v>
      </c>
      <c r="G359" s="238"/>
      <c r="H359" s="228"/>
      <c r="I359" s="256" t="s">
        <v>368</v>
      </c>
      <c r="J359" s="237"/>
      <c r="K359" s="237" t="s">
        <v>343</v>
      </c>
      <c r="L359" s="237" t="s">
        <v>343</v>
      </c>
      <c r="M359" s="237" t="s">
        <v>343</v>
      </c>
      <c r="N359" s="237" t="s">
        <v>343</v>
      </c>
      <c r="O359" s="237" t="s">
        <v>343</v>
      </c>
      <c r="P359" s="236">
        <f t="shared" si="14"/>
        <v>0</v>
      </c>
      <c r="Q359" s="260"/>
      <c r="R359" s="251"/>
    </row>
    <row r="360" spans="1:18" x14ac:dyDescent="0.3">
      <c r="A360" s="233" t="s">
        <v>334</v>
      </c>
      <c r="B360" s="236" t="s">
        <v>662</v>
      </c>
      <c r="C360" s="236"/>
      <c r="D360" s="236">
        <v>5500</v>
      </c>
      <c r="E360" s="237">
        <v>5500</v>
      </c>
      <c r="F360" s="237">
        <v>0</v>
      </c>
      <c r="G360" s="238"/>
      <c r="H360" s="228"/>
      <c r="I360" s="256" t="s">
        <v>368</v>
      </c>
      <c r="J360" s="237"/>
      <c r="K360" s="237"/>
      <c r="L360" s="237" t="s">
        <v>343</v>
      </c>
      <c r="M360" s="237" t="s">
        <v>343</v>
      </c>
      <c r="N360" s="237" t="s">
        <v>343</v>
      </c>
      <c r="O360" s="237" t="s">
        <v>343</v>
      </c>
      <c r="P360" s="236">
        <f t="shared" si="14"/>
        <v>0</v>
      </c>
      <c r="Q360" s="260"/>
      <c r="R360" s="251" t="s">
        <v>462</v>
      </c>
    </row>
    <row r="361" spans="1:18" hidden="1" x14ac:dyDescent="0.3">
      <c r="A361" s="233" t="s">
        <v>334</v>
      </c>
      <c r="B361" s="234" t="s">
        <v>663</v>
      </c>
      <c r="C361" s="234"/>
      <c r="D361" s="236">
        <v>58000000</v>
      </c>
      <c r="E361" s="237">
        <v>58000000</v>
      </c>
      <c r="F361" s="237">
        <v>0</v>
      </c>
      <c r="G361" s="240" t="s">
        <v>340</v>
      </c>
      <c r="H361" s="228" t="s">
        <v>341</v>
      </c>
      <c r="I361" s="256" t="s">
        <v>342</v>
      </c>
      <c r="J361" s="237"/>
      <c r="K361" s="237"/>
      <c r="L361" s="237" t="s">
        <v>343</v>
      </c>
      <c r="M361" s="237" t="s">
        <v>343</v>
      </c>
      <c r="N361" s="237" t="s">
        <v>343</v>
      </c>
      <c r="O361" s="237" t="s">
        <v>343</v>
      </c>
      <c r="P361" s="236">
        <f t="shared" si="14"/>
        <v>0</v>
      </c>
      <c r="Q361" s="260"/>
      <c r="R361" s="251" t="s">
        <v>338</v>
      </c>
    </row>
    <row r="362" spans="1:18" x14ac:dyDescent="0.3">
      <c r="A362" s="233" t="s">
        <v>334</v>
      </c>
      <c r="B362" s="234" t="s">
        <v>664</v>
      </c>
      <c r="C362" s="234"/>
      <c r="D362" s="236">
        <v>0</v>
      </c>
      <c r="E362" s="237">
        <v>0</v>
      </c>
      <c r="F362" s="237">
        <v>0</v>
      </c>
      <c r="G362" s="238"/>
      <c r="H362" s="228"/>
      <c r="I362" s="256" t="s">
        <v>337</v>
      </c>
      <c r="J362" s="237"/>
      <c r="K362" s="237"/>
      <c r="L362" s="237" t="s">
        <v>343</v>
      </c>
      <c r="M362" s="237" t="s">
        <v>343</v>
      </c>
      <c r="N362" s="237" t="s">
        <v>343</v>
      </c>
      <c r="O362" s="237" t="s">
        <v>343</v>
      </c>
      <c r="P362" s="236">
        <f t="shared" si="14"/>
        <v>0</v>
      </c>
      <c r="Q362" s="260"/>
      <c r="R362" s="251" t="s">
        <v>338</v>
      </c>
    </row>
    <row r="363" spans="1:18" x14ac:dyDescent="0.3">
      <c r="A363" s="233" t="s">
        <v>334</v>
      </c>
      <c r="B363" s="236" t="s">
        <v>665</v>
      </c>
      <c r="C363" s="236"/>
      <c r="D363" s="236">
        <v>0</v>
      </c>
      <c r="E363" s="236"/>
      <c r="F363" s="236">
        <v>0</v>
      </c>
      <c r="G363" s="240"/>
      <c r="H363" s="228"/>
      <c r="I363" s="256" t="s">
        <v>368</v>
      </c>
      <c r="J363" s="236"/>
      <c r="K363" s="236"/>
      <c r="L363" s="236">
        <v>0</v>
      </c>
      <c r="M363" s="236">
        <v>0</v>
      </c>
      <c r="N363" s="236">
        <v>0</v>
      </c>
      <c r="O363" s="236">
        <v>0</v>
      </c>
      <c r="P363" s="236">
        <f t="shared" ref="P363:P426" si="16">F363-SUM(J363:O363)</f>
        <v>0</v>
      </c>
      <c r="Q363" s="260"/>
      <c r="R363" s="228" t="s">
        <v>396</v>
      </c>
    </row>
    <row r="364" spans="1:18" x14ac:dyDescent="0.3">
      <c r="A364" s="233" t="s">
        <v>334</v>
      </c>
      <c r="B364" s="234" t="s">
        <v>666</v>
      </c>
      <c r="C364" s="234"/>
      <c r="D364" s="236">
        <v>0</v>
      </c>
      <c r="E364" s="237"/>
      <c r="F364" s="237">
        <v>0</v>
      </c>
      <c r="G364" s="238"/>
      <c r="H364" s="228"/>
      <c r="I364" s="256" t="s">
        <v>368</v>
      </c>
      <c r="J364" s="237">
        <v>0</v>
      </c>
      <c r="K364" s="237"/>
      <c r="L364" s="237">
        <v>0</v>
      </c>
      <c r="M364" s="237">
        <v>0</v>
      </c>
      <c r="N364" s="237">
        <v>0</v>
      </c>
      <c r="O364" s="237">
        <v>0</v>
      </c>
      <c r="P364" s="236">
        <f t="shared" si="16"/>
        <v>0</v>
      </c>
      <c r="Q364" s="260"/>
      <c r="R364" s="251"/>
    </row>
    <row r="365" spans="1:18" x14ac:dyDescent="0.3">
      <c r="A365" s="233" t="s">
        <v>334</v>
      </c>
      <c r="B365" s="234" t="s">
        <v>667</v>
      </c>
      <c r="C365" s="234"/>
      <c r="D365" s="236">
        <v>0</v>
      </c>
      <c r="E365" s="237"/>
      <c r="F365" s="237">
        <v>0</v>
      </c>
      <c r="G365" s="238"/>
      <c r="H365" s="228"/>
      <c r="I365" s="256" t="s">
        <v>337</v>
      </c>
      <c r="J365" s="237">
        <v>0</v>
      </c>
      <c r="K365" s="237"/>
      <c r="L365" s="237">
        <v>0</v>
      </c>
      <c r="M365" s="237">
        <v>0</v>
      </c>
      <c r="N365" s="237">
        <v>0</v>
      </c>
      <c r="O365" s="237">
        <v>0</v>
      </c>
      <c r="P365" s="236">
        <f t="shared" si="16"/>
        <v>0</v>
      </c>
      <c r="Q365" s="260"/>
      <c r="R365" s="251"/>
    </row>
    <row r="366" spans="1:18" x14ac:dyDescent="0.3">
      <c r="A366" s="233" t="s">
        <v>334</v>
      </c>
      <c r="B366" s="234" t="s">
        <v>668</v>
      </c>
      <c r="C366" s="234"/>
      <c r="D366" s="236">
        <v>0</v>
      </c>
      <c r="E366" s="237"/>
      <c r="F366" s="237">
        <v>0</v>
      </c>
      <c r="G366" s="240" t="s">
        <v>340</v>
      </c>
      <c r="H366" s="228" t="s">
        <v>415</v>
      </c>
      <c r="I366" s="256" t="s">
        <v>415</v>
      </c>
      <c r="J366" s="237"/>
      <c r="K366" s="237"/>
      <c r="L366" s="237">
        <v>0</v>
      </c>
      <c r="M366" s="237">
        <v>0</v>
      </c>
      <c r="N366" s="237">
        <v>0</v>
      </c>
      <c r="O366" s="237">
        <v>0</v>
      </c>
      <c r="P366" s="236">
        <f t="shared" si="16"/>
        <v>0</v>
      </c>
      <c r="Q366" s="260"/>
      <c r="R366" s="251" t="s">
        <v>638</v>
      </c>
    </row>
    <row r="367" spans="1:18" x14ac:dyDescent="0.3">
      <c r="A367" s="233" t="s">
        <v>334</v>
      </c>
      <c r="B367" s="234" t="s">
        <v>669</v>
      </c>
      <c r="C367" s="234"/>
      <c r="D367" s="236">
        <v>0</v>
      </c>
      <c r="E367" s="237"/>
      <c r="F367" s="237">
        <v>0</v>
      </c>
      <c r="G367" s="238"/>
      <c r="H367" s="228"/>
      <c r="I367" s="256" t="s">
        <v>368</v>
      </c>
      <c r="J367" s="237"/>
      <c r="K367" s="237"/>
      <c r="L367" s="237">
        <v>0</v>
      </c>
      <c r="M367" s="237">
        <v>0</v>
      </c>
      <c r="N367" s="237">
        <v>0</v>
      </c>
      <c r="O367" s="237">
        <v>0</v>
      </c>
      <c r="P367" s="236">
        <f t="shared" si="16"/>
        <v>0</v>
      </c>
      <c r="Q367" s="260"/>
      <c r="R367" s="251" t="s">
        <v>396</v>
      </c>
    </row>
    <row r="368" spans="1:18" x14ac:dyDescent="0.3">
      <c r="A368" s="233" t="s">
        <v>334</v>
      </c>
      <c r="B368" s="234" t="s">
        <v>670</v>
      </c>
      <c r="C368" s="234"/>
      <c r="D368" s="236">
        <v>0</v>
      </c>
      <c r="E368" s="237"/>
      <c r="F368" s="237">
        <v>0</v>
      </c>
      <c r="G368" s="238"/>
      <c r="H368" s="228"/>
      <c r="I368" s="256" t="s">
        <v>368</v>
      </c>
      <c r="J368" s="237"/>
      <c r="K368" s="237"/>
      <c r="L368" s="237">
        <v>0</v>
      </c>
      <c r="M368" s="237">
        <v>0</v>
      </c>
      <c r="N368" s="237">
        <v>0</v>
      </c>
      <c r="O368" s="237">
        <v>0</v>
      </c>
      <c r="P368" s="236">
        <f t="shared" si="16"/>
        <v>0</v>
      </c>
      <c r="Q368" s="260"/>
      <c r="R368" s="251" t="s">
        <v>396</v>
      </c>
    </row>
    <row r="369" spans="1:18" x14ac:dyDescent="0.3">
      <c r="A369" s="233" t="s">
        <v>334</v>
      </c>
      <c r="B369" s="234" t="s">
        <v>671</v>
      </c>
      <c r="C369" s="234"/>
      <c r="D369" s="236">
        <v>0</v>
      </c>
      <c r="E369" s="237"/>
      <c r="F369" s="237">
        <v>0</v>
      </c>
      <c r="G369" s="238"/>
      <c r="H369" s="228"/>
      <c r="I369" s="256" t="s">
        <v>368</v>
      </c>
      <c r="J369" s="237">
        <v>0</v>
      </c>
      <c r="K369" s="237">
        <v>0</v>
      </c>
      <c r="L369" s="237">
        <v>0</v>
      </c>
      <c r="M369" s="237">
        <v>0</v>
      </c>
      <c r="N369" s="237">
        <v>0</v>
      </c>
      <c r="O369" s="237">
        <v>0</v>
      </c>
      <c r="P369" s="236">
        <f t="shared" si="16"/>
        <v>0</v>
      </c>
      <c r="Q369" s="260"/>
      <c r="R369" s="251"/>
    </row>
    <row r="370" spans="1:18" x14ac:dyDescent="0.3">
      <c r="A370" s="233" t="s">
        <v>334</v>
      </c>
      <c r="B370" s="234" t="s">
        <v>672</v>
      </c>
      <c r="C370" s="234"/>
      <c r="D370" s="236">
        <v>0</v>
      </c>
      <c r="E370" s="237"/>
      <c r="F370" s="237">
        <v>0</v>
      </c>
      <c r="G370" s="238"/>
      <c r="H370" s="228"/>
      <c r="I370" s="256" t="s">
        <v>368</v>
      </c>
      <c r="J370" s="237"/>
      <c r="K370" s="237"/>
      <c r="L370" s="237"/>
      <c r="M370" s="237"/>
      <c r="N370" s="237"/>
      <c r="O370" s="237"/>
      <c r="P370" s="236">
        <f t="shared" si="16"/>
        <v>0</v>
      </c>
      <c r="Q370" s="260"/>
      <c r="R370" s="251"/>
    </row>
    <row r="371" spans="1:18" x14ac:dyDescent="0.3">
      <c r="A371" s="233" t="s">
        <v>334</v>
      </c>
      <c r="B371" s="234" t="s">
        <v>673</v>
      </c>
      <c r="C371" s="234"/>
      <c r="D371" s="236">
        <v>0</v>
      </c>
      <c r="E371" s="237"/>
      <c r="F371" s="237">
        <v>0</v>
      </c>
      <c r="G371" s="238"/>
      <c r="H371" s="228"/>
      <c r="I371" s="256" t="s">
        <v>368</v>
      </c>
      <c r="J371" s="237"/>
      <c r="K371" s="237"/>
      <c r="L371" s="237"/>
      <c r="M371" s="237"/>
      <c r="N371" s="237"/>
      <c r="O371" s="237"/>
      <c r="P371" s="236">
        <f t="shared" si="16"/>
        <v>0</v>
      </c>
      <c r="Q371" s="260"/>
      <c r="R371" s="251" t="s">
        <v>638</v>
      </c>
    </row>
    <row r="372" spans="1:18" x14ac:dyDescent="0.3">
      <c r="A372" s="233" t="s">
        <v>334</v>
      </c>
      <c r="B372" s="234" t="s">
        <v>674</v>
      </c>
      <c r="C372" s="234"/>
      <c r="D372" s="236">
        <v>0</v>
      </c>
      <c r="E372" s="237"/>
      <c r="F372" s="237">
        <v>0</v>
      </c>
      <c r="G372" s="238"/>
      <c r="H372" s="228"/>
      <c r="I372" s="256" t="s">
        <v>368</v>
      </c>
      <c r="J372" s="237"/>
      <c r="K372" s="237"/>
      <c r="L372" s="237"/>
      <c r="M372" s="237"/>
      <c r="N372" s="237"/>
      <c r="O372" s="237"/>
      <c r="P372" s="236">
        <f t="shared" si="16"/>
        <v>0</v>
      </c>
      <c r="Q372" s="260"/>
      <c r="R372" s="251" t="s">
        <v>638</v>
      </c>
    </row>
    <row r="373" spans="1:18" x14ac:dyDescent="0.3">
      <c r="A373" s="233" t="s">
        <v>334</v>
      </c>
      <c r="B373" s="234" t="s">
        <v>675</v>
      </c>
      <c r="C373" s="234"/>
      <c r="D373" s="236">
        <v>0</v>
      </c>
      <c r="E373" s="237"/>
      <c r="F373" s="237">
        <v>0</v>
      </c>
      <c r="G373" s="240" t="s">
        <v>340</v>
      </c>
      <c r="H373" s="228" t="s">
        <v>384</v>
      </c>
      <c r="I373" s="256" t="s">
        <v>384</v>
      </c>
      <c r="J373" s="237">
        <v>0</v>
      </c>
      <c r="K373" s="237"/>
      <c r="L373" s="237"/>
      <c r="M373" s="237"/>
      <c r="N373" s="237"/>
      <c r="O373" s="237"/>
      <c r="P373" s="236">
        <f t="shared" si="16"/>
        <v>0</v>
      </c>
      <c r="Q373" s="260"/>
      <c r="R373" s="251" t="s">
        <v>449</v>
      </c>
    </row>
    <row r="374" spans="1:18" x14ac:dyDescent="0.3">
      <c r="A374" s="233" t="s">
        <v>334</v>
      </c>
      <c r="B374" s="234" t="s">
        <v>676</v>
      </c>
      <c r="C374" s="234"/>
      <c r="D374" s="236">
        <v>0</v>
      </c>
      <c r="E374" s="237"/>
      <c r="F374" s="237">
        <v>0</v>
      </c>
      <c r="G374" s="238"/>
      <c r="H374" s="228"/>
      <c r="I374" s="256" t="s">
        <v>368</v>
      </c>
      <c r="J374" s="237"/>
      <c r="K374" s="237"/>
      <c r="L374" s="237"/>
      <c r="M374" s="237"/>
      <c r="N374" s="237"/>
      <c r="O374" s="237"/>
      <c r="P374" s="236">
        <f t="shared" si="16"/>
        <v>0</v>
      </c>
      <c r="Q374" s="260"/>
      <c r="R374" s="251" t="s">
        <v>338</v>
      </c>
    </row>
    <row r="375" spans="1:18" x14ac:dyDescent="0.3">
      <c r="A375" s="233" t="s">
        <v>334</v>
      </c>
      <c r="B375" s="234" t="s">
        <v>677</v>
      </c>
      <c r="C375" s="234"/>
      <c r="D375" s="236">
        <v>0</v>
      </c>
      <c r="E375" s="237"/>
      <c r="F375" s="237">
        <v>0</v>
      </c>
      <c r="G375" s="240" t="s">
        <v>340</v>
      </c>
      <c r="H375" s="228" t="s">
        <v>384</v>
      </c>
      <c r="I375" s="256" t="s">
        <v>384</v>
      </c>
      <c r="J375" s="237"/>
      <c r="K375" s="237"/>
      <c r="L375" s="237"/>
      <c r="M375" s="237"/>
      <c r="N375" s="237"/>
      <c r="O375" s="237"/>
      <c r="P375" s="236">
        <f t="shared" si="16"/>
        <v>0</v>
      </c>
      <c r="Q375" s="260"/>
      <c r="R375" s="251" t="s">
        <v>338</v>
      </c>
    </row>
    <row r="376" spans="1:18" x14ac:dyDescent="0.3">
      <c r="A376" s="233" t="s">
        <v>334</v>
      </c>
      <c r="B376" s="234" t="s">
        <v>678</v>
      </c>
      <c r="C376" s="234"/>
      <c r="D376" s="236">
        <v>0</v>
      </c>
      <c r="E376" s="237"/>
      <c r="F376" s="237">
        <v>0</v>
      </c>
      <c r="G376" s="240" t="s">
        <v>340</v>
      </c>
      <c r="H376" s="228" t="s">
        <v>415</v>
      </c>
      <c r="I376" s="256" t="s">
        <v>415</v>
      </c>
      <c r="J376" s="237"/>
      <c r="K376" s="237"/>
      <c r="L376" s="237"/>
      <c r="M376" s="237"/>
      <c r="N376" s="237"/>
      <c r="O376" s="237"/>
      <c r="P376" s="236">
        <f t="shared" si="16"/>
        <v>0</v>
      </c>
      <c r="Q376" s="260"/>
      <c r="R376" s="228" t="s">
        <v>638</v>
      </c>
    </row>
    <row r="377" spans="1:18" x14ac:dyDescent="0.3">
      <c r="A377" s="233" t="s">
        <v>334</v>
      </c>
      <c r="B377" s="234" t="s">
        <v>679</v>
      </c>
      <c r="C377" s="234"/>
      <c r="D377" s="236">
        <v>34494.5</v>
      </c>
      <c r="E377" s="237">
        <v>34494.5</v>
      </c>
      <c r="F377" s="237">
        <v>0</v>
      </c>
      <c r="G377" s="238"/>
      <c r="H377" s="228"/>
      <c r="I377" s="256" t="s">
        <v>368</v>
      </c>
      <c r="J377" s="237"/>
      <c r="K377" s="237"/>
      <c r="L377" s="237"/>
      <c r="M377" s="237"/>
      <c r="N377" s="237"/>
      <c r="O377" s="237"/>
      <c r="P377" s="236">
        <f t="shared" si="16"/>
        <v>0</v>
      </c>
      <c r="Q377" s="260"/>
      <c r="R377" s="251" t="s">
        <v>338</v>
      </c>
    </row>
    <row r="378" spans="1:18" x14ac:dyDescent="0.3">
      <c r="A378" s="233" t="s">
        <v>360</v>
      </c>
      <c r="B378" s="236" t="s">
        <v>680</v>
      </c>
      <c r="C378" s="236"/>
      <c r="D378" s="236">
        <f t="shared" ref="D378:D408" si="17">E378</f>
        <v>454349</v>
      </c>
      <c r="E378" s="236">
        <v>454349</v>
      </c>
      <c r="F378" s="236">
        <v>0</v>
      </c>
      <c r="G378" s="240"/>
      <c r="H378" s="228"/>
      <c r="I378" s="256" t="s">
        <v>337</v>
      </c>
      <c r="J378" s="236"/>
      <c r="K378" s="236"/>
      <c r="L378" s="236"/>
      <c r="M378" s="236"/>
      <c r="N378" s="236"/>
      <c r="O378" s="236"/>
      <c r="P378" s="236">
        <f t="shared" si="16"/>
        <v>0</v>
      </c>
      <c r="Q378" s="260"/>
      <c r="R378" s="228" t="s">
        <v>338</v>
      </c>
    </row>
    <row r="379" spans="1:18" x14ac:dyDescent="0.3">
      <c r="A379" s="233" t="s">
        <v>360</v>
      </c>
      <c r="B379" s="236" t="s">
        <v>681</v>
      </c>
      <c r="C379" s="236"/>
      <c r="D379" s="236">
        <f t="shared" si="17"/>
        <v>0</v>
      </c>
      <c r="E379" s="236">
        <v>0</v>
      </c>
      <c r="F379" s="236">
        <v>0</v>
      </c>
      <c r="G379" s="240"/>
      <c r="H379" s="228"/>
      <c r="I379" s="256" t="s">
        <v>337</v>
      </c>
      <c r="J379" s="236"/>
      <c r="K379" s="236" t="s">
        <v>363</v>
      </c>
      <c r="L379" s="236"/>
      <c r="M379" s="236" t="s">
        <v>363</v>
      </c>
      <c r="N379" s="236" t="s">
        <v>363</v>
      </c>
      <c r="O379" s="236"/>
      <c r="P379" s="236">
        <f t="shared" si="16"/>
        <v>0</v>
      </c>
      <c r="Q379" s="260"/>
      <c r="R379" s="228" t="s">
        <v>338</v>
      </c>
    </row>
    <row r="380" spans="1:18" x14ac:dyDescent="0.3">
      <c r="A380" s="233" t="s">
        <v>360</v>
      </c>
      <c r="B380" s="234" t="s">
        <v>682</v>
      </c>
      <c r="C380" s="234"/>
      <c r="D380" s="236">
        <f t="shared" si="17"/>
        <v>0</v>
      </c>
      <c r="E380" s="237">
        <v>0</v>
      </c>
      <c r="F380" s="237">
        <v>0</v>
      </c>
      <c r="G380" s="238"/>
      <c r="H380" s="228"/>
      <c r="I380" s="256" t="s">
        <v>337</v>
      </c>
      <c r="J380" s="237"/>
      <c r="K380" s="237" t="s">
        <v>363</v>
      </c>
      <c r="L380" s="237"/>
      <c r="M380" s="237" t="s">
        <v>363</v>
      </c>
      <c r="N380" s="237" t="s">
        <v>363</v>
      </c>
      <c r="O380" s="237"/>
      <c r="P380" s="236">
        <f t="shared" si="16"/>
        <v>0</v>
      </c>
      <c r="Q380" s="260"/>
      <c r="R380" s="251" t="s">
        <v>338</v>
      </c>
    </row>
    <row r="381" spans="1:18" x14ac:dyDescent="0.3">
      <c r="A381" s="233" t="s">
        <v>360</v>
      </c>
      <c r="B381" s="234" t="s">
        <v>683</v>
      </c>
      <c r="C381" s="234"/>
      <c r="D381" s="236">
        <f t="shared" si="17"/>
        <v>0</v>
      </c>
      <c r="E381" s="237">
        <v>0</v>
      </c>
      <c r="F381" s="237">
        <v>0</v>
      </c>
      <c r="G381" s="238"/>
      <c r="H381" s="228"/>
      <c r="I381" s="256" t="s">
        <v>337</v>
      </c>
      <c r="J381" s="237"/>
      <c r="K381" s="237" t="s">
        <v>363</v>
      </c>
      <c r="L381" s="237"/>
      <c r="M381" s="237" t="s">
        <v>363</v>
      </c>
      <c r="N381" s="237" t="s">
        <v>363</v>
      </c>
      <c r="O381" s="237" t="s">
        <v>363</v>
      </c>
      <c r="P381" s="236">
        <f t="shared" si="16"/>
        <v>0</v>
      </c>
      <c r="Q381" s="260"/>
      <c r="R381" s="251" t="s">
        <v>338</v>
      </c>
    </row>
    <row r="382" spans="1:18" x14ac:dyDescent="0.3">
      <c r="A382" s="233" t="s">
        <v>360</v>
      </c>
      <c r="B382" s="234" t="s">
        <v>684</v>
      </c>
      <c r="C382" s="234"/>
      <c r="D382" s="236">
        <f t="shared" si="17"/>
        <v>0</v>
      </c>
      <c r="E382" s="237">
        <v>0</v>
      </c>
      <c r="F382" s="237">
        <v>0</v>
      </c>
      <c r="G382" s="238"/>
      <c r="H382" s="228"/>
      <c r="I382" s="256" t="s">
        <v>368</v>
      </c>
      <c r="J382" s="237"/>
      <c r="K382" s="237" t="s">
        <v>363</v>
      </c>
      <c r="L382" s="237" t="s">
        <v>363</v>
      </c>
      <c r="M382" s="237" t="s">
        <v>363</v>
      </c>
      <c r="N382" s="237" t="s">
        <v>363</v>
      </c>
      <c r="O382" s="237" t="s">
        <v>363</v>
      </c>
      <c r="P382" s="236">
        <f t="shared" si="16"/>
        <v>0</v>
      </c>
      <c r="Q382" s="260"/>
      <c r="R382" s="251" t="s">
        <v>338</v>
      </c>
    </row>
    <row r="383" spans="1:18" x14ac:dyDescent="0.3">
      <c r="A383" s="233" t="s">
        <v>360</v>
      </c>
      <c r="B383" s="234" t="s">
        <v>685</v>
      </c>
      <c r="C383" s="234"/>
      <c r="D383" s="236">
        <f t="shared" si="17"/>
        <v>0</v>
      </c>
      <c r="E383" s="237"/>
      <c r="F383" s="237">
        <v>0</v>
      </c>
      <c r="G383" s="238"/>
      <c r="H383" s="228"/>
      <c r="I383" s="256"/>
      <c r="J383" s="237"/>
      <c r="K383" s="237"/>
      <c r="L383" s="237"/>
      <c r="M383" s="237"/>
      <c r="N383" s="237"/>
      <c r="O383" s="237"/>
      <c r="P383" s="236">
        <f t="shared" si="16"/>
        <v>0</v>
      </c>
      <c r="Q383" s="260"/>
      <c r="R383" s="251" t="s">
        <v>338</v>
      </c>
    </row>
    <row r="384" spans="1:18" x14ac:dyDescent="0.3">
      <c r="A384" s="233" t="s">
        <v>360</v>
      </c>
      <c r="B384" s="234" t="s">
        <v>686</v>
      </c>
      <c r="C384" s="234"/>
      <c r="D384" s="236">
        <f t="shared" si="17"/>
        <v>0</v>
      </c>
      <c r="E384" s="237">
        <v>0</v>
      </c>
      <c r="F384" s="237">
        <v>0</v>
      </c>
      <c r="G384" s="238"/>
      <c r="H384" s="228"/>
      <c r="I384" s="256" t="s">
        <v>337</v>
      </c>
      <c r="J384" s="237"/>
      <c r="K384" s="237">
        <v>0</v>
      </c>
      <c r="L384" s="237" t="s">
        <v>363</v>
      </c>
      <c r="M384" s="237" t="s">
        <v>363</v>
      </c>
      <c r="N384" s="237" t="s">
        <v>363</v>
      </c>
      <c r="O384" s="237" t="s">
        <v>363</v>
      </c>
      <c r="P384" s="236">
        <f t="shared" si="16"/>
        <v>0</v>
      </c>
      <c r="Q384" s="260"/>
      <c r="R384" s="251" t="s">
        <v>338</v>
      </c>
    </row>
    <row r="385" spans="1:18" x14ac:dyDescent="0.3">
      <c r="A385" s="233" t="s">
        <v>360</v>
      </c>
      <c r="B385" s="234" t="s">
        <v>687</v>
      </c>
      <c r="C385" s="234"/>
      <c r="D385" s="236">
        <f t="shared" si="17"/>
        <v>0</v>
      </c>
      <c r="E385" s="237"/>
      <c r="F385" s="237">
        <v>0</v>
      </c>
      <c r="G385" s="238"/>
      <c r="H385" s="228"/>
      <c r="I385" s="256"/>
      <c r="J385" s="237"/>
      <c r="K385" s="237"/>
      <c r="L385" s="237"/>
      <c r="M385" s="237"/>
      <c r="N385" s="237"/>
      <c r="O385" s="237"/>
      <c r="P385" s="236">
        <f t="shared" si="16"/>
        <v>0</v>
      </c>
      <c r="Q385" s="260"/>
      <c r="R385" s="228" t="s">
        <v>338</v>
      </c>
    </row>
    <row r="386" spans="1:18" x14ac:dyDescent="0.3">
      <c r="A386" s="233" t="s">
        <v>360</v>
      </c>
      <c r="B386" s="234" t="s">
        <v>688</v>
      </c>
      <c r="C386" s="234"/>
      <c r="D386" s="236">
        <f t="shared" si="17"/>
        <v>0</v>
      </c>
      <c r="E386" s="237"/>
      <c r="F386" s="237">
        <v>0</v>
      </c>
      <c r="G386" s="238"/>
      <c r="H386" s="228"/>
      <c r="I386" s="256"/>
      <c r="J386" s="237"/>
      <c r="K386" s="237"/>
      <c r="L386" s="237"/>
      <c r="M386" s="237"/>
      <c r="N386" s="237"/>
      <c r="O386" s="237"/>
      <c r="P386" s="236">
        <f t="shared" si="16"/>
        <v>0</v>
      </c>
      <c r="Q386" s="260"/>
      <c r="R386" s="251" t="s">
        <v>338</v>
      </c>
    </row>
    <row r="387" spans="1:18" hidden="1" x14ac:dyDescent="0.3">
      <c r="A387" s="233" t="s">
        <v>360</v>
      </c>
      <c r="B387" s="234" t="s">
        <v>689</v>
      </c>
      <c r="C387" s="234"/>
      <c r="D387" s="236">
        <f t="shared" si="17"/>
        <v>327797645.57999998</v>
      </c>
      <c r="E387" s="237">
        <v>327797645.57999998</v>
      </c>
      <c r="F387" s="237">
        <v>0</v>
      </c>
      <c r="G387" s="240" t="s">
        <v>340</v>
      </c>
      <c r="H387" s="228" t="s">
        <v>341</v>
      </c>
      <c r="I387" s="256" t="s">
        <v>342</v>
      </c>
      <c r="J387" s="237"/>
      <c r="K387" s="237"/>
      <c r="L387" s="237"/>
      <c r="M387" s="237" t="s">
        <v>363</v>
      </c>
      <c r="N387" s="237" t="s">
        <v>363</v>
      </c>
      <c r="O387" s="237" t="s">
        <v>363</v>
      </c>
      <c r="P387" s="236">
        <f t="shared" si="16"/>
        <v>0</v>
      </c>
      <c r="Q387" s="260"/>
      <c r="R387" s="251" t="s">
        <v>338</v>
      </c>
    </row>
    <row r="388" spans="1:18" x14ac:dyDescent="0.3">
      <c r="A388" s="233" t="s">
        <v>360</v>
      </c>
      <c r="B388" s="234" t="s">
        <v>690</v>
      </c>
      <c r="C388" s="234"/>
      <c r="D388" s="236">
        <f t="shared" si="17"/>
        <v>0</v>
      </c>
      <c r="E388" s="237">
        <v>0</v>
      </c>
      <c r="F388" s="237">
        <v>0</v>
      </c>
      <c r="G388" s="238"/>
      <c r="H388" s="228"/>
      <c r="I388" s="256" t="s">
        <v>337</v>
      </c>
      <c r="J388" s="237"/>
      <c r="K388" s="237"/>
      <c r="L388" s="237" t="s">
        <v>363</v>
      </c>
      <c r="M388" s="237" t="s">
        <v>363</v>
      </c>
      <c r="N388" s="237" t="s">
        <v>363</v>
      </c>
      <c r="O388" s="237" t="s">
        <v>363</v>
      </c>
      <c r="P388" s="236">
        <f t="shared" si="16"/>
        <v>0</v>
      </c>
      <c r="Q388" s="260"/>
      <c r="R388" s="251" t="s">
        <v>338</v>
      </c>
    </row>
    <row r="389" spans="1:18" hidden="1" x14ac:dyDescent="0.3">
      <c r="A389" s="233" t="s">
        <v>360</v>
      </c>
      <c r="B389" s="234" t="s">
        <v>691</v>
      </c>
      <c r="C389" s="234"/>
      <c r="D389" s="236">
        <f t="shared" si="17"/>
        <v>0</v>
      </c>
      <c r="E389" s="237"/>
      <c r="F389" s="237">
        <v>0</v>
      </c>
      <c r="G389" s="240" t="s">
        <v>340</v>
      </c>
      <c r="H389" s="228" t="s">
        <v>341</v>
      </c>
      <c r="I389" s="256" t="s">
        <v>342</v>
      </c>
      <c r="J389" s="237"/>
      <c r="K389" s="237"/>
      <c r="L389" s="237"/>
      <c r="M389" s="237"/>
      <c r="N389" s="237"/>
      <c r="O389" s="237"/>
      <c r="P389" s="236">
        <f t="shared" si="16"/>
        <v>0</v>
      </c>
      <c r="Q389" s="260"/>
      <c r="R389" s="251" t="s">
        <v>338</v>
      </c>
    </row>
    <row r="390" spans="1:18" x14ac:dyDescent="0.3">
      <c r="A390" s="233" t="s">
        <v>360</v>
      </c>
      <c r="B390" s="234" t="s">
        <v>692</v>
      </c>
      <c r="C390" s="234"/>
      <c r="D390" s="236">
        <f t="shared" si="17"/>
        <v>0</v>
      </c>
      <c r="E390" s="237"/>
      <c r="F390" s="237">
        <v>0</v>
      </c>
      <c r="G390" s="238"/>
      <c r="H390" s="228"/>
      <c r="I390" s="256" t="s">
        <v>368</v>
      </c>
      <c r="J390" s="237"/>
      <c r="K390" s="237"/>
      <c r="L390" s="237"/>
      <c r="M390" s="237"/>
      <c r="N390" s="237"/>
      <c r="O390" s="237"/>
      <c r="P390" s="236">
        <f t="shared" si="16"/>
        <v>0</v>
      </c>
      <c r="Q390" s="260"/>
      <c r="R390" s="251" t="s">
        <v>338</v>
      </c>
    </row>
    <row r="391" spans="1:18" x14ac:dyDescent="0.3">
      <c r="A391" s="233" t="s">
        <v>360</v>
      </c>
      <c r="B391" s="234" t="s">
        <v>693</v>
      </c>
      <c r="C391" s="234"/>
      <c r="D391" s="236">
        <f t="shared" si="17"/>
        <v>0</v>
      </c>
      <c r="E391" s="237"/>
      <c r="F391" s="237">
        <v>0</v>
      </c>
      <c r="G391" s="238"/>
      <c r="H391" s="228"/>
      <c r="I391" s="256" t="s">
        <v>368</v>
      </c>
      <c r="J391" s="237"/>
      <c r="K391" s="237"/>
      <c r="L391" s="237"/>
      <c r="M391" s="237"/>
      <c r="N391" s="237"/>
      <c r="O391" s="237"/>
      <c r="P391" s="236">
        <f t="shared" si="16"/>
        <v>0</v>
      </c>
      <c r="Q391" s="260"/>
      <c r="R391" s="251" t="s">
        <v>338</v>
      </c>
    </row>
    <row r="392" spans="1:18" x14ac:dyDescent="0.3">
      <c r="A392" s="233" t="s">
        <v>360</v>
      </c>
      <c r="B392" s="234" t="s">
        <v>694</v>
      </c>
      <c r="C392" s="234"/>
      <c r="D392" s="236">
        <f t="shared" si="17"/>
        <v>384248436</v>
      </c>
      <c r="E392" s="237">
        <v>384248436</v>
      </c>
      <c r="F392" s="237">
        <v>0</v>
      </c>
      <c r="G392" s="238"/>
      <c r="H392" s="228"/>
      <c r="I392" s="256" t="s">
        <v>337</v>
      </c>
      <c r="J392" s="237"/>
      <c r="K392" s="237">
        <v>175000000</v>
      </c>
      <c r="L392" s="237">
        <v>-175000000</v>
      </c>
      <c r="M392" s="237"/>
      <c r="N392" s="237"/>
      <c r="O392" s="237"/>
      <c r="P392" s="236">
        <f t="shared" si="16"/>
        <v>0</v>
      </c>
      <c r="Q392" s="260"/>
      <c r="R392" s="251" t="s">
        <v>338</v>
      </c>
    </row>
    <row r="393" spans="1:18" hidden="1" x14ac:dyDescent="0.3">
      <c r="A393" s="233" t="s">
        <v>349</v>
      </c>
      <c r="B393" s="236" t="s">
        <v>354</v>
      </c>
      <c r="C393" s="236"/>
      <c r="D393" s="236">
        <f t="shared" si="17"/>
        <v>0</v>
      </c>
      <c r="E393" s="236">
        <v>0</v>
      </c>
      <c r="F393" s="236">
        <v>0</v>
      </c>
      <c r="G393" s="240" t="s">
        <v>340</v>
      </c>
      <c r="H393" s="228" t="s">
        <v>341</v>
      </c>
      <c r="I393" s="256" t="s">
        <v>342</v>
      </c>
      <c r="J393" s="236"/>
      <c r="K393" s="236"/>
      <c r="L393" s="236"/>
      <c r="M393" s="236"/>
      <c r="N393" s="236"/>
      <c r="O393" s="236"/>
      <c r="P393" s="236">
        <f t="shared" si="16"/>
        <v>0</v>
      </c>
      <c r="Q393" s="260"/>
      <c r="R393" s="228" t="s">
        <v>338</v>
      </c>
    </row>
    <row r="394" spans="1:18" x14ac:dyDescent="0.3">
      <c r="A394" s="233" t="s">
        <v>349</v>
      </c>
      <c r="B394" s="234" t="s">
        <v>695</v>
      </c>
      <c r="C394" s="234"/>
      <c r="D394" s="236">
        <f t="shared" si="17"/>
        <v>0</v>
      </c>
      <c r="E394" s="237">
        <v>0</v>
      </c>
      <c r="F394" s="237">
        <v>0</v>
      </c>
      <c r="G394" s="238"/>
      <c r="H394" s="228"/>
      <c r="I394" s="256" t="s">
        <v>368</v>
      </c>
      <c r="J394" s="237" t="s">
        <v>363</v>
      </c>
      <c r="K394" s="237"/>
      <c r="L394" s="237"/>
      <c r="M394" s="237"/>
      <c r="N394" s="237"/>
      <c r="O394" s="237"/>
      <c r="P394" s="236">
        <f t="shared" si="16"/>
        <v>0</v>
      </c>
      <c r="Q394" s="260"/>
      <c r="R394" s="251" t="s">
        <v>338</v>
      </c>
    </row>
    <row r="395" spans="1:18" x14ac:dyDescent="0.3">
      <c r="A395" s="233" t="s">
        <v>349</v>
      </c>
      <c r="B395" s="234" t="s">
        <v>696</v>
      </c>
      <c r="C395" s="234"/>
      <c r="D395" s="236">
        <f t="shared" si="17"/>
        <v>0</v>
      </c>
      <c r="E395" s="237">
        <v>0</v>
      </c>
      <c r="F395" s="237">
        <v>0</v>
      </c>
      <c r="G395" s="238"/>
      <c r="H395" s="228"/>
      <c r="I395" s="256" t="s">
        <v>368</v>
      </c>
      <c r="J395" s="237"/>
      <c r="K395" s="237"/>
      <c r="L395" s="237"/>
      <c r="M395" s="237"/>
      <c r="N395" s="237"/>
      <c r="O395" s="237"/>
      <c r="P395" s="236">
        <f t="shared" si="16"/>
        <v>0</v>
      </c>
      <c r="Q395" s="260"/>
      <c r="R395" s="251" t="s">
        <v>338</v>
      </c>
    </row>
    <row r="396" spans="1:18" x14ac:dyDescent="0.3">
      <c r="A396" s="233" t="s">
        <v>349</v>
      </c>
      <c r="B396" s="234" t="s">
        <v>697</v>
      </c>
      <c r="C396" s="234"/>
      <c r="D396" s="236">
        <f t="shared" si="17"/>
        <v>0</v>
      </c>
      <c r="E396" s="237"/>
      <c r="F396" s="237">
        <v>0</v>
      </c>
      <c r="G396" s="238"/>
      <c r="H396" s="228"/>
      <c r="I396" s="256" t="s">
        <v>368</v>
      </c>
      <c r="J396" s="237"/>
      <c r="K396" s="237"/>
      <c r="L396" s="237"/>
      <c r="M396" s="237"/>
      <c r="N396" s="237"/>
      <c r="O396" s="237"/>
      <c r="P396" s="236">
        <f t="shared" si="16"/>
        <v>0</v>
      </c>
      <c r="Q396" s="260"/>
      <c r="R396" s="251" t="s">
        <v>338</v>
      </c>
    </row>
    <row r="397" spans="1:18" hidden="1" x14ac:dyDescent="0.3">
      <c r="A397" s="233" t="s">
        <v>698</v>
      </c>
      <c r="B397" s="234" t="s">
        <v>354</v>
      </c>
      <c r="C397" s="234"/>
      <c r="D397" s="236">
        <f t="shared" si="17"/>
        <v>0</v>
      </c>
      <c r="E397" s="237">
        <v>0</v>
      </c>
      <c r="F397" s="237">
        <v>0</v>
      </c>
      <c r="G397" s="240" t="s">
        <v>340</v>
      </c>
      <c r="H397" s="228" t="s">
        <v>341</v>
      </c>
      <c r="I397" s="256" t="s">
        <v>342</v>
      </c>
      <c r="J397" s="237"/>
      <c r="K397" s="237"/>
      <c r="L397" s="237"/>
      <c r="M397" s="237"/>
      <c r="N397" s="237"/>
      <c r="O397" s="237"/>
      <c r="P397" s="236">
        <f t="shared" si="16"/>
        <v>0</v>
      </c>
      <c r="Q397" s="260"/>
      <c r="R397" s="251" t="s">
        <v>338</v>
      </c>
    </row>
    <row r="398" spans="1:18" hidden="1" x14ac:dyDescent="0.3">
      <c r="A398" s="233" t="s">
        <v>698</v>
      </c>
      <c r="B398" s="234" t="s">
        <v>358</v>
      </c>
      <c r="C398" s="234"/>
      <c r="D398" s="236">
        <f t="shared" si="17"/>
        <v>60000000</v>
      </c>
      <c r="E398" s="237">
        <v>60000000</v>
      </c>
      <c r="F398" s="237">
        <v>0</v>
      </c>
      <c r="G398" s="240" t="s">
        <v>340</v>
      </c>
      <c r="H398" s="228" t="s">
        <v>341</v>
      </c>
      <c r="I398" s="256" t="s">
        <v>342</v>
      </c>
      <c r="J398" s="237"/>
      <c r="K398" s="237"/>
      <c r="L398" s="237"/>
      <c r="M398" s="237"/>
      <c r="N398" s="237"/>
      <c r="O398" s="237"/>
      <c r="P398" s="236">
        <f t="shared" si="16"/>
        <v>0</v>
      </c>
      <c r="Q398" s="260"/>
      <c r="R398" s="251" t="s">
        <v>338</v>
      </c>
    </row>
    <row r="399" spans="1:18" x14ac:dyDescent="0.3">
      <c r="A399" s="233" t="s">
        <v>382</v>
      </c>
      <c r="B399" s="234" t="s">
        <v>699</v>
      </c>
      <c r="C399" s="234"/>
      <c r="D399" s="236">
        <f t="shared" si="17"/>
        <v>0</v>
      </c>
      <c r="E399" s="237"/>
      <c r="F399" s="237">
        <v>0</v>
      </c>
      <c r="G399" s="238"/>
      <c r="H399" s="228"/>
      <c r="I399" s="256" t="s">
        <v>368</v>
      </c>
      <c r="J399" s="237"/>
      <c r="K399" s="237"/>
      <c r="L399" s="237"/>
      <c r="M399" s="237"/>
      <c r="N399" s="237"/>
      <c r="O399" s="237"/>
      <c r="P399" s="236">
        <f t="shared" si="16"/>
        <v>0</v>
      </c>
      <c r="Q399" s="260"/>
      <c r="R399" s="251"/>
    </row>
    <row r="400" spans="1:18" x14ac:dyDescent="0.3">
      <c r="A400" s="233" t="s">
        <v>382</v>
      </c>
      <c r="B400" s="234" t="s">
        <v>700</v>
      </c>
      <c r="C400" s="234"/>
      <c r="D400" s="236">
        <f t="shared" si="17"/>
        <v>0</v>
      </c>
      <c r="E400" s="237"/>
      <c r="F400" s="237">
        <v>0</v>
      </c>
      <c r="G400" s="238"/>
      <c r="H400" s="228"/>
      <c r="I400" s="256" t="s">
        <v>368</v>
      </c>
      <c r="J400" s="237"/>
      <c r="K400" s="237"/>
      <c r="L400" s="237"/>
      <c r="M400" s="237"/>
      <c r="N400" s="237"/>
      <c r="O400" s="237"/>
      <c r="P400" s="236">
        <f t="shared" si="16"/>
        <v>0</v>
      </c>
      <c r="Q400" s="260"/>
      <c r="R400" s="251"/>
    </row>
    <row r="401" spans="1:18" x14ac:dyDescent="0.3">
      <c r="A401" s="233" t="s">
        <v>701</v>
      </c>
      <c r="B401" s="234" t="s">
        <v>702</v>
      </c>
      <c r="C401" s="234"/>
      <c r="D401" s="236">
        <f t="shared" si="17"/>
        <v>0</v>
      </c>
      <c r="E401" s="237"/>
      <c r="F401" s="237">
        <v>0</v>
      </c>
      <c r="G401" s="238"/>
      <c r="H401" s="228"/>
      <c r="I401" s="256" t="s">
        <v>368</v>
      </c>
      <c r="J401" s="237"/>
      <c r="K401" s="237"/>
      <c r="L401" s="237"/>
      <c r="M401" s="237"/>
      <c r="N401" s="237"/>
      <c r="O401" s="237"/>
      <c r="P401" s="236">
        <f t="shared" si="16"/>
        <v>0</v>
      </c>
      <c r="Q401" s="260"/>
      <c r="R401" s="251"/>
    </row>
    <row r="402" spans="1:18" x14ac:dyDescent="0.3">
      <c r="A402" s="233" t="s">
        <v>355</v>
      </c>
      <c r="B402" s="234" t="s">
        <v>703</v>
      </c>
      <c r="C402" s="234"/>
      <c r="D402" s="236">
        <f t="shared" si="17"/>
        <v>0</v>
      </c>
      <c r="E402" s="237"/>
      <c r="F402" s="237">
        <v>0</v>
      </c>
      <c r="G402" s="238"/>
      <c r="H402" s="228"/>
      <c r="I402" s="256"/>
      <c r="J402" s="237">
        <v>0</v>
      </c>
      <c r="K402" s="237"/>
      <c r="L402" s="237"/>
      <c r="M402" s="237"/>
      <c r="N402" s="237"/>
      <c r="O402" s="237"/>
      <c r="P402" s="236">
        <f t="shared" si="16"/>
        <v>0</v>
      </c>
      <c r="Q402" s="260"/>
      <c r="R402" s="251"/>
    </row>
    <row r="403" spans="1:18" x14ac:dyDescent="0.3">
      <c r="A403" s="233" t="s">
        <v>355</v>
      </c>
      <c r="B403" s="234" t="s">
        <v>704</v>
      </c>
      <c r="C403" s="234"/>
      <c r="D403" s="236">
        <f t="shared" si="17"/>
        <v>0</v>
      </c>
      <c r="E403" s="237"/>
      <c r="F403" s="237">
        <v>0</v>
      </c>
      <c r="G403" s="238"/>
      <c r="H403" s="228"/>
      <c r="I403" s="256"/>
      <c r="J403" s="237">
        <v>0</v>
      </c>
      <c r="K403" s="237"/>
      <c r="L403" s="237"/>
      <c r="M403" s="237"/>
      <c r="N403" s="237"/>
      <c r="O403" s="237"/>
      <c r="P403" s="236">
        <f t="shared" si="16"/>
        <v>0</v>
      </c>
      <c r="Q403" s="260"/>
      <c r="R403" s="251"/>
    </row>
    <row r="404" spans="1:18" x14ac:dyDescent="0.3">
      <c r="A404" s="233" t="s">
        <v>349</v>
      </c>
      <c r="B404" s="234" t="s">
        <v>705</v>
      </c>
      <c r="C404" s="234"/>
      <c r="D404" s="236">
        <f t="shared" si="17"/>
        <v>0</v>
      </c>
      <c r="E404" s="237"/>
      <c r="F404" s="237">
        <v>-400</v>
      </c>
      <c r="G404" s="238"/>
      <c r="H404" s="228"/>
      <c r="I404" s="256"/>
      <c r="J404" s="237">
        <v>-400</v>
      </c>
      <c r="K404" s="237"/>
      <c r="L404" s="237"/>
      <c r="M404" s="237"/>
      <c r="N404" s="237"/>
      <c r="O404" s="237"/>
      <c r="P404" s="236">
        <f t="shared" si="16"/>
        <v>0</v>
      </c>
      <c r="Q404" s="260"/>
      <c r="R404" s="251"/>
    </row>
    <row r="405" spans="1:18" x14ac:dyDescent="0.3">
      <c r="A405" s="233" t="s">
        <v>382</v>
      </c>
      <c r="B405" s="234" t="s">
        <v>705</v>
      </c>
      <c r="C405" s="234"/>
      <c r="D405" s="236">
        <f t="shared" si="17"/>
        <v>0</v>
      </c>
      <c r="E405" s="237"/>
      <c r="F405" s="237">
        <v>-1500</v>
      </c>
      <c r="G405" s="238"/>
      <c r="H405" s="228"/>
      <c r="I405" s="256"/>
      <c r="J405" s="237">
        <v>-1500</v>
      </c>
      <c r="K405" s="237"/>
      <c r="L405" s="237"/>
      <c r="M405" s="237"/>
      <c r="N405" s="237"/>
      <c r="O405" s="237"/>
      <c r="P405" s="236">
        <f t="shared" si="16"/>
        <v>0</v>
      </c>
      <c r="Q405" s="260"/>
      <c r="R405" s="251"/>
    </row>
    <row r="406" spans="1:18" x14ac:dyDescent="0.3">
      <c r="A406" s="233" t="s">
        <v>353</v>
      </c>
      <c r="B406" s="236" t="s">
        <v>705</v>
      </c>
      <c r="C406" s="236"/>
      <c r="D406" s="236">
        <f t="shared" si="17"/>
        <v>-29854.2</v>
      </c>
      <c r="E406" s="236">
        <v>-29854.2</v>
      </c>
      <c r="F406" s="236">
        <v>-36957.5</v>
      </c>
      <c r="G406" s="240"/>
      <c r="H406" s="228"/>
      <c r="I406" s="256"/>
      <c r="J406" s="236">
        <v>0</v>
      </c>
      <c r="K406" s="236">
        <v>-1395</v>
      </c>
      <c r="L406" s="236">
        <v>-1371.87</v>
      </c>
      <c r="M406" s="236">
        <v>-20642.25</v>
      </c>
      <c r="N406" s="236">
        <v>-13548.38</v>
      </c>
      <c r="O406" s="236">
        <v>0</v>
      </c>
      <c r="P406" s="236">
        <f t="shared" si="16"/>
        <v>0</v>
      </c>
      <c r="Q406" s="260"/>
      <c r="R406" s="228"/>
    </row>
    <row r="407" spans="1:18" x14ac:dyDescent="0.3">
      <c r="A407" s="233" t="s">
        <v>357</v>
      </c>
      <c r="B407" s="236" t="s">
        <v>705</v>
      </c>
      <c r="C407" s="236"/>
      <c r="D407" s="236">
        <f t="shared" si="17"/>
        <v>-38250</v>
      </c>
      <c r="E407" s="236">
        <v>-38250</v>
      </c>
      <c r="F407" s="236">
        <v>-38876.5</v>
      </c>
      <c r="G407" s="240"/>
      <c r="H407" s="228"/>
      <c r="I407" s="256"/>
      <c r="J407" s="236">
        <v>0</v>
      </c>
      <c r="K407" s="236">
        <v>-1126.5</v>
      </c>
      <c r="L407" s="236"/>
      <c r="M407" s="236">
        <v>0</v>
      </c>
      <c r="N407" s="236">
        <v>0</v>
      </c>
      <c r="O407" s="236">
        <v>-37750</v>
      </c>
      <c r="P407" s="236">
        <f t="shared" si="16"/>
        <v>0</v>
      </c>
      <c r="Q407" s="260"/>
      <c r="R407" s="228"/>
    </row>
    <row r="408" spans="1:18" x14ac:dyDescent="0.3">
      <c r="A408" s="233" t="s">
        <v>350</v>
      </c>
      <c r="B408" s="236" t="s">
        <v>705</v>
      </c>
      <c r="C408" s="242" t="s">
        <v>336</v>
      </c>
      <c r="D408" s="236">
        <f t="shared" si="17"/>
        <v>-68715.990000000005</v>
      </c>
      <c r="E408" s="236">
        <v>-68715.990000000005</v>
      </c>
      <c r="F408" s="236">
        <v>-95189.63</v>
      </c>
      <c r="G408" s="240"/>
      <c r="H408" s="228"/>
      <c r="I408" s="256"/>
      <c r="J408" s="236"/>
      <c r="K408" s="236">
        <v>-87199.5</v>
      </c>
      <c r="L408" s="236">
        <v>-1990.13</v>
      </c>
      <c r="M408" s="236">
        <v>-4000</v>
      </c>
      <c r="N408" s="236"/>
      <c r="O408" s="236">
        <v>-2000</v>
      </c>
      <c r="P408" s="236">
        <f t="shared" si="16"/>
        <v>0</v>
      </c>
      <c r="Q408" s="256"/>
      <c r="R408" s="228"/>
    </row>
    <row r="409" spans="1:18" x14ac:dyDescent="0.3">
      <c r="A409" s="233" t="s">
        <v>334</v>
      </c>
      <c r="B409" s="236" t="s">
        <v>705</v>
      </c>
      <c r="C409" s="236"/>
      <c r="D409" s="236">
        <v>-1415217.78</v>
      </c>
      <c r="E409" s="237">
        <v>-1415217.78</v>
      </c>
      <c r="F409" s="237">
        <v>-1148112.78</v>
      </c>
      <c r="G409" s="238"/>
      <c r="H409" s="228"/>
      <c r="I409" s="256"/>
      <c r="J409" s="237">
        <v>-1148112.78</v>
      </c>
      <c r="K409" s="237"/>
      <c r="L409" s="237"/>
      <c r="M409" s="237"/>
      <c r="N409" s="237"/>
      <c r="O409" s="237"/>
      <c r="P409" s="236">
        <f t="shared" si="16"/>
        <v>0</v>
      </c>
      <c r="Q409" s="260"/>
      <c r="R409" s="251"/>
    </row>
    <row r="410" spans="1:18" x14ac:dyDescent="0.3">
      <c r="A410" s="233" t="s">
        <v>360</v>
      </c>
      <c r="B410" s="236" t="s">
        <v>705</v>
      </c>
      <c r="C410" s="236"/>
      <c r="D410" s="236">
        <f>E410</f>
        <v>-544724.56850000005</v>
      </c>
      <c r="E410" s="236">
        <v>-544724.56850000005</v>
      </c>
      <c r="F410" s="236">
        <v>-2708659.1354999999</v>
      </c>
      <c r="G410" s="240"/>
      <c r="H410" s="228"/>
      <c r="I410" s="256"/>
      <c r="J410" s="236">
        <v>-2708659.1354999999</v>
      </c>
      <c r="K410" s="236"/>
      <c r="L410" s="236"/>
      <c r="M410" s="236"/>
      <c r="N410" s="236"/>
      <c r="O410" s="236"/>
      <c r="P410" s="236">
        <f t="shared" si="16"/>
        <v>0</v>
      </c>
      <c r="Q410" s="260"/>
      <c r="R410" s="251"/>
    </row>
    <row r="411" spans="1:18" x14ac:dyDescent="0.3">
      <c r="A411" s="233" t="s">
        <v>334</v>
      </c>
      <c r="B411" s="234" t="s">
        <v>706</v>
      </c>
      <c r="C411" s="235" t="s">
        <v>336</v>
      </c>
      <c r="D411" s="236">
        <v>-14000000</v>
      </c>
      <c r="E411" s="237">
        <v>-14000000</v>
      </c>
      <c r="F411" s="237">
        <v>-14000000</v>
      </c>
      <c r="G411" s="238"/>
      <c r="H411" s="228"/>
      <c r="I411" s="256" t="s">
        <v>337</v>
      </c>
      <c r="J411" s="237"/>
      <c r="K411" s="237"/>
      <c r="L411" s="237" t="s">
        <v>343</v>
      </c>
      <c r="M411" s="237">
        <v>-14000000</v>
      </c>
      <c r="N411" s="237" t="s">
        <v>343</v>
      </c>
      <c r="O411" s="237" t="s">
        <v>343</v>
      </c>
      <c r="P411" s="236">
        <f t="shared" si="16"/>
        <v>0</v>
      </c>
      <c r="Q411" s="260"/>
      <c r="R411" s="251" t="s">
        <v>338</v>
      </c>
    </row>
    <row r="412" spans="1:18" x14ac:dyDescent="0.3">
      <c r="A412" s="241" t="s">
        <v>344</v>
      </c>
      <c r="B412" s="236" t="s">
        <v>705</v>
      </c>
      <c r="C412" s="236"/>
      <c r="D412" s="236">
        <f>E412</f>
        <v>-39134595.659999996</v>
      </c>
      <c r="E412" s="236">
        <v>-39134595.659999996</v>
      </c>
      <c r="F412" s="236">
        <v>-49226852.420000002</v>
      </c>
      <c r="G412" s="240"/>
      <c r="H412" s="228"/>
      <c r="I412" s="257"/>
      <c r="J412" s="236">
        <v>-49226852.420000002</v>
      </c>
      <c r="K412" s="236"/>
      <c r="L412" s="236"/>
      <c r="M412" s="236"/>
      <c r="N412" s="236"/>
      <c r="O412" s="236"/>
      <c r="P412" s="236">
        <f t="shared" si="16"/>
        <v>0</v>
      </c>
      <c r="Q412" s="260"/>
      <c r="R412" s="251"/>
    </row>
    <row r="413" spans="1:18" x14ac:dyDescent="0.3">
      <c r="A413" s="233" t="s">
        <v>334</v>
      </c>
      <c r="B413" s="234" t="s">
        <v>707</v>
      </c>
      <c r="C413" s="235" t="s">
        <v>336</v>
      </c>
      <c r="D413" s="236">
        <v>1412354493</v>
      </c>
      <c r="E413" s="237">
        <v>1412354493</v>
      </c>
      <c r="F413" s="237">
        <v>-868845363.08000004</v>
      </c>
      <c r="G413" s="238"/>
      <c r="H413" s="228"/>
      <c r="I413" s="256" t="s">
        <v>337</v>
      </c>
      <c r="J413" s="237"/>
      <c r="K413" s="237"/>
      <c r="L413" s="237"/>
      <c r="M413" s="237">
        <v>-495945677.27999997</v>
      </c>
      <c r="N413" s="237">
        <v>-297899685.80000001</v>
      </c>
      <c r="O413" s="237">
        <v>-75000000</v>
      </c>
      <c r="P413" s="236">
        <f t="shared" si="16"/>
        <v>0</v>
      </c>
      <c r="Q413" s="260"/>
      <c r="R413" s="251" t="s">
        <v>338</v>
      </c>
    </row>
    <row r="414" spans="1:18" x14ac:dyDescent="0.3">
      <c r="A414" s="233" t="s">
        <v>350</v>
      </c>
      <c r="B414" s="236" t="s">
        <v>708</v>
      </c>
      <c r="C414" s="236"/>
      <c r="D414" s="236">
        <f t="shared" ref="D414:D432" si="18">E414</f>
        <v>37000</v>
      </c>
      <c r="E414" s="236">
        <v>37000</v>
      </c>
      <c r="F414" s="236"/>
      <c r="G414" s="240"/>
      <c r="H414" s="228"/>
      <c r="I414" s="256" t="s">
        <v>368</v>
      </c>
      <c r="J414" s="236"/>
      <c r="K414" s="236">
        <v>0</v>
      </c>
      <c r="L414" s="236">
        <v>0</v>
      </c>
      <c r="M414" s="236">
        <v>0</v>
      </c>
      <c r="N414" s="236">
        <v>0</v>
      </c>
      <c r="O414" s="236"/>
      <c r="P414" s="236">
        <f t="shared" si="16"/>
        <v>0</v>
      </c>
      <c r="Q414" s="256"/>
      <c r="R414" s="228" t="s">
        <v>462</v>
      </c>
    </row>
    <row r="415" spans="1:18" x14ac:dyDescent="0.3">
      <c r="A415" s="233" t="s">
        <v>350</v>
      </c>
      <c r="B415" s="236" t="s">
        <v>709</v>
      </c>
      <c r="C415" s="236"/>
      <c r="D415" s="236">
        <f t="shared" si="18"/>
        <v>10945</v>
      </c>
      <c r="E415" s="236">
        <v>10945</v>
      </c>
      <c r="F415" s="236"/>
      <c r="G415" s="240"/>
      <c r="H415" s="228"/>
      <c r="I415" s="256" t="s">
        <v>368</v>
      </c>
      <c r="J415" s="236"/>
      <c r="K415" s="236"/>
      <c r="L415" s="236"/>
      <c r="M415" s="236"/>
      <c r="N415" s="236"/>
      <c r="O415" s="236"/>
      <c r="P415" s="236">
        <f t="shared" si="16"/>
        <v>0</v>
      </c>
      <c r="Q415" s="256"/>
      <c r="R415" s="228" t="s">
        <v>462</v>
      </c>
    </row>
    <row r="416" spans="1:18" x14ac:dyDescent="0.3">
      <c r="A416" s="233" t="s">
        <v>350</v>
      </c>
      <c r="B416" s="236" t="s">
        <v>710</v>
      </c>
      <c r="C416" s="236"/>
      <c r="D416" s="236">
        <f t="shared" si="18"/>
        <v>19040</v>
      </c>
      <c r="E416" s="236">
        <v>19040</v>
      </c>
      <c r="F416" s="236"/>
      <c r="G416" s="240"/>
      <c r="H416" s="228"/>
      <c r="I416" s="256" t="s">
        <v>368</v>
      </c>
      <c r="J416" s="236"/>
      <c r="K416" s="236"/>
      <c r="L416" s="236">
        <v>0</v>
      </c>
      <c r="M416" s="236"/>
      <c r="N416" s="236"/>
      <c r="O416" s="236"/>
      <c r="P416" s="236">
        <f t="shared" si="16"/>
        <v>0</v>
      </c>
      <c r="Q416" s="256"/>
      <c r="R416" s="228" t="s">
        <v>462</v>
      </c>
    </row>
    <row r="417" spans="1:18" x14ac:dyDescent="0.3">
      <c r="A417" s="233" t="s">
        <v>350</v>
      </c>
      <c r="B417" s="236" t="s">
        <v>711</v>
      </c>
      <c r="C417" s="236"/>
      <c r="D417" s="236">
        <f t="shared" si="18"/>
        <v>288262.45</v>
      </c>
      <c r="E417" s="236">
        <v>288262.45</v>
      </c>
      <c r="F417" s="236"/>
      <c r="G417" s="240"/>
      <c r="H417" s="228"/>
      <c r="I417" s="256" t="s">
        <v>368</v>
      </c>
      <c r="J417" s="236"/>
      <c r="K417" s="236"/>
      <c r="L417" s="236"/>
      <c r="M417" s="236"/>
      <c r="N417" s="236"/>
      <c r="O417" s="236"/>
      <c r="P417" s="236">
        <f t="shared" si="16"/>
        <v>0</v>
      </c>
      <c r="Q417" s="256"/>
      <c r="R417" s="228" t="s">
        <v>462</v>
      </c>
    </row>
    <row r="418" spans="1:18" x14ac:dyDescent="0.3">
      <c r="A418" s="233" t="s">
        <v>350</v>
      </c>
      <c r="B418" s="236" t="s">
        <v>712</v>
      </c>
      <c r="C418" s="236"/>
      <c r="D418" s="236">
        <f t="shared" si="18"/>
        <v>7056</v>
      </c>
      <c r="E418" s="236">
        <v>7056</v>
      </c>
      <c r="F418" s="236"/>
      <c r="G418" s="240"/>
      <c r="H418" s="228"/>
      <c r="I418" s="256" t="s">
        <v>368</v>
      </c>
      <c r="J418" s="236"/>
      <c r="K418" s="236"/>
      <c r="L418" s="236"/>
      <c r="M418" s="236"/>
      <c r="N418" s="236"/>
      <c r="O418" s="236"/>
      <c r="P418" s="236">
        <f t="shared" si="16"/>
        <v>0</v>
      </c>
      <c r="Q418" s="256"/>
      <c r="R418" s="228" t="s">
        <v>462</v>
      </c>
    </row>
    <row r="419" spans="1:18" x14ac:dyDescent="0.3">
      <c r="A419" s="233" t="s">
        <v>350</v>
      </c>
      <c r="B419" s="236" t="s">
        <v>713</v>
      </c>
      <c r="C419" s="236"/>
      <c r="D419" s="236">
        <f t="shared" si="18"/>
        <v>13100</v>
      </c>
      <c r="E419" s="236">
        <v>13100</v>
      </c>
      <c r="F419" s="236"/>
      <c r="G419" s="240"/>
      <c r="H419" s="228"/>
      <c r="I419" s="256" t="s">
        <v>368</v>
      </c>
      <c r="J419" s="236"/>
      <c r="K419" s="236"/>
      <c r="L419" s="236"/>
      <c r="M419" s="236"/>
      <c r="N419" s="236"/>
      <c r="O419" s="236"/>
      <c r="P419" s="236">
        <f t="shared" si="16"/>
        <v>0</v>
      </c>
      <c r="Q419" s="256"/>
      <c r="R419" s="228" t="s">
        <v>462</v>
      </c>
    </row>
    <row r="420" spans="1:18" x14ac:dyDescent="0.3">
      <c r="A420" s="233" t="s">
        <v>350</v>
      </c>
      <c r="B420" s="236" t="s">
        <v>714</v>
      </c>
      <c r="C420" s="236"/>
      <c r="D420" s="236">
        <f t="shared" si="18"/>
        <v>7500</v>
      </c>
      <c r="E420" s="236">
        <v>7500</v>
      </c>
      <c r="F420" s="236"/>
      <c r="G420" s="240"/>
      <c r="H420" s="228"/>
      <c r="I420" s="256" t="s">
        <v>368</v>
      </c>
      <c r="J420" s="236"/>
      <c r="K420" s="236"/>
      <c r="L420" s="236"/>
      <c r="M420" s="236"/>
      <c r="N420" s="236"/>
      <c r="O420" s="236"/>
      <c r="P420" s="236">
        <f t="shared" si="16"/>
        <v>0</v>
      </c>
      <c r="Q420" s="256"/>
      <c r="R420" s="228" t="s">
        <v>462</v>
      </c>
    </row>
    <row r="421" spans="1:18" x14ac:dyDescent="0.3">
      <c r="A421" s="233" t="s">
        <v>357</v>
      </c>
      <c r="B421" s="236" t="s">
        <v>553</v>
      </c>
      <c r="C421" s="236"/>
      <c r="D421" s="236">
        <f t="shared" si="18"/>
        <v>38416.400000000001</v>
      </c>
      <c r="E421" s="236">
        <v>38416.400000000001</v>
      </c>
      <c r="F421" s="236"/>
      <c r="G421" s="240"/>
      <c r="H421" s="228"/>
      <c r="I421" s="256" t="s">
        <v>368</v>
      </c>
      <c r="J421" s="236"/>
      <c r="K421" s="236"/>
      <c r="L421" s="236"/>
      <c r="M421" s="236"/>
      <c r="N421" s="236"/>
      <c r="O421" s="236"/>
      <c r="P421" s="236">
        <f t="shared" si="16"/>
        <v>0</v>
      </c>
      <c r="Q421" s="260"/>
      <c r="R421" s="228" t="s">
        <v>462</v>
      </c>
    </row>
    <row r="422" spans="1:18" x14ac:dyDescent="0.3">
      <c r="A422" s="233" t="s">
        <v>357</v>
      </c>
      <c r="B422" s="236" t="s">
        <v>715</v>
      </c>
      <c r="C422" s="236"/>
      <c r="D422" s="236">
        <f t="shared" si="18"/>
        <v>5000</v>
      </c>
      <c r="E422" s="236">
        <v>5000</v>
      </c>
      <c r="F422" s="236"/>
      <c r="G422" s="240"/>
      <c r="H422" s="228"/>
      <c r="I422" s="256" t="s">
        <v>368</v>
      </c>
      <c r="J422" s="236">
        <v>0</v>
      </c>
      <c r="K422" s="236"/>
      <c r="L422" s="236"/>
      <c r="M422" s="236"/>
      <c r="N422" s="236"/>
      <c r="O422" s="236"/>
      <c r="P422" s="236">
        <f t="shared" si="16"/>
        <v>0</v>
      </c>
      <c r="Q422" s="260"/>
      <c r="R422" s="228" t="s">
        <v>462</v>
      </c>
    </row>
    <row r="423" spans="1:18" x14ac:dyDescent="0.3">
      <c r="A423" s="233" t="s">
        <v>357</v>
      </c>
      <c r="B423" s="236" t="s">
        <v>716</v>
      </c>
      <c r="C423" s="236"/>
      <c r="D423" s="236">
        <f t="shared" si="18"/>
        <v>31350</v>
      </c>
      <c r="E423" s="236">
        <v>31350</v>
      </c>
      <c r="F423" s="236"/>
      <c r="G423" s="240"/>
      <c r="H423" s="228"/>
      <c r="I423" s="256" t="s">
        <v>368</v>
      </c>
      <c r="J423" s="236"/>
      <c r="K423" s="236">
        <v>0</v>
      </c>
      <c r="L423" s="236"/>
      <c r="M423" s="236"/>
      <c r="N423" s="236"/>
      <c r="O423" s="236"/>
      <c r="P423" s="236">
        <f t="shared" si="16"/>
        <v>0</v>
      </c>
      <c r="Q423" s="260"/>
      <c r="R423" s="228" t="s">
        <v>462</v>
      </c>
    </row>
    <row r="424" spans="1:18" x14ac:dyDescent="0.3">
      <c r="A424" s="233" t="s">
        <v>353</v>
      </c>
      <c r="B424" s="236" t="s">
        <v>717</v>
      </c>
      <c r="C424" s="236"/>
      <c r="D424" s="236">
        <f t="shared" si="18"/>
        <v>109089</v>
      </c>
      <c r="E424" s="236">
        <v>109089</v>
      </c>
      <c r="F424" s="236"/>
      <c r="G424" s="240"/>
      <c r="H424" s="228"/>
      <c r="I424" s="256" t="s">
        <v>368</v>
      </c>
      <c r="J424" s="236"/>
      <c r="K424" s="236"/>
      <c r="L424" s="236"/>
      <c r="M424" s="236"/>
      <c r="N424" s="236"/>
      <c r="O424" s="236"/>
      <c r="P424" s="236">
        <f t="shared" si="16"/>
        <v>0</v>
      </c>
      <c r="Q424" s="260"/>
      <c r="R424" s="228" t="s">
        <v>449</v>
      </c>
    </row>
    <row r="425" spans="1:18" x14ac:dyDescent="0.3">
      <c r="A425" s="233" t="s">
        <v>353</v>
      </c>
      <c r="B425" s="236" t="s">
        <v>718</v>
      </c>
      <c r="C425" s="236"/>
      <c r="D425" s="236">
        <f t="shared" si="18"/>
        <v>4739.7</v>
      </c>
      <c r="E425" s="236">
        <v>4739.7</v>
      </c>
      <c r="F425" s="236"/>
      <c r="G425" s="240"/>
      <c r="H425" s="228"/>
      <c r="I425" s="256" t="s">
        <v>368</v>
      </c>
      <c r="J425" s="236"/>
      <c r="K425" s="236"/>
      <c r="L425" s="236"/>
      <c r="M425" s="236"/>
      <c r="N425" s="236"/>
      <c r="O425" s="236"/>
      <c r="P425" s="236">
        <f t="shared" si="16"/>
        <v>0</v>
      </c>
      <c r="Q425" s="260"/>
      <c r="R425" s="228" t="s">
        <v>449</v>
      </c>
    </row>
    <row r="426" spans="1:18" x14ac:dyDescent="0.3">
      <c r="A426" s="241" t="s">
        <v>344</v>
      </c>
      <c r="B426" s="236" t="s">
        <v>719</v>
      </c>
      <c r="C426" s="236"/>
      <c r="D426" s="236">
        <f t="shared" si="18"/>
        <v>4614.84</v>
      </c>
      <c r="E426" s="236">
        <v>4614.84</v>
      </c>
      <c r="F426" s="236"/>
      <c r="G426" s="240" t="s">
        <v>346</v>
      </c>
      <c r="H426" s="228"/>
      <c r="I426" s="256" t="s">
        <v>368</v>
      </c>
      <c r="J426" s="236"/>
      <c r="K426" s="236"/>
      <c r="L426" s="236"/>
      <c r="M426" s="236"/>
      <c r="N426" s="236"/>
      <c r="O426" s="236"/>
      <c r="P426" s="236">
        <f t="shared" si="16"/>
        <v>0</v>
      </c>
      <c r="Q426" s="260"/>
      <c r="R426" s="251" t="s">
        <v>338</v>
      </c>
    </row>
    <row r="427" spans="1:18" x14ac:dyDescent="0.3">
      <c r="A427" s="241" t="s">
        <v>344</v>
      </c>
      <c r="B427" s="236" t="s">
        <v>720</v>
      </c>
      <c r="C427" s="236"/>
      <c r="D427" s="236">
        <f t="shared" si="18"/>
        <v>8000000</v>
      </c>
      <c r="E427" s="236">
        <v>8000000</v>
      </c>
      <c r="F427" s="236"/>
      <c r="G427" s="240" t="s">
        <v>340</v>
      </c>
      <c r="H427" s="251" t="s">
        <v>721</v>
      </c>
      <c r="I427" s="256" t="s">
        <v>352</v>
      </c>
      <c r="J427" s="236"/>
      <c r="K427" s="236"/>
      <c r="L427" s="236"/>
      <c r="M427" s="236"/>
      <c r="N427" s="236"/>
      <c r="O427" s="236"/>
      <c r="P427" s="236">
        <f t="shared" ref="P427:P434" si="19">F427-SUM(J427:O427)</f>
        <v>0</v>
      </c>
      <c r="Q427" s="260"/>
      <c r="R427" s="228" t="s">
        <v>338</v>
      </c>
    </row>
    <row r="428" spans="1:18" x14ac:dyDescent="0.3">
      <c r="A428" s="241" t="s">
        <v>344</v>
      </c>
      <c r="B428" s="236" t="s">
        <v>720</v>
      </c>
      <c r="C428" s="236"/>
      <c r="D428" s="236">
        <f t="shared" si="18"/>
        <v>13000000</v>
      </c>
      <c r="E428" s="236">
        <v>13000000</v>
      </c>
      <c r="F428" s="236"/>
      <c r="G428" s="240" t="s">
        <v>340</v>
      </c>
      <c r="H428" s="251" t="s">
        <v>721</v>
      </c>
      <c r="I428" s="256" t="s">
        <v>352</v>
      </c>
      <c r="J428" s="236"/>
      <c r="K428" s="236"/>
      <c r="L428" s="236"/>
      <c r="M428" s="236"/>
      <c r="N428" s="236"/>
      <c r="O428" s="236"/>
      <c r="P428" s="236">
        <f t="shared" si="19"/>
        <v>0</v>
      </c>
      <c r="Q428" s="260"/>
      <c r="R428" s="228" t="s">
        <v>338</v>
      </c>
    </row>
    <row r="429" spans="1:18" x14ac:dyDescent="0.3">
      <c r="A429" s="241" t="s">
        <v>344</v>
      </c>
      <c r="B429" s="236" t="s">
        <v>722</v>
      </c>
      <c r="C429" s="236"/>
      <c r="D429" s="236">
        <f t="shared" si="18"/>
        <v>1044100</v>
      </c>
      <c r="E429" s="236">
        <v>1044100</v>
      </c>
      <c r="F429" s="236"/>
      <c r="G429" s="240" t="s">
        <v>346</v>
      </c>
      <c r="H429" s="228"/>
      <c r="I429" s="256" t="s">
        <v>337</v>
      </c>
      <c r="J429" s="236"/>
      <c r="K429" s="236"/>
      <c r="L429" s="236"/>
      <c r="M429" s="236"/>
      <c r="N429" s="236"/>
      <c r="O429" s="236"/>
      <c r="P429" s="236">
        <f t="shared" si="19"/>
        <v>0</v>
      </c>
      <c r="Q429" s="260"/>
      <c r="R429" s="251" t="s">
        <v>338</v>
      </c>
    </row>
    <row r="430" spans="1:18" x14ac:dyDescent="0.3">
      <c r="A430" s="241" t="s">
        <v>344</v>
      </c>
      <c r="B430" s="236" t="s">
        <v>723</v>
      </c>
      <c r="C430" s="236"/>
      <c r="D430" s="236">
        <f t="shared" si="18"/>
        <v>1250000</v>
      </c>
      <c r="E430" s="236">
        <v>1250000</v>
      </c>
      <c r="F430" s="236"/>
      <c r="G430" s="240" t="s">
        <v>346</v>
      </c>
      <c r="H430" s="228"/>
      <c r="I430" s="256" t="s">
        <v>337</v>
      </c>
      <c r="J430" s="236"/>
      <c r="K430" s="236"/>
      <c r="L430" s="236"/>
      <c r="M430" s="236"/>
      <c r="N430" s="236"/>
      <c r="O430" s="236"/>
      <c r="P430" s="236">
        <f t="shared" si="19"/>
        <v>0</v>
      </c>
      <c r="Q430" s="260"/>
      <c r="R430" s="251" t="s">
        <v>338</v>
      </c>
    </row>
    <row r="431" spans="1:18" x14ac:dyDescent="0.3">
      <c r="A431" s="241" t="s">
        <v>344</v>
      </c>
      <c r="B431" s="236" t="s">
        <v>724</v>
      </c>
      <c r="C431" s="236"/>
      <c r="D431" s="236">
        <f t="shared" si="18"/>
        <v>12000</v>
      </c>
      <c r="E431" s="236">
        <v>12000</v>
      </c>
      <c r="F431" s="236"/>
      <c r="G431" s="240" t="s">
        <v>346</v>
      </c>
      <c r="H431" s="228"/>
      <c r="I431" s="256" t="s">
        <v>368</v>
      </c>
      <c r="J431" s="236"/>
      <c r="K431" s="236"/>
      <c r="L431" s="236"/>
      <c r="M431" s="236"/>
      <c r="N431" s="236"/>
      <c r="O431" s="236"/>
      <c r="P431" s="236">
        <f t="shared" si="19"/>
        <v>0</v>
      </c>
      <c r="Q431" s="260"/>
      <c r="R431" s="251" t="s">
        <v>338</v>
      </c>
    </row>
    <row r="432" spans="1:18" x14ac:dyDescent="0.3">
      <c r="A432" s="241" t="s">
        <v>344</v>
      </c>
      <c r="B432" s="236" t="s">
        <v>725</v>
      </c>
      <c r="C432" s="236"/>
      <c r="D432" s="236">
        <f t="shared" si="18"/>
        <v>828</v>
      </c>
      <c r="E432" s="236">
        <v>828</v>
      </c>
      <c r="F432" s="236"/>
      <c r="G432" s="240" t="s">
        <v>346</v>
      </c>
      <c r="H432" s="228"/>
      <c r="I432" s="256" t="s">
        <v>368</v>
      </c>
      <c r="J432" s="236"/>
      <c r="K432" s="236"/>
      <c r="L432" s="236"/>
      <c r="M432" s="236"/>
      <c r="N432" s="236"/>
      <c r="O432" s="236"/>
      <c r="P432" s="236">
        <f t="shared" si="19"/>
        <v>0</v>
      </c>
      <c r="Q432" s="260"/>
      <c r="R432" s="251" t="s">
        <v>338</v>
      </c>
    </row>
    <row r="433" spans="1:18" x14ac:dyDescent="0.3">
      <c r="A433" s="233" t="s">
        <v>334</v>
      </c>
      <c r="B433" s="234" t="s">
        <v>726</v>
      </c>
      <c r="C433" s="234"/>
      <c r="D433" s="236">
        <v>0</v>
      </c>
      <c r="E433" s="237"/>
      <c r="F433" s="237"/>
      <c r="G433" s="238"/>
      <c r="H433" s="228"/>
      <c r="I433" s="256" t="s">
        <v>337</v>
      </c>
      <c r="J433" s="237"/>
      <c r="K433" s="237"/>
      <c r="L433" s="237"/>
      <c r="M433" s="237"/>
      <c r="N433" s="237"/>
      <c r="O433" s="237"/>
      <c r="P433" s="236">
        <f t="shared" si="19"/>
        <v>0</v>
      </c>
      <c r="Q433" s="260"/>
      <c r="R433" s="228"/>
    </row>
    <row r="434" spans="1:18" hidden="1" x14ac:dyDescent="0.3">
      <c r="A434" s="233" t="s">
        <v>334</v>
      </c>
      <c r="B434" s="234" t="s">
        <v>727</v>
      </c>
      <c r="C434" s="234"/>
      <c r="D434" s="236">
        <v>0</v>
      </c>
      <c r="E434" s="237"/>
      <c r="F434" s="237"/>
      <c r="G434" s="240" t="s">
        <v>340</v>
      </c>
      <c r="H434" s="228" t="s">
        <v>341</v>
      </c>
      <c r="I434" s="256" t="s">
        <v>342</v>
      </c>
      <c r="J434" s="237"/>
      <c r="K434" s="237"/>
      <c r="L434" s="237"/>
      <c r="M434" s="237"/>
      <c r="N434" s="237"/>
      <c r="O434" s="237"/>
      <c r="P434" s="236">
        <f t="shared" si="19"/>
        <v>0</v>
      </c>
      <c r="Q434" s="260"/>
      <c r="R434" s="251" t="s">
        <v>338</v>
      </c>
    </row>
  </sheetData>
  <autoFilter ref="A1:R434" xr:uid="{00000000-0009-0000-0000-00000A000000}">
    <filterColumn colId="7">
      <filters blank="1">
        <filter val="关联方(合并范围外)"/>
        <filter val="关联方(合并范围外)-国"/>
        <filter val="未抵消的关联方"/>
      </filters>
    </filterColumn>
  </autoFilter>
  <phoneticPr fontId="41" type="noConversion"/>
  <dataValidations count="5">
    <dataValidation type="list" allowBlank="1" showInputMessage="1" showErrorMessage="1" sqref="A374 A14:A37 A275:A288 A308:A321 A341:A354 A377:A390 A410:A423" xr:uid="{00000000-0002-0000-0A00-000000000000}">
      <formula1>$A$1:$A$20</formula1>
    </dataValidation>
    <dataValidation type="list" allowBlank="1" showInputMessage="1" showErrorMessage="1" sqref="A1:A13 A38:A274 A289:A307 A322:A340 A355:A373 A375:A376 A391:A409 A424:A434" xr:uid="{00000000-0002-0000-0A00-000001000000}">
      <formula1>$A:$A</formula1>
    </dataValidation>
    <dataValidation type="list" allowBlank="1" showInputMessage="1" showErrorMessage="1" sqref="G2:G434" xr:uid="{00000000-0002-0000-0A00-000002000000}">
      <formula1>"是,否"</formula1>
    </dataValidation>
    <dataValidation type="list" allowBlank="1" showInputMessage="1" showErrorMessage="1" sqref="I2:I206 I208:I221 I223:I434" xr:uid="{00000000-0002-0000-0A00-000003000000}">
      <formula1>"关联方组合,政府组合,账龄组合,贷款组合"</formula1>
    </dataValidation>
    <dataValidation type="list" allowBlank="1" showInputMessage="1" showErrorMessage="1" sqref="Q203:Q239" xr:uid="{00000000-0002-0000-0A00-000004000000}">
      <formula1>$B$1:$B$20</formula1>
    </dataValidation>
  </dataValidation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18"/>
  <sheetViews>
    <sheetView workbookViewId="0">
      <selection activeCell="E12" sqref="E12"/>
    </sheetView>
  </sheetViews>
  <sheetFormatPr defaultColWidth="8.6640625" defaultRowHeight="12.75" x14ac:dyDescent="0.3"/>
  <cols>
    <col min="1" max="1" width="34" style="117" customWidth="1"/>
    <col min="2" max="2" width="20.6640625" style="117" customWidth="1"/>
    <col min="3" max="3" width="8.6640625" style="117"/>
    <col min="4" max="4" width="10" style="117" customWidth="1"/>
    <col min="5" max="5" width="11.3984375" style="117" customWidth="1"/>
    <col min="6" max="7" width="8.6640625" style="117"/>
    <col min="8" max="8" width="18.19921875" style="117" customWidth="1"/>
    <col min="9" max="16384" width="8.6640625" style="117"/>
  </cols>
  <sheetData>
    <row r="1" spans="1:12" x14ac:dyDescent="0.3">
      <c r="A1" s="116" t="s">
        <v>728</v>
      </c>
      <c r="B1" s="116" t="s">
        <v>729</v>
      </c>
      <c r="D1" s="117" t="s">
        <v>318</v>
      </c>
      <c r="H1" s="117" t="s">
        <v>5</v>
      </c>
      <c r="L1" s="117" t="s">
        <v>6</v>
      </c>
    </row>
    <row r="2" spans="1:12" x14ac:dyDescent="0.3">
      <c r="A2" s="117" t="s">
        <v>345</v>
      </c>
      <c r="B2" s="118">
        <v>358136.78</v>
      </c>
      <c r="C2" s="118">
        <f>B2/10000</f>
        <v>35.813678000000003</v>
      </c>
      <c r="D2" s="117" t="s">
        <v>336</v>
      </c>
      <c r="E2" s="161">
        <f>C2/$C$13</f>
        <v>6.9977537772781415E-2</v>
      </c>
      <c r="H2" s="118">
        <v>3710873454.98</v>
      </c>
      <c r="I2" s="118">
        <f>H2/100000000</f>
        <v>37.108734549799998</v>
      </c>
      <c r="J2" s="118">
        <f>C2-I2</f>
        <v>-1.2950565497999946</v>
      </c>
    </row>
    <row r="3" spans="1:12" x14ac:dyDescent="0.3">
      <c r="A3" s="117" t="s">
        <v>347</v>
      </c>
      <c r="B3" s="118">
        <v>147000</v>
      </c>
      <c r="C3" s="118">
        <f t="shared" ref="C3:C6" si="0">B3/10000</f>
        <v>14.7</v>
      </c>
      <c r="D3" s="117" t="s">
        <v>336</v>
      </c>
      <c r="E3" s="161">
        <f t="shared" ref="E3:E6" si="1">C3/$C$13</f>
        <v>2.8722819400450485E-2</v>
      </c>
      <c r="H3" s="118">
        <v>1270000000</v>
      </c>
      <c r="I3" s="118">
        <f t="shared" ref="I3:I6" si="2">H3/100000000</f>
        <v>12.7</v>
      </c>
      <c r="J3" s="118">
        <f t="shared" ref="J3:J6" si="3">C3-I3</f>
        <v>2</v>
      </c>
    </row>
    <row r="4" spans="1:12" x14ac:dyDescent="0.3">
      <c r="A4" s="117" t="s">
        <v>348</v>
      </c>
      <c r="B4" s="118">
        <v>121950</v>
      </c>
      <c r="C4" s="118">
        <f t="shared" si="0"/>
        <v>12.195</v>
      </c>
      <c r="D4" s="117" t="s">
        <v>336</v>
      </c>
      <c r="E4" s="161">
        <f t="shared" si="1"/>
        <v>2.382821650261862E-2</v>
      </c>
      <c r="H4" s="118">
        <v>1044900000</v>
      </c>
      <c r="I4" s="118">
        <f t="shared" si="2"/>
        <v>10.449</v>
      </c>
      <c r="J4" s="118">
        <f t="shared" si="3"/>
        <v>1.7460000000000004</v>
      </c>
    </row>
    <row r="5" spans="1:12" x14ac:dyDescent="0.3">
      <c r="A5" s="117" t="s">
        <v>359</v>
      </c>
      <c r="B5" s="118">
        <v>48285.33</v>
      </c>
      <c r="C5" s="118">
        <f t="shared" si="0"/>
        <v>4.8285330000000002</v>
      </c>
      <c r="D5" s="117" t="s">
        <v>336</v>
      </c>
      <c r="E5" s="161">
        <f t="shared" si="1"/>
        <v>9.4346313828649921E-3</v>
      </c>
      <c r="H5" s="118">
        <v>482853300</v>
      </c>
      <c r="I5" s="118">
        <f t="shared" si="2"/>
        <v>4.8285330000000002</v>
      </c>
      <c r="J5" s="118">
        <f t="shared" si="3"/>
        <v>0</v>
      </c>
    </row>
    <row r="6" spans="1:12" x14ac:dyDescent="0.3">
      <c r="A6" s="117" t="s">
        <v>730</v>
      </c>
      <c r="B6" s="118">
        <v>5300</v>
      </c>
      <c r="C6" s="118">
        <f t="shared" si="0"/>
        <v>0.53</v>
      </c>
      <c r="D6" s="117" t="s">
        <v>336</v>
      </c>
      <c r="E6" s="161">
        <f t="shared" si="1"/>
        <v>1.0355846450502556E-3</v>
      </c>
      <c r="H6" s="118">
        <v>384248436</v>
      </c>
      <c r="I6" s="118">
        <f t="shared" si="2"/>
        <v>3.8424843599999998</v>
      </c>
      <c r="J6" s="118">
        <f t="shared" si="3"/>
        <v>-3.31248436</v>
      </c>
    </row>
    <row r="7" spans="1:12" x14ac:dyDescent="0.3">
      <c r="B7" s="118">
        <f>SUM(B2:B6)</f>
        <v>680672.11</v>
      </c>
      <c r="C7" s="118">
        <f>SUM(C2:C6)</f>
        <v>68.067211</v>
      </c>
      <c r="E7" s="161">
        <f>SUM(E2:E6)</f>
        <v>0.13299878970376577</v>
      </c>
    </row>
    <row r="8" spans="1:12" x14ac:dyDescent="0.3">
      <c r="B8" s="118"/>
      <c r="C8" s="118"/>
    </row>
    <row r="9" spans="1:12" x14ac:dyDescent="0.3">
      <c r="B9" s="118"/>
      <c r="C9" s="118"/>
    </row>
    <row r="10" spans="1:12" x14ac:dyDescent="0.3">
      <c r="A10" s="117" t="s">
        <v>28</v>
      </c>
      <c r="B10" s="118">
        <v>819392.7</v>
      </c>
      <c r="C10" s="118">
        <f>B10/10000</f>
        <v>81.939269999999993</v>
      </c>
    </row>
    <row r="11" spans="1:12" x14ac:dyDescent="0.3">
      <c r="A11" s="117" t="s">
        <v>362</v>
      </c>
      <c r="B11" s="118"/>
      <c r="C11" s="118">
        <f>C10-68.39</f>
        <v>13.549269999999993</v>
      </c>
      <c r="D11" s="161">
        <f>C11/C10</f>
        <v>0.16535746535208323</v>
      </c>
      <c r="E11" s="161">
        <f>10000*C11/'合并-bs'!C45</f>
        <v>2.6474369742717111E-2</v>
      </c>
    </row>
    <row r="12" spans="1:12" x14ac:dyDescent="0.3">
      <c r="A12" s="117" t="s">
        <v>336</v>
      </c>
      <c r="B12" s="118"/>
      <c r="C12" s="118">
        <v>68.39</v>
      </c>
      <c r="D12" s="161">
        <f>C12/C10</f>
        <v>0.83464253464791671</v>
      </c>
      <c r="E12" s="161">
        <f>10000*C12/'合并-bs'!C45</f>
        <v>0.13362949787733394</v>
      </c>
    </row>
    <row r="13" spans="1:12" x14ac:dyDescent="0.3">
      <c r="A13" s="117" t="s">
        <v>731</v>
      </c>
      <c r="B13" s="118">
        <f>'合并-bs'!C45</f>
        <v>5117881.9861150002</v>
      </c>
      <c r="C13" s="118">
        <f>B13/10000</f>
        <v>511.78819861150004</v>
      </c>
    </row>
    <row r="18" spans="1:2" x14ac:dyDescent="0.3">
      <c r="A18" s="227">
        <v>44034.99</v>
      </c>
      <c r="B18" s="118">
        <f>A18/10000</f>
        <v>4.4034990000000001</v>
      </c>
    </row>
  </sheetData>
  <phoneticPr fontId="4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F14"/>
  <sheetViews>
    <sheetView zoomScale="84" zoomScaleNormal="84" workbookViewId="0">
      <selection activeCell="B3" sqref="B3"/>
    </sheetView>
  </sheetViews>
  <sheetFormatPr defaultColWidth="9" defaultRowHeight="13.5" x14ac:dyDescent="0.3"/>
  <cols>
    <col min="1" max="1" width="27.59765625" style="225" customWidth="1"/>
    <col min="2" max="2" width="17.1328125" style="225" customWidth="1"/>
    <col min="3" max="6" width="16.06640625" style="225" customWidth="1"/>
    <col min="7" max="16384" width="9" style="225"/>
  </cols>
  <sheetData>
    <row r="1" spans="1:6" x14ac:dyDescent="0.3">
      <c r="A1" s="424" t="s">
        <v>732</v>
      </c>
      <c r="B1" s="424"/>
      <c r="C1" s="424"/>
      <c r="D1" s="424"/>
      <c r="E1" s="424"/>
    </row>
    <row r="2" spans="1:6" x14ac:dyDescent="0.3">
      <c r="A2" s="225" t="s">
        <v>278</v>
      </c>
      <c r="B2" s="225" t="str">
        <f>首页!C2</f>
        <v>2024年9月末</v>
      </c>
      <c r="C2" s="225" t="str">
        <f>首页!D2</f>
        <v>2023年末</v>
      </c>
      <c r="D2" s="225" t="str">
        <f>首页!E2</f>
        <v>2022年末</v>
      </c>
      <c r="E2" s="225" t="str">
        <f>首页!F2</f>
        <v>2021年末</v>
      </c>
    </row>
    <row r="3" spans="1:6" x14ac:dyDescent="0.3">
      <c r="A3" s="225" t="s">
        <v>733</v>
      </c>
      <c r="B3" s="226">
        <f>'合并-bs'!B17</f>
        <v>2311989.3991630003</v>
      </c>
      <c r="C3" s="226">
        <f>'合并-bs'!C17</f>
        <v>2145512.2023439999</v>
      </c>
      <c r="D3" s="226">
        <f>'合并-bs'!D17</f>
        <v>2053662.3097470002</v>
      </c>
      <c r="E3" s="226">
        <f>'合并-bs'!E17</f>
        <v>1740721.796205</v>
      </c>
      <c r="F3" s="226">
        <f>'合并-bs'!F17</f>
        <v>1329122.7236559999</v>
      </c>
    </row>
    <row r="4" spans="1:6" x14ac:dyDescent="0.3">
      <c r="A4" s="225" t="s">
        <v>65</v>
      </c>
      <c r="B4" s="226"/>
      <c r="C4" s="226"/>
      <c r="D4" s="226"/>
      <c r="E4" s="226"/>
      <c r="F4" s="226"/>
    </row>
    <row r="5" spans="1:6" x14ac:dyDescent="0.3">
      <c r="A5" s="225" t="s">
        <v>64</v>
      </c>
      <c r="B5" s="226"/>
      <c r="C5" s="226"/>
      <c r="D5" s="226"/>
      <c r="E5" s="226"/>
      <c r="F5" s="226"/>
    </row>
    <row r="6" spans="1:6" x14ac:dyDescent="0.3">
      <c r="B6" s="226"/>
      <c r="C6" s="226"/>
      <c r="D6" s="226"/>
      <c r="E6" s="226"/>
      <c r="F6" s="226"/>
    </row>
    <row r="7" spans="1:6" x14ac:dyDescent="0.3">
      <c r="B7" s="226"/>
      <c r="C7" s="226"/>
      <c r="D7" s="226"/>
      <c r="E7" s="226"/>
      <c r="F7" s="226"/>
    </row>
    <row r="8" spans="1:6" x14ac:dyDescent="0.3">
      <c r="B8" s="226"/>
      <c r="C8" s="226"/>
      <c r="D8" s="226"/>
      <c r="E8" s="226"/>
      <c r="F8" s="226"/>
    </row>
    <row r="9" spans="1:6" x14ac:dyDescent="0.3">
      <c r="B9" s="226" t="str">
        <f>首页!C3</f>
        <v>2024年1-9月</v>
      </c>
      <c r="C9" s="226" t="str">
        <f>首页!D3</f>
        <v>2023年度</v>
      </c>
      <c r="D9" s="226" t="str">
        <f>首页!E3</f>
        <v>2022年度</v>
      </c>
      <c r="E9" s="226" t="str">
        <f>首页!F3</f>
        <v>2021年度</v>
      </c>
    </row>
    <row r="10" spans="1:6" x14ac:dyDescent="0.3">
      <c r="A10" s="225" t="s">
        <v>734</v>
      </c>
      <c r="B10" s="226">
        <f>B3-C3</f>
        <v>166477.19681900041</v>
      </c>
      <c r="C10" s="226">
        <f>C3-D3</f>
        <v>91849.892596999649</v>
      </c>
      <c r="D10" s="226">
        <f t="shared" ref="D10:E10" si="0">D3-E3</f>
        <v>312940.5135420002</v>
      </c>
      <c r="E10" s="226">
        <f t="shared" si="0"/>
        <v>411599.07254900015</v>
      </c>
    </row>
    <row r="11" spans="1:6" x14ac:dyDescent="0.3">
      <c r="B11" s="226">
        <f>B10+'合并-is'!B9</f>
        <v>279500.22362500039</v>
      </c>
      <c r="C11" s="226">
        <f>C10+'合并-is'!C9</f>
        <v>391285.38460499962</v>
      </c>
      <c r="D11" s="226">
        <f>D10+'合并-is'!D9</f>
        <v>666860.7128590002</v>
      </c>
      <c r="E11" s="226">
        <f>E10+'合并-is'!E9</f>
        <v>657673.9780720002</v>
      </c>
    </row>
    <row r="12" spans="1:6" x14ac:dyDescent="0.3">
      <c r="B12" s="226"/>
      <c r="C12" s="226"/>
      <c r="D12" s="226"/>
      <c r="E12" s="226"/>
    </row>
    <row r="13" spans="1:6" x14ac:dyDescent="0.3">
      <c r="B13" s="226"/>
      <c r="C13" s="226"/>
      <c r="D13" s="226"/>
      <c r="E13" s="226"/>
    </row>
    <row r="14" spans="1:6" x14ac:dyDescent="0.3">
      <c r="A14" s="225" t="s">
        <v>735</v>
      </c>
      <c r="B14" s="226">
        <f>'合并-cf'!B64</f>
        <v>0</v>
      </c>
      <c r="C14" s="226">
        <f>'合并-cf'!C64</f>
        <v>-31026.057031</v>
      </c>
      <c r="D14" s="226">
        <f>'合并-cf'!D64</f>
        <v>-252617.16130799998</v>
      </c>
      <c r="E14" s="226">
        <f>'合并-cf'!E64</f>
        <v>-335087.409209</v>
      </c>
    </row>
  </sheetData>
  <mergeCells count="1">
    <mergeCell ref="A1:E1"/>
  </mergeCells>
  <phoneticPr fontId="4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7"/>
  <sheetViews>
    <sheetView workbookViewId="0">
      <selection activeCell="A13" sqref="A13"/>
    </sheetView>
  </sheetViews>
  <sheetFormatPr defaultColWidth="9" defaultRowHeight="13.5" x14ac:dyDescent="0.3"/>
  <cols>
    <col min="1" max="1" width="28.06640625" customWidth="1"/>
    <col min="2" max="2" width="18.06640625" customWidth="1"/>
  </cols>
  <sheetData>
    <row r="1" spans="1:2" x14ac:dyDescent="0.3">
      <c r="A1" s="216" t="s">
        <v>278</v>
      </c>
      <c r="B1" s="217" t="str">
        <f>'合并-bs'!C2</f>
        <v>2023年末</v>
      </c>
    </row>
    <row r="2" spans="1:2" x14ac:dyDescent="0.3">
      <c r="A2" s="218" t="s">
        <v>22</v>
      </c>
      <c r="B2" s="219">
        <f>'合并-bs'!C9</f>
        <v>178400.82842500001</v>
      </c>
    </row>
    <row r="3" spans="1:2" x14ac:dyDescent="0.3">
      <c r="A3" s="220" t="s">
        <v>736</v>
      </c>
      <c r="B3" s="221">
        <f>'合并-bs'!C9-'合并-bs'!D9</f>
        <v>90104.416207000017</v>
      </c>
    </row>
    <row r="4" spans="1:2" x14ac:dyDescent="0.3">
      <c r="A4" s="220" t="s">
        <v>278</v>
      </c>
      <c r="B4" s="222" t="str">
        <f>'合并-is'!C2</f>
        <v>2023年度</v>
      </c>
    </row>
    <row r="5" spans="1:2" x14ac:dyDescent="0.3">
      <c r="A5" s="218" t="s">
        <v>737</v>
      </c>
      <c r="B5" s="219">
        <f>'合并-is'!C4</f>
        <v>304366.00656999997</v>
      </c>
    </row>
    <row r="6" spans="1:2" x14ac:dyDescent="0.3">
      <c r="A6" s="218" t="s">
        <v>187</v>
      </c>
      <c r="B6" s="219">
        <f>'合并-cf'!C4</f>
        <v>232460.63074299999</v>
      </c>
    </row>
    <row r="7" spans="1:2" x14ac:dyDescent="0.3">
      <c r="A7" s="223" t="s">
        <v>738</v>
      </c>
      <c r="B7" s="224">
        <f>B5-B6</f>
        <v>71905.375826999982</v>
      </c>
    </row>
  </sheetData>
  <phoneticPr fontId="4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K52"/>
  <sheetViews>
    <sheetView zoomScale="130" zoomScaleNormal="130" workbookViewId="0">
      <selection activeCell="B47" sqref="B47:E52"/>
    </sheetView>
  </sheetViews>
  <sheetFormatPr defaultColWidth="9" defaultRowHeight="12.75" x14ac:dyDescent="0.3"/>
  <cols>
    <col min="1" max="1" width="28.6640625" style="24" customWidth="1"/>
    <col min="2" max="2" width="26.6640625" style="24" customWidth="1"/>
    <col min="3" max="3" width="24.46484375" style="24" customWidth="1"/>
    <col min="4" max="6" width="16.06640625" style="24" customWidth="1"/>
    <col min="7" max="7" width="17.1328125" style="24" customWidth="1"/>
    <col min="8" max="8" width="9" style="24"/>
    <col min="9" max="9" width="12.53125" style="24" customWidth="1"/>
    <col min="10" max="10" width="9" style="24"/>
    <col min="11" max="11" width="10.46484375" style="24" customWidth="1"/>
    <col min="12" max="16384" width="9" style="24"/>
  </cols>
  <sheetData>
    <row r="1" spans="1:11" ht="29.25" customHeight="1" x14ac:dyDescent="0.3">
      <c r="A1" s="425" t="s">
        <v>739</v>
      </c>
      <c r="B1" s="425"/>
      <c r="C1" s="425"/>
      <c r="D1" s="425"/>
      <c r="E1" s="425"/>
      <c r="F1" s="425"/>
      <c r="G1" s="425"/>
    </row>
    <row r="2" spans="1:11" x14ac:dyDescent="0.3">
      <c r="A2" s="28"/>
      <c r="B2" s="28" t="s">
        <v>278</v>
      </c>
      <c r="C2" s="28"/>
      <c r="D2" s="28" t="str">
        <f>'有息-期限结构'!B2</f>
        <v>2024年9月末</v>
      </c>
      <c r="E2" s="28"/>
      <c r="F2" s="28" t="str">
        <f>'有息-期限结构'!D2</f>
        <v>2023年末</v>
      </c>
      <c r="G2" s="28" t="s">
        <v>740</v>
      </c>
    </row>
    <row r="3" spans="1:11" x14ac:dyDescent="0.3">
      <c r="A3" s="432" t="s">
        <v>741</v>
      </c>
      <c r="B3" s="31" t="str">
        <f>'有息-期限结构'!A4</f>
        <v>短期借款</v>
      </c>
      <c r="C3" s="31"/>
      <c r="D3" s="34">
        <f>'有息-期限结构'!B4</f>
        <v>328258.53939499997</v>
      </c>
      <c r="E3" s="34"/>
      <c r="F3" s="34">
        <f>'有息-期限结构'!D4</f>
        <v>286684.63133200002</v>
      </c>
      <c r="G3" s="34">
        <f>D3-F3</f>
        <v>41573.908062999952</v>
      </c>
    </row>
    <row r="4" spans="1:11" x14ac:dyDescent="0.3">
      <c r="A4" s="432"/>
      <c r="B4" s="31" t="str">
        <f>'有息-期限结构'!A6</f>
        <v>一年内到期非流动负债</v>
      </c>
      <c r="C4" s="31"/>
      <c r="D4" s="34">
        <f>'有息-期限结构'!B6</f>
        <v>772420.26084499992</v>
      </c>
      <c r="E4" s="34"/>
      <c r="F4" s="34">
        <f>'有息-期限结构'!D6</f>
        <v>882339.84503600001</v>
      </c>
      <c r="G4" s="34">
        <f t="shared" ref="G4:G10" si="0">D4-F4</f>
        <v>-109919.58419100009</v>
      </c>
    </row>
    <row r="5" spans="1:11" x14ac:dyDescent="0.3">
      <c r="A5" s="432"/>
      <c r="B5" s="31" t="str">
        <f>'有息-期限结构'!A7</f>
        <v>长期借款</v>
      </c>
      <c r="C5" s="31"/>
      <c r="D5" s="34">
        <f>'有息-期限结构'!B7</f>
        <v>1157759.483004</v>
      </c>
      <c r="E5" s="34"/>
      <c r="F5" s="34">
        <f>'有息-期限结构'!D7</f>
        <v>921871.16391299991</v>
      </c>
      <c r="G5" s="34">
        <f t="shared" si="0"/>
        <v>235888.31909100013</v>
      </c>
    </row>
    <row r="6" spans="1:11" x14ac:dyDescent="0.3">
      <c r="A6" s="432"/>
      <c r="B6" s="31" t="str">
        <f>'有息-期限结构'!A8</f>
        <v>应付债券</v>
      </c>
      <c r="C6" s="31"/>
      <c r="D6" s="34">
        <f>'有息-期限结构'!B8</f>
        <v>180141.94301700001</v>
      </c>
      <c r="E6" s="34"/>
      <c r="F6" s="34">
        <f>'有息-期限结构'!D8</f>
        <v>443600.99190200004</v>
      </c>
      <c r="G6" s="34">
        <f t="shared" si="0"/>
        <v>-263459.04888500005</v>
      </c>
    </row>
    <row r="7" spans="1:11" x14ac:dyDescent="0.3">
      <c r="A7" s="432"/>
      <c r="B7" s="31" t="str">
        <f>'有息-期限结构'!A9</f>
        <v>长期应付款（有息部分）</v>
      </c>
      <c r="C7" s="31"/>
      <c r="D7" s="34">
        <f>'有息-期限结构'!B9</f>
        <v>0</v>
      </c>
      <c r="E7" s="34"/>
      <c r="F7" s="34">
        <f>'有息-期限结构'!D9</f>
        <v>0</v>
      </c>
      <c r="G7" s="34">
        <f t="shared" si="0"/>
        <v>0</v>
      </c>
    </row>
    <row r="8" spans="1:11" x14ac:dyDescent="0.3">
      <c r="A8" s="432"/>
      <c r="B8" s="31" t="str">
        <f>'有息-期限结构'!A10</f>
        <v>其他非流动负债</v>
      </c>
      <c r="C8" s="31"/>
      <c r="D8" s="34">
        <f>'有息-期限结构'!B10</f>
        <v>0</v>
      </c>
      <c r="E8" s="34"/>
      <c r="F8" s="34">
        <f>'有息-期限结构'!D10</f>
        <v>0</v>
      </c>
      <c r="G8" s="34">
        <f t="shared" si="0"/>
        <v>0</v>
      </c>
    </row>
    <row r="9" spans="1:11" x14ac:dyDescent="0.3">
      <c r="A9" s="432"/>
      <c r="B9" s="31" t="str">
        <f>'有息-期限结构'!A11</f>
        <v>其他流动负债(有息部分)-应付短期债券</v>
      </c>
      <c r="C9" s="31"/>
      <c r="D9" s="34">
        <f>'有息-期限结构'!B11</f>
        <v>541161.83429499995</v>
      </c>
      <c r="E9" s="34"/>
      <c r="F9" s="34">
        <f>'有息-期限结构'!D11</f>
        <v>291857.77127099998</v>
      </c>
      <c r="G9" s="34">
        <f t="shared" si="0"/>
        <v>249304.06302399997</v>
      </c>
    </row>
    <row r="10" spans="1:11" x14ac:dyDescent="0.3">
      <c r="A10" s="432"/>
      <c r="B10" s="28" t="str">
        <f>'有息-期限结构'!A12</f>
        <v>合计</v>
      </c>
      <c r="C10" s="28"/>
      <c r="D10" s="29">
        <f>'有息-期限结构'!B12</f>
        <v>2979742.0605559996</v>
      </c>
      <c r="E10" s="29"/>
      <c r="F10" s="29">
        <f>'有息-期限结构'!D12</f>
        <v>2826354.4034540001</v>
      </c>
      <c r="G10" s="29">
        <f t="shared" si="0"/>
        <v>153387.6571019995</v>
      </c>
      <c r="I10" s="214"/>
      <c r="K10" s="215"/>
    </row>
    <row r="11" spans="1:11" x14ac:dyDescent="0.3">
      <c r="A11" s="31"/>
      <c r="B11" s="28" t="s">
        <v>278</v>
      </c>
      <c r="C11" s="28"/>
      <c r="D11" s="426" t="str">
        <f>'合并-cf'!B2</f>
        <v>2024年1-9月</v>
      </c>
      <c r="E11" s="426"/>
      <c r="F11" s="426"/>
      <c r="G11" s="426"/>
    </row>
    <row r="12" spans="1:11" x14ac:dyDescent="0.3">
      <c r="A12" s="432" t="s">
        <v>742</v>
      </c>
      <c r="B12" s="31" t="str">
        <f>'合并-cf'!A31</f>
        <v>取得借款收到的现金</v>
      </c>
      <c r="C12" s="31"/>
      <c r="D12" s="427">
        <f>'合并-cf'!B31</f>
        <v>736480.188448</v>
      </c>
      <c r="E12" s="427"/>
      <c r="F12" s="427"/>
      <c r="G12" s="427"/>
    </row>
    <row r="13" spans="1:11" x14ac:dyDescent="0.3">
      <c r="A13" s="432"/>
      <c r="B13" s="31" t="str">
        <f>'合并-cf'!A32</f>
        <v xml:space="preserve">   发行债券收到的现金</v>
      </c>
      <c r="C13" s="31"/>
      <c r="D13" s="427">
        <f>'合并-cf'!B32</f>
        <v>598602.5177020001</v>
      </c>
      <c r="E13" s="427"/>
      <c r="F13" s="427"/>
      <c r="G13" s="427"/>
    </row>
    <row r="14" spans="1:11" x14ac:dyDescent="0.3">
      <c r="A14" s="432"/>
      <c r="B14" s="31" t="str">
        <f>'合并-cf'!A35</f>
        <v>偿还债务支付的现金</v>
      </c>
      <c r="C14" s="31"/>
      <c r="D14" s="427">
        <f>'合并-cf'!B35</f>
        <v>1180508.252717</v>
      </c>
      <c r="E14" s="427"/>
      <c r="F14" s="427"/>
      <c r="G14" s="427"/>
    </row>
    <row r="15" spans="1:11" x14ac:dyDescent="0.3">
      <c r="A15" s="432"/>
      <c r="B15" s="31" t="s">
        <v>743</v>
      </c>
      <c r="C15" s="211"/>
      <c r="D15" s="428"/>
      <c r="E15" s="429"/>
      <c r="F15" s="429"/>
      <c r="G15" s="430"/>
    </row>
    <row r="16" spans="1:11" x14ac:dyDescent="0.3">
      <c r="A16" s="432"/>
      <c r="B16" s="28" t="s">
        <v>744</v>
      </c>
      <c r="C16" s="28"/>
      <c r="D16" s="426">
        <f>D12+D13-D14-D15</f>
        <v>154574.45343300002</v>
      </c>
      <c r="E16" s="426"/>
      <c r="F16" s="431"/>
      <c r="G16" s="431"/>
    </row>
    <row r="17" spans="1:7" x14ac:dyDescent="0.3">
      <c r="D17" s="25"/>
      <c r="E17" s="25"/>
    </row>
    <row r="24" spans="1:7" x14ac:dyDescent="0.3">
      <c r="A24" s="425" t="s">
        <v>739</v>
      </c>
      <c r="B24" s="425"/>
      <c r="C24" s="425"/>
      <c r="D24" s="425"/>
      <c r="E24" s="425"/>
      <c r="F24" s="425"/>
      <c r="G24" s="425"/>
    </row>
    <row r="25" spans="1:7" x14ac:dyDescent="0.3">
      <c r="A25" s="28"/>
      <c r="B25" s="28" t="s">
        <v>278</v>
      </c>
      <c r="C25" s="28"/>
      <c r="D25" s="28" t="str">
        <f>首页!D3</f>
        <v>2023年度</v>
      </c>
      <c r="E25" s="28"/>
      <c r="F25" s="28" t="str">
        <f>首页!E3</f>
        <v>2022年度</v>
      </c>
      <c r="G25" s="28" t="s">
        <v>740</v>
      </c>
    </row>
    <row r="26" spans="1:7" x14ac:dyDescent="0.3">
      <c r="A26" s="432" t="s">
        <v>741</v>
      </c>
      <c r="B26" s="31" t="str">
        <f>B3</f>
        <v>短期借款</v>
      </c>
      <c r="C26" s="31"/>
      <c r="D26" s="34">
        <f>'EBITDA、总债务'!C12</f>
        <v>286684.63133200002</v>
      </c>
      <c r="E26" s="34"/>
      <c r="F26" s="34">
        <f>'EBITDA、总债务'!D12</f>
        <v>273787.01435300004</v>
      </c>
      <c r="G26" s="34">
        <f>D26-F26</f>
        <v>12897.616978999984</v>
      </c>
    </row>
    <row r="27" spans="1:7" x14ac:dyDescent="0.3">
      <c r="A27" s="432"/>
      <c r="B27" s="31" t="str">
        <f t="shared" ref="B27:B39" si="1">B4</f>
        <v>一年内到期非流动负债</v>
      </c>
      <c r="C27" s="31"/>
      <c r="D27" s="34">
        <f>'EBITDA、总债务'!C15</f>
        <v>882339.84503600001</v>
      </c>
      <c r="E27" s="34"/>
      <c r="F27" s="34">
        <f>'EBITDA、总债务'!D15</f>
        <v>429194.06271100004</v>
      </c>
      <c r="G27" s="34">
        <f t="shared" ref="G27:G33" si="2">D27-F27</f>
        <v>453145.78232499998</v>
      </c>
    </row>
    <row r="28" spans="1:7" x14ac:dyDescent="0.3">
      <c r="A28" s="432"/>
      <c r="B28" s="31" t="str">
        <f t="shared" si="1"/>
        <v>长期借款</v>
      </c>
      <c r="C28" s="31"/>
      <c r="D28" s="34">
        <f>'EBITDA、总债务'!C16</f>
        <v>921871.16391299991</v>
      </c>
      <c r="E28" s="34"/>
      <c r="F28" s="34">
        <f>'EBITDA、总债务'!D16</f>
        <v>787232.25028000004</v>
      </c>
      <c r="G28" s="34">
        <f t="shared" si="2"/>
        <v>134638.91363299987</v>
      </c>
    </row>
    <row r="29" spans="1:7" x14ac:dyDescent="0.3">
      <c r="A29" s="432"/>
      <c r="B29" s="31" t="str">
        <f t="shared" si="1"/>
        <v>应付债券</v>
      </c>
      <c r="C29" s="31"/>
      <c r="D29" s="34">
        <f>'EBITDA、总债务'!C17</f>
        <v>443600.99190200004</v>
      </c>
      <c r="E29" s="34"/>
      <c r="F29" s="34">
        <f>'EBITDA、总债务'!D17</f>
        <v>851342.51196000003</v>
      </c>
      <c r="G29" s="34">
        <f t="shared" si="2"/>
        <v>-407741.52005799999</v>
      </c>
    </row>
    <row r="30" spans="1:7" x14ac:dyDescent="0.3">
      <c r="A30" s="432"/>
      <c r="B30" s="31" t="str">
        <f t="shared" si="1"/>
        <v>长期应付款（有息部分）</v>
      </c>
      <c r="C30" s="31"/>
      <c r="D30" s="34">
        <f>'EBITDA、总债务'!C18</f>
        <v>0</v>
      </c>
      <c r="E30" s="34"/>
      <c r="F30" s="34">
        <f>'EBITDA、总债务'!D18</f>
        <v>169251.796072</v>
      </c>
      <c r="G30" s="34">
        <f t="shared" si="2"/>
        <v>-169251.796072</v>
      </c>
    </row>
    <row r="31" spans="1:7" x14ac:dyDescent="0.3">
      <c r="A31" s="432"/>
      <c r="B31" s="31" t="str">
        <f t="shared" si="1"/>
        <v>其他非流动负债</v>
      </c>
      <c r="C31" s="31"/>
      <c r="D31" s="34">
        <f>'EBITDA、总债务'!C19</f>
        <v>0</v>
      </c>
      <c r="E31" s="34"/>
      <c r="F31" s="34">
        <f>'EBITDA、总债务'!D19</f>
        <v>0</v>
      </c>
      <c r="G31" s="34">
        <f t="shared" si="2"/>
        <v>0</v>
      </c>
    </row>
    <row r="32" spans="1:7" x14ac:dyDescent="0.3">
      <c r="A32" s="432"/>
      <c r="B32" s="31" t="str">
        <f t="shared" si="1"/>
        <v>其他流动负债(有息部分)-应付短期债券</v>
      </c>
      <c r="C32" s="31"/>
      <c r="D32" s="34">
        <f>'EBITDA、总债务'!C20</f>
        <v>291857.77127099998</v>
      </c>
      <c r="E32" s="34"/>
      <c r="F32" s="34">
        <f>'EBITDA、总债务'!D20</f>
        <v>191936.04471400002</v>
      </c>
      <c r="G32" s="34">
        <f t="shared" si="2"/>
        <v>99921.726556999958</v>
      </c>
    </row>
    <row r="33" spans="1:7" x14ac:dyDescent="0.3">
      <c r="A33" s="432"/>
      <c r="B33" s="28" t="str">
        <f t="shared" si="1"/>
        <v>合计</v>
      </c>
      <c r="C33" s="28"/>
      <c r="D33" s="29">
        <f>SUM(D26:D32)</f>
        <v>2826354.4034540001</v>
      </c>
      <c r="E33" s="29"/>
      <c r="F33" s="29">
        <f>SUM(F26:F32)</f>
        <v>2702743.6800900004</v>
      </c>
      <c r="G33" s="29">
        <f t="shared" si="2"/>
        <v>123610.72336399974</v>
      </c>
    </row>
    <row r="34" spans="1:7" x14ac:dyDescent="0.3">
      <c r="A34" s="31"/>
      <c r="B34" s="28" t="str">
        <f t="shared" si="1"/>
        <v>项目</v>
      </c>
      <c r="C34" s="28"/>
      <c r="D34" s="426" t="str">
        <f>D25</f>
        <v>2023年度</v>
      </c>
      <c r="E34" s="426"/>
      <c r="F34" s="426"/>
      <c r="G34" s="426"/>
    </row>
    <row r="35" spans="1:7" x14ac:dyDescent="0.3">
      <c r="A35" s="432" t="s">
        <v>742</v>
      </c>
      <c r="B35" s="31" t="str">
        <f t="shared" si="1"/>
        <v>取得借款收到的现金</v>
      </c>
      <c r="C35" s="31"/>
      <c r="D35" s="427">
        <f>'合并-cf'!C31</f>
        <v>795383.74960800004</v>
      </c>
      <c r="E35" s="427"/>
      <c r="F35" s="427"/>
      <c r="G35" s="427"/>
    </row>
    <row r="36" spans="1:7" x14ac:dyDescent="0.3">
      <c r="A36" s="432"/>
      <c r="B36" s="31" t="str">
        <f t="shared" si="1"/>
        <v xml:space="preserve">   发行债券收到的现金</v>
      </c>
      <c r="C36" s="31"/>
      <c r="D36" s="427">
        <f>'合并-cf'!C32</f>
        <v>349000</v>
      </c>
      <c r="E36" s="427"/>
      <c r="F36" s="427"/>
      <c r="G36" s="427"/>
    </row>
    <row r="37" spans="1:7" x14ac:dyDescent="0.3">
      <c r="A37" s="432"/>
      <c r="B37" s="31" t="str">
        <f t="shared" si="1"/>
        <v>偿还债务支付的现金</v>
      </c>
      <c r="C37" s="31"/>
      <c r="D37" s="427">
        <f>'合并-cf'!C35</f>
        <v>955987.54034099996</v>
      </c>
      <c r="E37" s="427"/>
      <c r="F37" s="427"/>
      <c r="G37" s="427"/>
    </row>
    <row r="38" spans="1:7" x14ac:dyDescent="0.3">
      <c r="A38" s="432"/>
      <c r="B38" s="31" t="str">
        <f t="shared" si="1"/>
        <v>支付利息</v>
      </c>
      <c r="C38" s="211"/>
      <c r="D38" s="428"/>
      <c r="E38" s="429"/>
      <c r="F38" s="429"/>
      <c r="G38" s="430"/>
    </row>
    <row r="39" spans="1:7" x14ac:dyDescent="0.3">
      <c r="A39" s="432"/>
      <c r="B39" s="28" t="str">
        <f t="shared" si="1"/>
        <v>净额</v>
      </c>
      <c r="C39" s="28"/>
      <c r="D39" s="426">
        <f>D35+D36-D37-D38</f>
        <v>188396.20926700009</v>
      </c>
      <c r="E39" s="426"/>
      <c r="F39" s="431"/>
      <c r="G39" s="431"/>
    </row>
    <row r="43" spans="1:7" x14ac:dyDescent="0.3">
      <c r="A43" s="47" t="s">
        <v>745</v>
      </c>
      <c r="B43" s="52">
        <v>3450139.5327989999</v>
      </c>
      <c r="C43" s="52"/>
      <c r="D43" s="52">
        <v>3147445.590841</v>
      </c>
      <c r="E43" s="52"/>
      <c r="F43" s="52">
        <v>2779376.2269319999</v>
      </c>
    </row>
    <row r="44" spans="1:7" x14ac:dyDescent="0.3">
      <c r="B44" s="29">
        <v>2844649.8417759999</v>
      </c>
      <c r="C44" s="29"/>
      <c r="D44" s="29">
        <v>2533491.8840180002</v>
      </c>
      <c r="E44" s="82"/>
      <c r="F44" s="24">
        <v>2487379.3970340001</v>
      </c>
    </row>
    <row r="45" spans="1:7" x14ac:dyDescent="0.3">
      <c r="B45" s="212">
        <f>B44/B43</f>
        <v>0.82450283959043724</v>
      </c>
      <c r="C45" s="212"/>
      <c r="D45" s="212">
        <f>D44/D43</f>
        <v>0.80493587923820131</v>
      </c>
      <c r="E45" s="212"/>
      <c r="F45" s="212">
        <f>F44/F43</f>
        <v>0.89494159622271829</v>
      </c>
    </row>
    <row r="47" spans="1:7" x14ac:dyDescent="0.3">
      <c r="A47" s="31" t="s">
        <v>60</v>
      </c>
      <c r="B47" s="34">
        <v>244980.32119799999</v>
      </c>
      <c r="C47" s="213">
        <f t="shared" ref="C47:C52" si="3">B47/$D$10</f>
        <v>8.221527777216002E-2</v>
      </c>
      <c r="D47" s="34">
        <v>273787.01435299998</v>
      </c>
      <c r="E47" s="213">
        <f t="shared" ref="E47:E52" si="4">D47/$D$33</f>
        <v>9.6869314767607823E-2</v>
      </c>
      <c r="F47" s="34">
        <v>223595.36626000001</v>
      </c>
      <c r="G47" s="212">
        <f t="shared" ref="G47:G52" si="5">F47/$F$33</f>
        <v>8.2729031208965534E-2</v>
      </c>
    </row>
    <row r="48" spans="1:7" x14ac:dyDescent="0.3">
      <c r="A48" s="31" t="s">
        <v>310</v>
      </c>
      <c r="B48" s="34">
        <v>530752.204959</v>
      </c>
      <c r="C48" s="213">
        <f t="shared" si="3"/>
        <v>0.1781201842886915</v>
      </c>
      <c r="D48" s="34">
        <v>429194.06271099998</v>
      </c>
      <c r="E48" s="213">
        <f t="shared" si="4"/>
        <v>0.15185429760206123</v>
      </c>
      <c r="F48" s="34">
        <v>366739.71048100002</v>
      </c>
      <c r="G48" s="212">
        <f t="shared" si="5"/>
        <v>0.13569163557114958</v>
      </c>
    </row>
    <row r="49" spans="1:7" x14ac:dyDescent="0.3">
      <c r="A49" s="31" t="s">
        <v>312</v>
      </c>
      <c r="B49" s="34">
        <v>185466.01456000001</v>
      </c>
      <c r="C49" s="213">
        <f t="shared" si="3"/>
        <v>6.2242305136100712E-2</v>
      </c>
      <c r="D49" s="34">
        <v>191936.04471399999</v>
      </c>
      <c r="E49" s="213">
        <f t="shared" si="4"/>
        <v>6.7909404595347597E-2</v>
      </c>
      <c r="F49" s="34">
        <v>619261.78961500002</v>
      </c>
      <c r="G49" s="212">
        <f t="shared" si="5"/>
        <v>0.22912338827275652</v>
      </c>
    </row>
    <row r="50" spans="1:7" x14ac:dyDescent="0.3">
      <c r="A50" s="31" t="s">
        <v>77</v>
      </c>
      <c r="B50" s="24">
        <v>943880.67468199995</v>
      </c>
      <c r="C50" s="213">
        <f t="shared" si="3"/>
        <v>0.3167658996986733</v>
      </c>
      <c r="D50" s="24">
        <v>787232.25028000004</v>
      </c>
      <c r="E50" s="213">
        <f t="shared" si="4"/>
        <v>0.27853274497987512</v>
      </c>
      <c r="F50" s="34">
        <v>542280.72326700005</v>
      </c>
      <c r="G50" s="212">
        <f t="shared" si="5"/>
        <v>0.20064082556616775</v>
      </c>
    </row>
    <row r="51" spans="1:7" x14ac:dyDescent="0.3">
      <c r="A51" s="31" t="s">
        <v>78</v>
      </c>
      <c r="B51" s="24">
        <v>789512.91508299997</v>
      </c>
      <c r="C51" s="213">
        <f t="shared" si="3"/>
        <v>0.26496015394556743</v>
      </c>
      <c r="D51" s="24">
        <v>851342.51196000003</v>
      </c>
      <c r="E51" s="213">
        <f t="shared" si="4"/>
        <v>0.30121576788799054</v>
      </c>
      <c r="F51" s="34">
        <v>574034.50741099997</v>
      </c>
      <c r="G51" s="212">
        <f t="shared" si="5"/>
        <v>0.21238954756963296</v>
      </c>
    </row>
    <row r="52" spans="1:7" x14ac:dyDescent="0.3">
      <c r="A52" s="31" t="s">
        <v>311</v>
      </c>
      <c r="B52" s="34">
        <v>150057.71129400001</v>
      </c>
      <c r="C52" s="213">
        <f t="shared" si="3"/>
        <v>5.0359295618359751E-2</v>
      </c>
      <c r="D52" s="24">
        <v>0</v>
      </c>
      <c r="E52" s="213">
        <f t="shared" si="4"/>
        <v>0</v>
      </c>
      <c r="F52" s="34">
        <v>161467.29999999999</v>
      </c>
      <c r="G52" s="212">
        <f t="shared" si="5"/>
        <v>5.9741995213775947E-2</v>
      </c>
    </row>
  </sheetData>
  <mergeCells count="18">
    <mergeCell ref="D36:G36"/>
    <mergeCell ref="D37:G37"/>
    <mergeCell ref="D38:G38"/>
    <mergeCell ref="D39:G39"/>
    <mergeCell ref="A3:A10"/>
    <mergeCell ref="A12:A16"/>
    <mergeCell ref="A26:A33"/>
    <mergeCell ref="A35:A39"/>
    <mergeCell ref="D15:G15"/>
    <mergeCell ref="D16:G16"/>
    <mergeCell ref="A24:G24"/>
    <mergeCell ref="D34:G34"/>
    <mergeCell ref="D35:G35"/>
    <mergeCell ref="A1:G1"/>
    <mergeCell ref="D11:G11"/>
    <mergeCell ref="D12:G12"/>
    <mergeCell ref="D13:G13"/>
    <mergeCell ref="D14:G14"/>
  </mergeCells>
  <phoneticPr fontId="41" type="noConversion"/>
  <pageMargins left="0.7" right="0.7" top="0.75" bottom="0.75" header="0.3" footer="0.3"/>
  <pageSetup paperSize="9"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30"/>
  <sheetViews>
    <sheetView topLeftCell="A16" zoomScale="130" zoomScaleNormal="130" workbookViewId="0">
      <selection activeCell="B19" sqref="B19"/>
    </sheetView>
  </sheetViews>
  <sheetFormatPr defaultColWidth="9" defaultRowHeight="12.75" x14ac:dyDescent="0.3"/>
  <cols>
    <col min="1" max="1" width="27.9296875" style="68" customWidth="1"/>
    <col min="2" max="2" width="24.06640625" style="68" customWidth="1"/>
    <col min="3" max="5" width="18.46484375" style="68" customWidth="1"/>
    <col min="6" max="16384" width="9" style="68"/>
  </cols>
  <sheetData>
    <row r="1" spans="1:5" x14ac:dyDescent="0.3">
      <c r="A1" s="433" t="s">
        <v>746</v>
      </c>
      <c r="B1" s="433"/>
      <c r="C1" s="433"/>
      <c r="D1" s="433"/>
    </row>
    <row r="2" spans="1:5" x14ac:dyDescent="0.3">
      <c r="A2" s="28" t="s">
        <v>278</v>
      </c>
      <c r="B2" s="28" t="str">
        <f>首页!C2</f>
        <v>2024年9月末</v>
      </c>
      <c r="C2" s="28" t="str">
        <f>首页!D2</f>
        <v>2023年末</v>
      </c>
      <c r="D2" s="28" t="str">
        <f>首页!E2</f>
        <v>2022年末</v>
      </c>
      <c r="E2" s="28" t="str">
        <f>首页!F2</f>
        <v>2021年末</v>
      </c>
    </row>
    <row r="3" spans="1:5" x14ac:dyDescent="0.3">
      <c r="A3" s="31" t="str">
        <f>'合并-bs'!A4</f>
        <v>货币资金</v>
      </c>
      <c r="B3" s="70">
        <f>'合并-bs'!B4</f>
        <v>139814.43995299999</v>
      </c>
      <c r="C3" s="70">
        <f>'合并-bs'!C4</f>
        <v>158428.36535000001</v>
      </c>
      <c r="D3" s="70">
        <f>'合并-bs'!D4</f>
        <v>128601.72284500001</v>
      </c>
      <c r="E3" s="70">
        <f>'合并-bs'!E4</f>
        <v>383584.43414999999</v>
      </c>
    </row>
    <row r="4" spans="1:5" x14ac:dyDescent="0.3">
      <c r="A4" s="103" t="s">
        <v>747</v>
      </c>
      <c r="B4" s="209"/>
      <c r="C4" s="209"/>
      <c r="D4" s="209"/>
      <c r="E4" s="209"/>
    </row>
    <row r="5" spans="1:5" x14ac:dyDescent="0.3">
      <c r="A5" s="31" t="s">
        <v>748</v>
      </c>
      <c r="B5" s="70">
        <f>B3-B4</f>
        <v>139814.43995299999</v>
      </c>
      <c r="C5" s="70">
        <f t="shared" ref="C5:E5" si="0">C3-C4</f>
        <v>158428.36535000001</v>
      </c>
      <c r="D5" s="70">
        <f t="shared" si="0"/>
        <v>128601.72284500001</v>
      </c>
      <c r="E5" s="70">
        <f t="shared" si="0"/>
        <v>383584.43414999999</v>
      </c>
    </row>
    <row r="6" spans="1:5" x14ac:dyDescent="0.3">
      <c r="A6" s="28" t="s">
        <v>278</v>
      </c>
      <c r="B6" s="29" t="str">
        <f>首页!C3</f>
        <v>2024年1-9月</v>
      </c>
      <c r="C6" s="29" t="str">
        <f>首页!D3</f>
        <v>2023年度</v>
      </c>
      <c r="D6" s="29" t="str">
        <f>首页!E3</f>
        <v>2022年度</v>
      </c>
      <c r="E6" s="29" t="str">
        <f>首页!F3</f>
        <v>2021年度</v>
      </c>
    </row>
    <row r="7" spans="1:5" x14ac:dyDescent="0.3">
      <c r="A7" s="31" t="s">
        <v>749</v>
      </c>
      <c r="B7" s="70">
        <f>'合并-cf'!B44</f>
        <v>139814.50489499976</v>
      </c>
      <c r="C7" s="70">
        <f>'合并-cf'!C44</f>
        <v>158428.02048400012</v>
      </c>
      <c r="D7" s="70">
        <f>'合并-cf'!D44</f>
        <v>128601.47058400023</v>
      </c>
      <c r="E7" s="70">
        <f>'合并-cf'!E44</f>
        <v>369612.17961700034</v>
      </c>
    </row>
    <row r="8" spans="1:5" x14ac:dyDescent="0.3">
      <c r="A8" s="28" t="s">
        <v>738</v>
      </c>
      <c r="B8" s="72">
        <f>B5-B7</f>
        <v>-6.4941999764414504E-2</v>
      </c>
      <c r="C8" s="72">
        <f t="shared" ref="C8:E8" si="1">C5-C7</f>
        <v>0.34486599988304079</v>
      </c>
      <c r="D8" s="72">
        <f t="shared" si="1"/>
        <v>0.25226099978317507</v>
      </c>
      <c r="E8" s="72">
        <f t="shared" si="1"/>
        <v>13972.25453299965</v>
      </c>
    </row>
    <row r="10" spans="1:5" x14ac:dyDescent="0.3">
      <c r="A10" s="434" t="s">
        <v>750</v>
      </c>
      <c r="B10" s="434"/>
      <c r="C10" s="434"/>
      <c r="D10" s="434"/>
    </row>
    <row r="11" spans="1:5" x14ac:dyDescent="0.3">
      <c r="A11" s="28" t="s">
        <v>278</v>
      </c>
      <c r="B11" s="29" t="str">
        <f>首页!C3&amp;"/"&amp;首页!C2</f>
        <v>2024年1-9月/2024年9月末</v>
      </c>
      <c r="C11" s="29" t="str">
        <f>首页!D3&amp;"/"&amp;首页!D2</f>
        <v>2023年度/2023年末</v>
      </c>
      <c r="D11" s="29" t="str">
        <f>首页!E3&amp;"/"&amp;首页!E2</f>
        <v>2022年度/2022年末</v>
      </c>
      <c r="E11" s="29" t="str">
        <f>首页!F3&amp;"/"&amp;首页!F2</f>
        <v>2021年度/2021年末</v>
      </c>
    </row>
    <row r="12" spans="1:5" x14ac:dyDescent="0.3">
      <c r="A12" s="91" t="s">
        <v>298</v>
      </c>
      <c r="B12" s="34">
        <f>'合并-is'!B4</f>
        <v>105582.91987300001</v>
      </c>
      <c r="C12" s="34">
        <f>'合并-is'!C4</f>
        <v>304366.00656999997</v>
      </c>
      <c r="D12" s="34">
        <f>'合并-is'!D4</f>
        <v>362387.85451199999</v>
      </c>
      <c r="E12" s="34">
        <f>'合并-is'!E4</f>
        <v>253550.623742</v>
      </c>
    </row>
    <row r="13" spans="1:5" x14ac:dyDescent="0.3">
      <c r="A13" s="91" t="s">
        <v>751</v>
      </c>
      <c r="B13" s="206"/>
      <c r="C13" s="206"/>
      <c r="D13" s="206"/>
      <c r="E13" s="206"/>
    </row>
    <row r="14" spans="1:5" x14ac:dyDescent="0.3">
      <c r="A14" s="91" t="s">
        <v>752</v>
      </c>
      <c r="B14" s="34">
        <f>B12*1.05</f>
        <v>110862.06586665001</v>
      </c>
      <c r="C14" s="34">
        <f>C12*1.05</f>
        <v>319584.30689849996</v>
      </c>
      <c r="D14" s="34">
        <f>D12*1.05</f>
        <v>380507.24723759998</v>
      </c>
      <c r="E14" s="34">
        <f t="shared" ref="E14" si="2">E12*1.06</f>
        <v>268763.66116652003</v>
      </c>
    </row>
    <row r="15" spans="1:5" x14ac:dyDescent="0.3">
      <c r="A15" s="91" t="s">
        <v>753</v>
      </c>
      <c r="B15" s="34">
        <f>'合并-bs'!B9</f>
        <v>168301.83004600002</v>
      </c>
      <c r="C15" s="34">
        <f>'合并-bs'!C9</f>
        <v>178400.82842500001</v>
      </c>
      <c r="D15" s="34">
        <f>'合并-bs'!D9</f>
        <v>88296.412217999998</v>
      </c>
      <c r="E15" s="34">
        <f>'合并-bs'!E9</f>
        <v>11085.212508000001</v>
      </c>
    </row>
    <row r="16" spans="1:5" x14ac:dyDescent="0.3">
      <c r="A16" s="91" t="s">
        <v>754</v>
      </c>
      <c r="B16" s="34">
        <f>'合并-bs'!C9</f>
        <v>178400.82842500001</v>
      </c>
      <c r="C16" s="34">
        <f>'合并-bs'!D9</f>
        <v>88296.412217999998</v>
      </c>
      <c r="D16" s="34">
        <f>'合并-bs'!E9</f>
        <v>11085.212508000001</v>
      </c>
      <c r="E16" s="34">
        <f>'合并-bs'!F9</f>
        <v>4318.4892979999995</v>
      </c>
    </row>
    <row r="17" spans="1:5" x14ac:dyDescent="0.3">
      <c r="A17" s="91" t="s">
        <v>755</v>
      </c>
      <c r="B17" s="34">
        <f>'合并-bs'!B8</f>
        <v>0</v>
      </c>
      <c r="C17" s="34">
        <f>'合并-bs'!C8</f>
        <v>0</v>
      </c>
      <c r="D17" s="34">
        <f>'合并-bs'!D8</f>
        <v>0</v>
      </c>
      <c r="E17" s="34">
        <f>'合并-bs'!E8</f>
        <v>0</v>
      </c>
    </row>
    <row r="18" spans="1:5" x14ac:dyDescent="0.3">
      <c r="A18" s="91" t="s">
        <v>756</v>
      </c>
      <c r="B18" s="34">
        <f>'合并-bs'!C8</f>
        <v>0</v>
      </c>
      <c r="C18" s="34">
        <f>'合并-bs'!D8</f>
        <v>0</v>
      </c>
      <c r="D18" s="34">
        <f>'合并-bs'!E8</f>
        <v>0</v>
      </c>
      <c r="E18" s="34">
        <f>'合并-bs'!F8</f>
        <v>0</v>
      </c>
    </row>
    <row r="19" spans="1:5" x14ac:dyDescent="0.3">
      <c r="A19" s="91" t="s">
        <v>757</v>
      </c>
      <c r="B19" s="34">
        <f>'合并-bs'!B15</f>
        <v>982962.75423299999</v>
      </c>
      <c r="C19" s="34">
        <f>'合并-bs'!C15</f>
        <v>991421.02836399991</v>
      </c>
      <c r="D19" s="34">
        <f>'合并-bs'!D15</f>
        <v>819392.70420699997</v>
      </c>
      <c r="E19" s="34">
        <f>'合并-bs'!E15</f>
        <v>862315.52927499998</v>
      </c>
    </row>
    <row r="20" spans="1:5" x14ac:dyDescent="0.3">
      <c r="A20" s="91" t="s">
        <v>758</v>
      </c>
      <c r="B20" s="34">
        <f>'合并-bs'!C15</f>
        <v>991421.02836399991</v>
      </c>
      <c r="C20" s="34">
        <f>'合并-bs'!D15</f>
        <v>819392.70420699997</v>
      </c>
      <c r="D20" s="34">
        <f>'合并-bs'!E15</f>
        <v>862315.52927499998</v>
      </c>
      <c r="E20" s="34">
        <f>'合并-bs'!F15</f>
        <v>1291755.4054739999</v>
      </c>
    </row>
    <row r="21" spans="1:5" x14ac:dyDescent="0.3">
      <c r="A21" s="91" t="s">
        <v>759</v>
      </c>
      <c r="B21" s="34">
        <f>'合并-bs'!B53</f>
        <v>469.44040000000001</v>
      </c>
      <c r="C21" s="34">
        <f>'合并-bs'!C53</f>
        <v>520.80111399999998</v>
      </c>
      <c r="D21" s="34">
        <f>'合并-bs'!D53</f>
        <v>400.64884700000005</v>
      </c>
      <c r="E21" s="34">
        <f>'合并-bs'!E53</f>
        <v>366.00184200000001</v>
      </c>
    </row>
    <row r="22" spans="1:5" x14ac:dyDescent="0.3">
      <c r="A22" s="91" t="s">
        <v>760</v>
      </c>
      <c r="B22" s="34">
        <f>'合并-bs'!C53</f>
        <v>520.80111399999998</v>
      </c>
      <c r="C22" s="34">
        <f>'合并-bs'!D53</f>
        <v>400.64884700000005</v>
      </c>
      <c r="D22" s="34">
        <f>'合并-bs'!E53</f>
        <v>366.00184200000001</v>
      </c>
      <c r="E22" s="34">
        <f>'合并-bs'!F53</f>
        <v>8927.4658870000003</v>
      </c>
    </row>
    <row r="23" spans="1:5" ht="63.75" x14ac:dyDescent="0.3">
      <c r="A23" s="17" t="s">
        <v>761</v>
      </c>
      <c r="B23" s="34">
        <f>B14-(B15-B16)-(B17-B18)-(B19-B20)+(B21-B22)</f>
        <v>129367.97766264994</v>
      </c>
      <c r="C23" s="34">
        <f>C14-(C15-C16)-(C17-C18)-(C19-C20)+(C21-C22)</f>
        <v>57571.718801499985</v>
      </c>
      <c r="D23" s="34">
        <f>D14-(D15-D16)-(D17-D18)-(D19-D20)+(D21-D22)</f>
        <v>346253.51960059995</v>
      </c>
      <c r="E23" s="34">
        <f t="shared" ref="E23" si="3">E14-(E15-E16)-(E17-E18)+(E21-E22)</f>
        <v>253435.47391152004</v>
      </c>
    </row>
    <row r="24" spans="1:5" x14ac:dyDescent="0.3">
      <c r="A24" s="91" t="s">
        <v>187</v>
      </c>
      <c r="B24" s="34">
        <f>'合并-cf'!B4</f>
        <v>154089.58585999999</v>
      </c>
      <c r="C24" s="34">
        <f>'合并-cf'!C4</f>
        <v>232460.63074299999</v>
      </c>
      <c r="D24" s="34">
        <f>'合并-cf'!D4</f>
        <v>285891.45838200004</v>
      </c>
      <c r="E24" s="34">
        <f>'合并-cf'!E4</f>
        <v>251927.50951100001</v>
      </c>
    </row>
    <row r="25" spans="1:5" x14ac:dyDescent="0.3">
      <c r="A25" s="31" t="s">
        <v>189</v>
      </c>
      <c r="B25" s="70">
        <f>'合并-cf'!B6</f>
        <v>82550.560519000006</v>
      </c>
      <c r="C25" s="70">
        <f>'合并-cf'!C6</f>
        <v>143809.840689</v>
      </c>
      <c r="D25" s="70">
        <f>'合并-cf'!D6</f>
        <v>131195.25772299999</v>
      </c>
      <c r="E25" s="70">
        <f>'合并-cf'!E6</f>
        <v>124518.238948</v>
      </c>
    </row>
    <row r="26" spans="1:5" x14ac:dyDescent="0.3">
      <c r="A26" s="43" t="s">
        <v>738</v>
      </c>
      <c r="B26" s="82">
        <f>B23-B24-B25</f>
        <v>-107272.16871635006</v>
      </c>
      <c r="C26" s="82">
        <f>C23-C24-C25</f>
        <v>-318698.75263050001</v>
      </c>
      <c r="D26" s="82">
        <f>D23-D24-D25</f>
        <v>-70833.196504400083</v>
      </c>
      <c r="E26" s="82">
        <f t="shared" ref="E26" si="4">E23-E24-E25</f>
        <v>-123010.27454747997</v>
      </c>
    </row>
    <row r="28" spans="1:5" x14ac:dyDescent="0.3">
      <c r="C28" s="80"/>
    </row>
    <row r="29" spans="1:5" ht="15" x14ac:dyDescent="0.3">
      <c r="A29" s="210"/>
    </row>
    <row r="30" spans="1:5" x14ac:dyDescent="0.3">
      <c r="B30" s="80"/>
    </row>
  </sheetData>
  <mergeCells count="2">
    <mergeCell ref="A1:D1"/>
    <mergeCell ref="A10:D10"/>
  </mergeCells>
  <phoneticPr fontId="41" type="noConversion"/>
  <pageMargins left="0.7" right="0.7" top="0.75" bottom="0.75" header="0.3" footer="0.3"/>
  <pageSetup paperSize="9" orientation="portrait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K29"/>
  <sheetViews>
    <sheetView zoomScale="90" zoomScaleNormal="90" workbookViewId="0">
      <selection activeCell="B17" sqref="B17"/>
    </sheetView>
  </sheetViews>
  <sheetFormatPr defaultColWidth="9" defaultRowHeight="12.75" x14ac:dyDescent="0.3"/>
  <cols>
    <col min="1" max="1" width="23.3984375" style="24" customWidth="1"/>
    <col min="2" max="2" width="15.86328125" style="24" customWidth="1"/>
    <col min="3" max="3" width="8.1328125" style="26" customWidth="1"/>
    <col min="4" max="4" width="15.86328125" style="24" customWidth="1"/>
    <col min="5" max="5" width="8.1328125" style="26" customWidth="1"/>
    <col min="6" max="6" width="15.86328125" style="24" customWidth="1"/>
    <col min="7" max="7" width="14.53125" style="26" customWidth="1"/>
    <col min="8" max="8" width="15.86328125" style="24" customWidth="1"/>
    <col min="9" max="9" width="8.46484375" style="26" customWidth="1"/>
    <col min="10" max="10" width="15.86328125" style="24" customWidth="1"/>
    <col min="11" max="11" width="8.1328125" style="26" customWidth="1"/>
    <col min="12" max="16384" width="9" style="24"/>
  </cols>
  <sheetData>
    <row r="1" spans="1:11" x14ac:dyDescent="0.3">
      <c r="B1" s="437" t="s">
        <v>762</v>
      </c>
      <c r="C1" s="437"/>
      <c r="D1" s="437"/>
      <c r="E1" s="437"/>
      <c r="F1" s="437"/>
      <c r="G1" s="437"/>
      <c r="H1" s="437"/>
      <c r="I1" s="437"/>
      <c r="J1" s="437"/>
      <c r="K1" s="437"/>
    </row>
    <row r="2" spans="1:11" x14ac:dyDescent="0.3">
      <c r="A2" s="435" t="s">
        <v>278</v>
      </c>
      <c r="B2" s="438" t="str">
        <f>'合并-bs'!B2</f>
        <v>2024年9月末</v>
      </c>
      <c r="C2" s="439"/>
      <c r="D2" s="438" t="str">
        <f>'合并-bs'!C2</f>
        <v>2023年末</v>
      </c>
      <c r="E2" s="439"/>
      <c r="F2" s="438" t="str">
        <f>'合并-bs'!D2</f>
        <v>2022年末</v>
      </c>
      <c r="G2" s="439"/>
      <c r="H2" s="431" t="str">
        <f>'合并-bs'!E2</f>
        <v>2021年末</v>
      </c>
      <c r="I2" s="440"/>
      <c r="J2" s="431" t="str">
        <f>'合并-bs'!F2</f>
        <v>2020年末</v>
      </c>
      <c r="K2" s="440"/>
    </row>
    <row r="3" spans="1:11" x14ac:dyDescent="0.3">
      <c r="A3" s="436"/>
      <c r="B3" s="28" t="s">
        <v>729</v>
      </c>
      <c r="C3" s="30" t="s">
        <v>763</v>
      </c>
      <c r="D3" s="28" t="s">
        <v>729</v>
      </c>
      <c r="E3" s="30" t="s">
        <v>763</v>
      </c>
      <c r="F3" s="28" t="s">
        <v>729</v>
      </c>
      <c r="G3" s="30" t="s">
        <v>763</v>
      </c>
      <c r="H3" s="28" t="s">
        <v>729</v>
      </c>
      <c r="I3" s="30" t="s">
        <v>763</v>
      </c>
      <c r="J3" s="28" t="s">
        <v>729</v>
      </c>
      <c r="K3" s="30" t="s">
        <v>763</v>
      </c>
    </row>
    <row r="4" spans="1:11" x14ac:dyDescent="0.3">
      <c r="A4" s="31" t="str">
        <f>'EBITDA、总债务'!A12</f>
        <v>短期借款</v>
      </c>
      <c r="B4" s="34">
        <f>'EBITDA、总债务'!B12</f>
        <v>328258.53939499997</v>
      </c>
      <c r="C4" s="35">
        <f>B4/$B$12</f>
        <v>0.11016340767890129</v>
      </c>
      <c r="D4" s="34">
        <f>'EBITDA、总债务'!C12</f>
        <v>286684.63133200002</v>
      </c>
      <c r="E4" s="35">
        <f>D4/$D$12</f>
        <v>0.10143265507738577</v>
      </c>
      <c r="F4" s="34">
        <f>'EBITDA、总债务'!D12</f>
        <v>273787.01435300004</v>
      </c>
      <c r="G4" s="35">
        <f>F4/$F$12</f>
        <v>0.10129965944232013</v>
      </c>
      <c r="H4" s="34">
        <f>'EBITDA、总债务'!E12</f>
        <v>223595.36625999998</v>
      </c>
      <c r="I4" s="35">
        <f>H4/$H$12</f>
        <v>8.9891942711521816E-2</v>
      </c>
      <c r="J4" s="34">
        <f>'EBITDA、总债务'!F12</f>
        <v>117107.009179</v>
      </c>
      <c r="K4" s="35">
        <f>J4/$J$12</f>
        <v>6.1813000643095674E-2</v>
      </c>
    </row>
    <row r="5" spans="1:11" x14ac:dyDescent="0.3">
      <c r="A5" s="31" t="str">
        <f>'EBITDA、总债务'!A14</f>
        <v>应付票据</v>
      </c>
      <c r="B5" s="206"/>
      <c r="C5" s="207"/>
      <c r="D5" s="206"/>
      <c r="E5" s="207"/>
      <c r="F5" s="206"/>
      <c r="G5" s="207"/>
      <c r="H5" s="206"/>
      <c r="I5" s="207"/>
      <c r="J5" s="206"/>
      <c r="K5" s="207"/>
    </row>
    <row r="6" spans="1:11" x14ac:dyDescent="0.3">
      <c r="A6" s="31" t="str">
        <f>'EBITDA、总债务'!A15</f>
        <v>一年内到期非流动负债</v>
      </c>
      <c r="B6" s="34">
        <f>'EBITDA、总债务'!B15</f>
        <v>772420.26084499992</v>
      </c>
      <c r="C6" s="35">
        <f t="shared" ref="C6:C11" si="0">B6/$B$12</f>
        <v>0.25922386741786352</v>
      </c>
      <c r="D6" s="34">
        <f>'EBITDA、总债务'!C15</f>
        <v>882339.84503600001</v>
      </c>
      <c r="E6" s="35">
        <f t="shared" ref="E6:E11" si="1">D6/$D$12</f>
        <v>0.31218301709004359</v>
      </c>
      <c r="F6" s="34">
        <f>'EBITDA、总债务'!D15</f>
        <v>429194.06271100004</v>
      </c>
      <c r="G6" s="35">
        <f t="shared" ref="G6:G11" si="2">F6/$F$12</f>
        <v>0.15879939554486647</v>
      </c>
      <c r="H6" s="34">
        <f>'EBITDA、总债务'!E15</f>
        <v>366739.71048100002</v>
      </c>
      <c r="I6" s="35">
        <f t="shared" ref="I6:I11" si="3">H6/$H$12</f>
        <v>0.14744019787182755</v>
      </c>
      <c r="J6" s="34">
        <f>'EBITDA、总债务'!F15</f>
        <v>220488.63929499997</v>
      </c>
      <c r="K6" s="35">
        <f t="shared" ref="K6:K11" si="4">J6/$J$12</f>
        <v>0.11638128663763304</v>
      </c>
    </row>
    <row r="7" spans="1:11" x14ac:dyDescent="0.3">
      <c r="A7" s="31" t="str">
        <f>'EBITDA、总债务'!A16</f>
        <v>长期借款</v>
      </c>
      <c r="B7" s="34">
        <f>'EBITDA、总债务'!B16</f>
        <v>1157759.483004</v>
      </c>
      <c r="C7" s="35">
        <f t="shared" si="0"/>
        <v>0.38854352473313408</v>
      </c>
      <c r="D7" s="34">
        <f>'EBITDA、总债务'!C16</f>
        <v>921871.16391299991</v>
      </c>
      <c r="E7" s="35">
        <f t="shared" si="1"/>
        <v>0.32616969860057526</v>
      </c>
      <c r="F7" s="34">
        <f>'EBITDA、总债务'!D16</f>
        <v>787232.25028000004</v>
      </c>
      <c r="G7" s="35">
        <f t="shared" si="2"/>
        <v>0.29127151645167682</v>
      </c>
      <c r="H7" s="34">
        <f>'EBITDA、总债务'!E16</f>
        <v>542280.72326700005</v>
      </c>
      <c r="I7" s="35">
        <f t="shared" si="3"/>
        <v>0.21801287086064405</v>
      </c>
      <c r="J7" s="34">
        <f>'EBITDA、总债务'!F16</f>
        <v>380982.57841199997</v>
      </c>
      <c r="K7" s="35">
        <f t="shared" si="4"/>
        <v>0.20109536166527087</v>
      </c>
    </row>
    <row r="8" spans="1:11" x14ac:dyDescent="0.3">
      <c r="A8" s="31" t="str">
        <f>'EBITDA、总债务'!A17</f>
        <v>应付债券</v>
      </c>
      <c r="B8" s="34">
        <f>'EBITDA、总债务'!B17</f>
        <v>180141.94301700001</v>
      </c>
      <c r="C8" s="35">
        <f t="shared" si="0"/>
        <v>6.0455549291198299E-2</v>
      </c>
      <c r="D8" s="34">
        <f>'EBITDA、总债务'!C17</f>
        <v>443600.99190200004</v>
      </c>
      <c r="E8" s="35">
        <f t="shared" si="1"/>
        <v>0.1569516516965774</v>
      </c>
      <c r="F8" s="34">
        <f>'EBITDA、总债务'!D17</f>
        <v>851342.51196000003</v>
      </c>
      <c r="G8" s="35">
        <f t="shared" si="2"/>
        <v>0.31499195363270655</v>
      </c>
      <c r="H8" s="34">
        <f>'EBITDA、总债务'!E17</f>
        <v>574034.50741099997</v>
      </c>
      <c r="I8" s="35">
        <f t="shared" si="3"/>
        <v>0.23077883015976175</v>
      </c>
      <c r="J8" s="34">
        <f>'EBITDA、总债务'!F17</f>
        <v>615633.49983300001</v>
      </c>
      <c r="K8" s="35">
        <f t="shared" si="4"/>
        <v>0.32495197501732853</v>
      </c>
    </row>
    <row r="9" spans="1:11" x14ac:dyDescent="0.3">
      <c r="A9" s="31" t="str">
        <f>'EBITDA、总债务'!A18</f>
        <v>长期应付款（有息部分）</v>
      </c>
      <c r="B9" s="34">
        <f>'EBITDA、总债务'!B18</f>
        <v>0</v>
      </c>
      <c r="C9" s="35">
        <f t="shared" si="0"/>
        <v>0</v>
      </c>
      <c r="D9" s="34">
        <f>'EBITDA、总债务'!C18</f>
        <v>0</v>
      </c>
      <c r="E9" s="35">
        <f t="shared" si="1"/>
        <v>0</v>
      </c>
      <c r="F9" s="34">
        <f>'EBITDA、总债务'!D18</f>
        <v>169251.796072</v>
      </c>
      <c r="G9" s="35">
        <f t="shared" si="2"/>
        <v>6.2622215091578337E-2</v>
      </c>
      <c r="H9" s="34">
        <f>'EBITDA、总债务'!E18</f>
        <v>161467.29999999999</v>
      </c>
      <c r="I9" s="35">
        <f t="shared" si="3"/>
        <v>6.491462468191897E-2</v>
      </c>
      <c r="J9" s="34">
        <f>'EBITDA、总债务'!F18</f>
        <v>134136.15</v>
      </c>
      <c r="K9" s="35">
        <f t="shared" si="4"/>
        <v>7.0801551370327453E-2</v>
      </c>
    </row>
    <row r="10" spans="1:11" x14ac:dyDescent="0.3">
      <c r="A10" s="31" t="str">
        <f>'EBITDA、总债务'!A19</f>
        <v>其他非流动负债</v>
      </c>
      <c r="B10" s="34">
        <f>'EBITDA、总债务'!B19</f>
        <v>0</v>
      </c>
      <c r="C10" s="35">
        <f t="shared" si="0"/>
        <v>0</v>
      </c>
      <c r="D10" s="34">
        <f>'EBITDA、总债务'!C19</f>
        <v>0</v>
      </c>
      <c r="E10" s="35">
        <f t="shared" si="1"/>
        <v>0</v>
      </c>
      <c r="F10" s="34">
        <f>'EBITDA、总债务'!D19</f>
        <v>0</v>
      </c>
      <c r="G10" s="35">
        <f t="shared" si="2"/>
        <v>0</v>
      </c>
      <c r="H10" s="34">
        <f>'EBITDA、总债务'!E19</f>
        <v>0</v>
      </c>
      <c r="I10" s="35">
        <f t="shared" si="3"/>
        <v>0</v>
      </c>
      <c r="J10" s="34">
        <f>'EBITDA、总债务'!F19</f>
        <v>0</v>
      </c>
      <c r="K10" s="35">
        <f t="shared" si="4"/>
        <v>0</v>
      </c>
    </row>
    <row r="11" spans="1:11" x14ac:dyDescent="0.3">
      <c r="A11" s="31" t="str">
        <f>'EBITDA、总债务'!A20</f>
        <v>其他流动负债(有息部分)-应付短期债券</v>
      </c>
      <c r="B11" s="34">
        <f>'EBITDA、总债务'!B20</f>
        <v>541161.83429499995</v>
      </c>
      <c r="C11" s="35">
        <f t="shared" si="0"/>
        <v>0.18161365087890285</v>
      </c>
      <c r="D11" s="34">
        <f>'EBITDA、总债务'!C20</f>
        <v>291857.77127099998</v>
      </c>
      <c r="E11" s="35">
        <f t="shared" si="1"/>
        <v>0.10326297753541794</v>
      </c>
      <c r="F11" s="34">
        <f>'EBITDA、总债务'!D20</f>
        <v>191936.04471400002</v>
      </c>
      <c r="G11" s="35">
        <f t="shared" si="2"/>
        <v>7.1015259836851641E-2</v>
      </c>
      <c r="H11" s="34">
        <f>'EBITDA、总债务'!E20</f>
        <v>619261.78961500002</v>
      </c>
      <c r="I11" s="35">
        <f t="shared" si="3"/>
        <v>0.248961533714326</v>
      </c>
      <c r="J11" s="34">
        <f>'EBITDA、总债务'!F20</f>
        <v>426189</v>
      </c>
      <c r="K11" s="35">
        <f t="shared" si="4"/>
        <v>0.22495682466634451</v>
      </c>
    </row>
    <row r="12" spans="1:11" s="43" customFormat="1" x14ac:dyDescent="0.3">
      <c r="A12" s="28" t="s">
        <v>272</v>
      </c>
      <c r="B12" s="29">
        <f>SUM(B4:B11)</f>
        <v>2979742.0605559996</v>
      </c>
      <c r="C12" s="30">
        <f t="shared" ref="C12:K12" si="5">SUM(C4:C11)</f>
        <v>1.0000000000000002</v>
      </c>
      <c r="D12" s="29">
        <f t="shared" si="5"/>
        <v>2826354.4034540001</v>
      </c>
      <c r="E12" s="30">
        <f t="shared" si="5"/>
        <v>1</v>
      </c>
      <c r="F12" s="29">
        <f t="shared" si="5"/>
        <v>2702743.6800900004</v>
      </c>
      <c r="G12" s="30">
        <f t="shared" si="5"/>
        <v>1</v>
      </c>
      <c r="H12" s="29">
        <f t="shared" si="5"/>
        <v>2487379.3970339997</v>
      </c>
      <c r="I12" s="30">
        <f t="shared" si="5"/>
        <v>1.0000000000000002</v>
      </c>
      <c r="J12" s="29">
        <f t="shared" si="5"/>
        <v>1894536.8767189998</v>
      </c>
      <c r="K12" s="30">
        <f t="shared" si="5"/>
        <v>1</v>
      </c>
    </row>
    <row r="13" spans="1:11" x14ac:dyDescent="0.3">
      <c r="A13" s="24" t="s">
        <v>764</v>
      </c>
      <c r="B13" s="26">
        <f>B12/'合并-bs'!B74</f>
        <v>0.80597613468272522</v>
      </c>
      <c r="D13" s="26">
        <f>D12/'合并-bs'!C74</f>
        <v>0.83120873791178462</v>
      </c>
      <c r="F13" s="26">
        <f>F12/'合并-bs'!D74</f>
        <v>0.85871021502482114</v>
      </c>
      <c r="H13" s="26">
        <f>H12/'合并-bs'!E74</f>
        <v>0.89494159622271796</v>
      </c>
      <c r="J13" s="26">
        <f>J12/'合并-bs'!F74</f>
        <v>0.86564810304457207</v>
      </c>
    </row>
    <row r="14" spans="1:11" x14ac:dyDescent="0.3">
      <c r="A14" s="24" t="s">
        <v>765</v>
      </c>
      <c r="B14" s="25">
        <f>B4+B5+B6+B11+B10</f>
        <v>1641840.6345349997</v>
      </c>
      <c r="C14" s="26">
        <f t="shared" ref="C14:K14" si="6">C4+C5+C6+C11</f>
        <v>0.55100092597566763</v>
      </c>
      <c r="D14" s="25">
        <f t="shared" si="6"/>
        <v>1460882.247639</v>
      </c>
      <c r="E14" s="26">
        <f t="shared" si="6"/>
        <v>0.51687864970284725</v>
      </c>
      <c r="F14" s="25">
        <f t="shared" si="6"/>
        <v>894917.12177800015</v>
      </c>
      <c r="G14" s="26">
        <f t="shared" si="6"/>
        <v>0.33111431482403825</v>
      </c>
      <c r="H14" s="25">
        <f t="shared" si="6"/>
        <v>1209596.8663559998</v>
      </c>
      <c r="I14" s="26">
        <f t="shared" si="6"/>
        <v>0.48629367429767534</v>
      </c>
      <c r="J14" s="25">
        <f t="shared" si="6"/>
        <v>763784.64847399993</v>
      </c>
      <c r="K14" s="26">
        <f t="shared" si="6"/>
        <v>0.4031511119470732</v>
      </c>
    </row>
    <row r="15" spans="1:11" x14ac:dyDescent="0.3">
      <c r="A15" s="24" t="s">
        <v>766</v>
      </c>
      <c r="B15" s="25">
        <f>B7+B8+B9</f>
        <v>1337901.4260210001</v>
      </c>
      <c r="C15" s="26">
        <f t="shared" ref="C15:K15" si="7">C7+C8+C9</f>
        <v>0.44899907402433237</v>
      </c>
      <c r="D15" s="25">
        <f t="shared" si="7"/>
        <v>1365472.1558149999</v>
      </c>
      <c r="E15" s="26">
        <f t="shared" si="7"/>
        <v>0.48312135029715264</v>
      </c>
      <c r="F15" s="25">
        <f t="shared" si="7"/>
        <v>1807826.558312</v>
      </c>
      <c r="G15" s="26">
        <f t="shared" si="7"/>
        <v>0.6688856851759617</v>
      </c>
      <c r="H15" s="25">
        <f t="shared" si="7"/>
        <v>1277782.5306780001</v>
      </c>
      <c r="I15" s="26">
        <f t="shared" si="7"/>
        <v>0.51370632570232477</v>
      </c>
      <c r="J15" s="25">
        <f t="shared" si="7"/>
        <v>1130752.2282449999</v>
      </c>
      <c r="K15" s="26">
        <f t="shared" si="7"/>
        <v>0.5968488880529268</v>
      </c>
    </row>
    <row r="16" spans="1:11" x14ac:dyDescent="0.3">
      <c r="A16" s="24" t="s">
        <v>767</v>
      </c>
      <c r="B16" s="26">
        <f>SQRT(B12/F12)-1</f>
        <v>4.9994212788464498E-2</v>
      </c>
    </row>
    <row r="17" spans="1:8" x14ac:dyDescent="0.3">
      <c r="A17" s="24" t="s">
        <v>768</v>
      </c>
      <c r="B17" s="26">
        <f>SQRT(B14/F14)-1</f>
        <v>0.35448466165503056</v>
      </c>
    </row>
    <row r="18" spans="1:8" x14ac:dyDescent="0.3">
      <c r="F18" s="25">
        <f>'母-bs'!D47</f>
        <v>55794.793889</v>
      </c>
      <c r="G18" s="25">
        <f>'母-bs'!E47</f>
        <v>81249.051389</v>
      </c>
      <c r="H18" s="25">
        <f>'母-bs'!F47</f>
        <v>32000</v>
      </c>
    </row>
    <row r="19" spans="1:8" x14ac:dyDescent="0.3">
      <c r="F19" s="25">
        <f>'母-bs'!D60</f>
        <v>220729.62292800003</v>
      </c>
      <c r="G19" s="25">
        <f>'母-bs'!E60</f>
        <v>248834.42972499999</v>
      </c>
      <c r="H19" s="25">
        <f>'母-bs'!F60</f>
        <v>142000</v>
      </c>
    </row>
    <row r="20" spans="1:8" x14ac:dyDescent="0.3">
      <c r="F20" s="25">
        <f>'母-bs'!D61</f>
        <v>191548.04436600002</v>
      </c>
      <c r="G20" s="25">
        <f>'母-bs'!E61</f>
        <v>589351.12320299994</v>
      </c>
      <c r="H20" s="25">
        <f>'母-bs'!F61</f>
        <v>397000</v>
      </c>
    </row>
    <row r="21" spans="1:8" x14ac:dyDescent="0.3">
      <c r="F21" s="25">
        <f>'母-bs'!D64</f>
        <v>332593.22028000001</v>
      </c>
      <c r="G21" s="25">
        <f>'母-bs'!E64</f>
        <v>432127.12326700002</v>
      </c>
      <c r="H21" s="25">
        <f>'母-bs'!F64</f>
        <v>360532.57841199997</v>
      </c>
    </row>
    <row r="22" spans="1:8" x14ac:dyDescent="0.3">
      <c r="F22" s="25">
        <f>'母-bs'!D65</f>
        <v>851342.51196000003</v>
      </c>
      <c r="G22" s="25">
        <f>'母-bs'!E65</f>
        <v>567346.50741099997</v>
      </c>
      <c r="H22" s="25">
        <f>'母-bs'!F65</f>
        <v>587036.49973299995</v>
      </c>
    </row>
    <row r="23" spans="1:8" x14ac:dyDescent="0.3">
      <c r="F23" s="25">
        <f>'母-bs'!D66</f>
        <v>10956.007239</v>
      </c>
      <c r="G23" s="25">
        <f>'母-bs'!E66</f>
        <v>23293.544569000002</v>
      </c>
      <c r="H23" s="25">
        <f>'母-bs'!F66</f>
        <v>5770.4149010000001</v>
      </c>
    </row>
    <row r="24" spans="1:8" x14ac:dyDescent="0.3">
      <c r="F24" s="25">
        <f>SUM(F18:F23)</f>
        <v>1662964.2006620001</v>
      </c>
      <c r="G24" s="25">
        <f>SUM(G18:G23)</f>
        <v>1942201.779564</v>
      </c>
      <c r="H24" s="25">
        <f t="shared" ref="H24" si="8">SUM(H18:H23)</f>
        <v>1524339.4930459999</v>
      </c>
    </row>
    <row r="28" spans="1:8" x14ac:dyDescent="0.3">
      <c r="F28" s="208"/>
    </row>
    <row r="29" spans="1:8" x14ac:dyDescent="0.3">
      <c r="F29" s="25"/>
    </row>
  </sheetData>
  <mergeCells count="7">
    <mergeCell ref="A2:A3"/>
    <mergeCell ref="B1:K1"/>
    <mergeCell ref="B2:C2"/>
    <mergeCell ref="D2:E2"/>
    <mergeCell ref="F2:G2"/>
    <mergeCell ref="H2:I2"/>
    <mergeCell ref="J2:K2"/>
  </mergeCells>
  <phoneticPr fontId="41" type="noConversion"/>
  <pageMargins left="0.7" right="0.7" top="0.75" bottom="0.75" header="0.3" footer="0.3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filterMode="1"/>
  <dimension ref="A1:N288"/>
  <sheetViews>
    <sheetView zoomScale="50" zoomScaleNormal="50" workbookViewId="0">
      <selection activeCell="H335" sqref="H335"/>
    </sheetView>
  </sheetViews>
  <sheetFormatPr defaultColWidth="8.6640625" defaultRowHeight="12.75" x14ac:dyDescent="0.3"/>
  <cols>
    <col min="1" max="1" width="41.3984375" style="117" customWidth="1"/>
    <col min="2" max="2" width="20" style="118" customWidth="1"/>
    <col min="3" max="3" width="19.86328125" style="118" customWidth="1"/>
    <col min="4" max="4" width="22.9296875" style="118" customWidth="1"/>
    <col min="5" max="5" width="11.46484375" style="117" customWidth="1"/>
    <col min="6" max="6" width="10.59765625" style="117" customWidth="1"/>
    <col min="7" max="7" width="12.1328125" style="117" customWidth="1"/>
    <col min="8" max="8" width="9.46484375" style="117" customWidth="1"/>
    <col min="9" max="9" width="11.1328125" style="117" customWidth="1"/>
    <col min="10" max="10" width="8.6640625" style="117" customWidth="1"/>
    <col min="11" max="11" width="30" style="117" customWidth="1"/>
    <col min="12" max="12" width="26.06640625" style="117" customWidth="1"/>
    <col min="13" max="13" width="19.46484375" style="117" customWidth="1"/>
    <col min="14" max="14" width="12.9296875" style="117" customWidth="1"/>
    <col min="15" max="16384" width="8.6640625" style="117"/>
  </cols>
  <sheetData>
    <row r="1" spans="1:14" s="116" customFormat="1" x14ac:dyDescent="0.3">
      <c r="A1" s="162" t="s">
        <v>769</v>
      </c>
      <c r="B1" s="163" t="s">
        <v>770</v>
      </c>
      <c r="C1" s="163" t="s">
        <v>771</v>
      </c>
      <c r="D1" s="163" t="s">
        <v>772</v>
      </c>
      <c r="E1" s="164" t="s">
        <v>773</v>
      </c>
      <c r="F1" s="164" t="s">
        <v>774</v>
      </c>
      <c r="G1" s="165" t="s">
        <v>775</v>
      </c>
      <c r="H1" s="166" t="s">
        <v>776</v>
      </c>
      <c r="I1" s="162" t="s">
        <v>777</v>
      </c>
      <c r="J1" s="162" t="s">
        <v>778</v>
      </c>
      <c r="K1" s="162" t="s">
        <v>779</v>
      </c>
      <c r="L1" s="116" t="s">
        <v>780</v>
      </c>
      <c r="M1" s="116" t="s">
        <v>781</v>
      </c>
      <c r="N1" s="116" t="s">
        <v>782</v>
      </c>
    </row>
    <row r="2" spans="1:14" hidden="1" x14ac:dyDescent="0.3">
      <c r="A2" s="167" t="s">
        <v>783</v>
      </c>
      <c r="B2" s="168">
        <v>45000000</v>
      </c>
      <c r="C2" s="168">
        <v>68750</v>
      </c>
      <c r="D2" s="168">
        <f t="shared" ref="D2:D65" si="0">B2+C2</f>
        <v>45068750</v>
      </c>
      <c r="E2" s="169">
        <v>44799</v>
      </c>
      <c r="F2" s="169">
        <v>45160</v>
      </c>
      <c r="G2" s="170" t="s">
        <v>784</v>
      </c>
      <c r="H2" s="171">
        <v>0.05</v>
      </c>
      <c r="I2" s="167" t="s">
        <v>785</v>
      </c>
      <c r="J2" s="167" t="s">
        <v>354</v>
      </c>
      <c r="K2" s="167" t="s">
        <v>350</v>
      </c>
      <c r="L2" s="117" t="s">
        <v>60</v>
      </c>
      <c r="M2" s="117" t="s">
        <v>786</v>
      </c>
      <c r="N2" s="117" t="s">
        <v>787</v>
      </c>
    </row>
    <row r="3" spans="1:14" hidden="1" x14ac:dyDescent="0.3">
      <c r="A3" s="167" t="s">
        <v>788</v>
      </c>
      <c r="B3" s="168">
        <v>10000000</v>
      </c>
      <c r="C3" s="168">
        <v>18180.560000000001</v>
      </c>
      <c r="D3" s="168">
        <f t="shared" si="0"/>
        <v>10018180.560000001</v>
      </c>
      <c r="E3" s="169">
        <v>44771</v>
      </c>
      <c r="F3" s="169">
        <v>45135</v>
      </c>
      <c r="G3" s="170" t="s">
        <v>784</v>
      </c>
      <c r="H3" s="171">
        <v>5.9499999999999997E-2</v>
      </c>
      <c r="I3" s="167" t="s">
        <v>785</v>
      </c>
      <c r="J3" s="167" t="s">
        <v>354</v>
      </c>
      <c r="K3" s="167" t="s">
        <v>350</v>
      </c>
      <c r="L3" s="117" t="s">
        <v>60</v>
      </c>
      <c r="M3" s="117" t="s">
        <v>786</v>
      </c>
      <c r="N3" s="117" t="s">
        <v>789</v>
      </c>
    </row>
    <row r="4" spans="1:14" hidden="1" x14ac:dyDescent="0.3">
      <c r="A4" s="167" t="s">
        <v>790</v>
      </c>
      <c r="B4" s="168">
        <v>10000000</v>
      </c>
      <c r="C4" s="168">
        <v>15583.33</v>
      </c>
      <c r="D4" s="168">
        <f t="shared" si="0"/>
        <v>10015583.33</v>
      </c>
      <c r="E4" s="169">
        <v>44796</v>
      </c>
      <c r="F4" s="169">
        <v>45150</v>
      </c>
      <c r="G4" s="170" t="s">
        <v>784</v>
      </c>
      <c r="H4" s="171">
        <v>5.0999999999999997E-2</v>
      </c>
      <c r="I4" s="167" t="s">
        <v>785</v>
      </c>
      <c r="J4" s="167" t="s">
        <v>354</v>
      </c>
      <c r="K4" s="167" t="s">
        <v>350</v>
      </c>
      <c r="L4" s="117" t="s">
        <v>60</v>
      </c>
      <c r="M4" s="117" t="s">
        <v>786</v>
      </c>
      <c r="N4" s="117" t="s">
        <v>789</v>
      </c>
    </row>
    <row r="5" spans="1:14" hidden="1" x14ac:dyDescent="0.3">
      <c r="A5" s="167" t="s">
        <v>791</v>
      </c>
      <c r="B5" s="168">
        <v>10000000</v>
      </c>
      <c r="C5" s="168">
        <v>19861.11</v>
      </c>
      <c r="D5" s="168">
        <f t="shared" si="0"/>
        <v>10019861.109999999</v>
      </c>
      <c r="E5" s="169">
        <v>44648</v>
      </c>
      <c r="F5" s="169">
        <v>45004</v>
      </c>
      <c r="G5" s="170" t="s">
        <v>784</v>
      </c>
      <c r="H5" s="171">
        <v>6.5000000000000002E-2</v>
      </c>
      <c r="I5" s="167" t="s">
        <v>785</v>
      </c>
      <c r="J5" s="167" t="s">
        <v>354</v>
      </c>
      <c r="K5" s="167" t="s">
        <v>350</v>
      </c>
      <c r="L5" s="117" t="s">
        <v>60</v>
      </c>
      <c r="M5" s="117" t="s">
        <v>786</v>
      </c>
      <c r="N5" s="117" t="s">
        <v>789</v>
      </c>
    </row>
    <row r="6" spans="1:14" hidden="1" x14ac:dyDescent="0.3">
      <c r="A6" s="167" t="s">
        <v>792</v>
      </c>
      <c r="B6" s="168">
        <v>30000000</v>
      </c>
      <c r="C6" s="168">
        <v>45833.33</v>
      </c>
      <c r="D6" s="168">
        <f t="shared" si="0"/>
        <v>30045833.329999998</v>
      </c>
      <c r="E6" s="169">
        <v>44799</v>
      </c>
      <c r="F6" s="169">
        <v>45163</v>
      </c>
      <c r="G6" s="170" t="s">
        <v>784</v>
      </c>
      <c r="H6" s="171">
        <v>0.05</v>
      </c>
      <c r="I6" s="167" t="s">
        <v>785</v>
      </c>
      <c r="J6" s="167" t="s">
        <v>354</v>
      </c>
      <c r="K6" s="167" t="s">
        <v>372</v>
      </c>
      <c r="L6" s="117" t="s">
        <v>60</v>
      </c>
      <c r="M6" s="117" t="s">
        <v>786</v>
      </c>
      <c r="N6" s="117" t="s">
        <v>787</v>
      </c>
    </row>
    <row r="7" spans="1:14" hidden="1" x14ac:dyDescent="0.3">
      <c r="A7" s="167" t="s">
        <v>783</v>
      </c>
      <c r="B7" s="168">
        <v>5000000</v>
      </c>
      <c r="C7" s="168">
        <v>7638.89</v>
      </c>
      <c r="D7" s="168">
        <f t="shared" si="0"/>
        <v>5007638.8899999997</v>
      </c>
      <c r="E7" s="169">
        <v>44643</v>
      </c>
      <c r="F7" s="169">
        <v>44945</v>
      </c>
      <c r="G7" s="170" t="s">
        <v>784</v>
      </c>
      <c r="H7" s="171">
        <v>0.05</v>
      </c>
      <c r="I7" s="167" t="s">
        <v>785</v>
      </c>
      <c r="J7" s="167" t="s">
        <v>354</v>
      </c>
      <c r="K7" s="167" t="s">
        <v>353</v>
      </c>
      <c r="L7" s="117" t="s">
        <v>60</v>
      </c>
      <c r="M7" s="117" t="s">
        <v>786</v>
      </c>
      <c r="N7" s="117" t="s">
        <v>787</v>
      </c>
    </row>
    <row r="8" spans="1:14" hidden="1" x14ac:dyDescent="0.3">
      <c r="A8" s="167" t="s">
        <v>783</v>
      </c>
      <c r="B8" s="168">
        <v>5000000</v>
      </c>
      <c r="C8" s="168">
        <v>7638.89</v>
      </c>
      <c r="D8" s="168">
        <f t="shared" si="0"/>
        <v>5007638.8899999997</v>
      </c>
      <c r="E8" s="169">
        <v>44756</v>
      </c>
      <c r="F8" s="169">
        <v>44939</v>
      </c>
      <c r="G8" s="170" t="s">
        <v>784</v>
      </c>
      <c r="H8" s="171">
        <v>0.05</v>
      </c>
      <c r="I8" s="167" t="s">
        <v>785</v>
      </c>
      <c r="J8" s="167" t="s">
        <v>354</v>
      </c>
      <c r="K8" s="167" t="s">
        <v>353</v>
      </c>
      <c r="L8" s="117" t="s">
        <v>60</v>
      </c>
      <c r="M8" s="117" t="s">
        <v>786</v>
      </c>
      <c r="N8" s="117" t="s">
        <v>787</v>
      </c>
    </row>
    <row r="9" spans="1:14" hidden="1" x14ac:dyDescent="0.3">
      <c r="A9" s="167" t="s">
        <v>793</v>
      </c>
      <c r="B9" s="168">
        <v>8000000</v>
      </c>
      <c r="C9" s="168">
        <v>10633.33</v>
      </c>
      <c r="D9" s="168">
        <f t="shared" si="0"/>
        <v>8010633.3300000001</v>
      </c>
      <c r="E9" s="169">
        <v>44589</v>
      </c>
      <c r="F9" s="169">
        <v>44953</v>
      </c>
      <c r="G9" s="170" t="s">
        <v>784</v>
      </c>
      <c r="H9" s="171">
        <v>4.3499999999999997E-2</v>
      </c>
      <c r="I9" s="167" t="s">
        <v>785</v>
      </c>
      <c r="J9" s="167" t="s">
        <v>354</v>
      </c>
      <c r="K9" s="167" t="s">
        <v>353</v>
      </c>
      <c r="L9" s="117" t="s">
        <v>60</v>
      </c>
      <c r="M9" s="117" t="s">
        <v>786</v>
      </c>
      <c r="N9" s="117" t="s">
        <v>794</v>
      </c>
    </row>
    <row r="10" spans="1:14" hidden="1" x14ac:dyDescent="0.3">
      <c r="A10" s="167" t="s">
        <v>783</v>
      </c>
      <c r="B10" s="168">
        <v>5000000</v>
      </c>
      <c r="C10" s="168">
        <v>7638.89</v>
      </c>
      <c r="D10" s="168">
        <f t="shared" si="0"/>
        <v>5007638.8899999997</v>
      </c>
      <c r="E10" s="169">
        <v>44645</v>
      </c>
      <c r="F10" s="169">
        <v>44950</v>
      </c>
      <c r="G10" s="170" t="s">
        <v>784</v>
      </c>
      <c r="H10" s="171">
        <v>0.05</v>
      </c>
      <c r="I10" s="167" t="s">
        <v>785</v>
      </c>
      <c r="J10" s="167" t="s">
        <v>354</v>
      </c>
      <c r="K10" s="167" t="s">
        <v>795</v>
      </c>
      <c r="L10" s="117" t="s">
        <v>60</v>
      </c>
      <c r="M10" s="117" t="s">
        <v>786</v>
      </c>
      <c r="N10" s="117" t="s">
        <v>787</v>
      </c>
    </row>
    <row r="11" spans="1:14" hidden="1" x14ac:dyDescent="0.3">
      <c r="A11" s="167" t="s">
        <v>783</v>
      </c>
      <c r="B11" s="168">
        <v>5000000</v>
      </c>
      <c r="C11" s="168">
        <v>7638.89</v>
      </c>
      <c r="D11" s="168">
        <f t="shared" si="0"/>
        <v>5007638.8899999997</v>
      </c>
      <c r="E11" s="169">
        <v>44642</v>
      </c>
      <c r="F11" s="169">
        <v>44947</v>
      </c>
      <c r="G11" s="170" t="s">
        <v>784</v>
      </c>
      <c r="H11" s="171">
        <v>0.05</v>
      </c>
      <c r="I11" s="167" t="s">
        <v>785</v>
      </c>
      <c r="J11" s="167" t="s">
        <v>354</v>
      </c>
      <c r="K11" s="167" t="s">
        <v>795</v>
      </c>
      <c r="L11" s="117" t="s">
        <v>60</v>
      </c>
      <c r="M11" s="117" t="s">
        <v>786</v>
      </c>
      <c r="N11" s="117" t="s">
        <v>787</v>
      </c>
    </row>
    <row r="12" spans="1:14" hidden="1" x14ac:dyDescent="0.3">
      <c r="A12" s="167" t="s">
        <v>796</v>
      </c>
      <c r="B12" s="168">
        <v>10000000</v>
      </c>
      <c r="C12" s="168">
        <v>14361.11</v>
      </c>
      <c r="D12" s="168">
        <f t="shared" si="0"/>
        <v>10014361.109999999</v>
      </c>
      <c r="E12" s="169">
        <v>44708</v>
      </c>
      <c r="F12" s="169">
        <v>45043</v>
      </c>
      <c r="G12" s="170" t="s">
        <v>784</v>
      </c>
      <c r="H12" s="171">
        <v>4.7E-2</v>
      </c>
      <c r="I12" s="167" t="s">
        <v>785</v>
      </c>
      <c r="J12" s="167" t="s">
        <v>797</v>
      </c>
      <c r="K12" s="167" t="s">
        <v>795</v>
      </c>
      <c r="L12" s="117" t="s">
        <v>60</v>
      </c>
      <c r="M12" s="117" t="s">
        <v>786</v>
      </c>
      <c r="N12" s="117" t="s">
        <v>794</v>
      </c>
    </row>
    <row r="13" spans="1:14" hidden="1" x14ac:dyDescent="0.3">
      <c r="A13" s="167" t="s">
        <v>798</v>
      </c>
      <c r="B13" s="168">
        <v>10000000</v>
      </c>
      <c r="C13" s="168">
        <v>19738.89</v>
      </c>
      <c r="D13" s="168">
        <f t="shared" si="0"/>
        <v>10019738.890000001</v>
      </c>
      <c r="E13" s="169">
        <v>44671</v>
      </c>
      <c r="F13" s="169">
        <v>45008</v>
      </c>
      <c r="G13" s="170" t="s">
        <v>784</v>
      </c>
      <c r="H13" s="171">
        <v>6.4600000000000005E-2</v>
      </c>
      <c r="I13" s="167" t="s">
        <v>799</v>
      </c>
      <c r="J13" s="167" t="s">
        <v>800</v>
      </c>
      <c r="K13" s="167" t="s">
        <v>334</v>
      </c>
      <c r="L13" s="117" t="s">
        <v>60</v>
      </c>
      <c r="M13" s="117" t="s">
        <v>786</v>
      </c>
      <c r="N13" s="117" t="s">
        <v>789</v>
      </c>
    </row>
    <row r="14" spans="1:14" hidden="1" x14ac:dyDescent="0.3">
      <c r="A14" s="167" t="s">
        <v>801</v>
      </c>
      <c r="B14" s="168">
        <v>200000000</v>
      </c>
      <c r="C14" s="168">
        <v>354444.44</v>
      </c>
      <c r="D14" s="168">
        <f t="shared" si="0"/>
        <v>200354444.44</v>
      </c>
      <c r="E14" s="169">
        <v>44897</v>
      </c>
      <c r="F14" s="169">
        <v>45251</v>
      </c>
      <c r="G14" s="170" t="s">
        <v>784</v>
      </c>
      <c r="H14" s="171">
        <v>5.8000000000000003E-2</v>
      </c>
      <c r="I14" s="167" t="s">
        <v>785</v>
      </c>
      <c r="J14" s="167" t="s">
        <v>802</v>
      </c>
      <c r="K14" s="167" t="s">
        <v>334</v>
      </c>
      <c r="L14" s="117" t="s">
        <v>60</v>
      </c>
      <c r="M14" s="117" t="s">
        <v>786</v>
      </c>
      <c r="N14" s="117" t="s">
        <v>787</v>
      </c>
    </row>
    <row r="15" spans="1:14" hidden="1" x14ac:dyDescent="0.3">
      <c r="A15" s="167" t="s">
        <v>801</v>
      </c>
      <c r="B15" s="168">
        <v>99000000</v>
      </c>
      <c r="C15" s="168">
        <v>175450</v>
      </c>
      <c r="D15" s="168">
        <f t="shared" si="0"/>
        <v>99175450</v>
      </c>
      <c r="E15" s="169">
        <v>44896</v>
      </c>
      <c r="F15" s="169">
        <v>45251</v>
      </c>
      <c r="G15" s="170" t="s">
        <v>784</v>
      </c>
      <c r="H15" s="171">
        <v>5.8000000000000003E-2</v>
      </c>
      <c r="I15" s="167" t="s">
        <v>785</v>
      </c>
      <c r="J15" s="167" t="s">
        <v>802</v>
      </c>
      <c r="K15" s="167" t="s">
        <v>334</v>
      </c>
      <c r="L15" s="117" t="s">
        <v>60</v>
      </c>
      <c r="M15" s="117" t="s">
        <v>786</v>
      </c>
      <c r="N15" s="117" t="s">
        <v>787</v>
      </c>
    </row>
    <row r="16" spans="1:14" hidden="1" x14ac:dyDescent="0.3">
      <c r="A16" s="167" t="s">
        <v>803</v>
      </c>
      <c r="B16" s="168">
        <v>25000000</v>
      </c>
      <c r="C16" s="168">
        <v>42013.89</v>
      </c>
      <c r="D16" s="168">
        <f t="shared" si="0"/>
        <v>25042013.890000001</v>
      </c>
      <c r="E16" s="169">
        <v>44889</v>
      </c>
      <c r="F16" s="169">
        <v>45249</v>
      </c>
      <c r="G16" s="170" t="s">
        <v>784</v>
      </c>
      <c r="H16" s="171">
        <v>5.5E-2</v>
      </c>
      <c r="I16" s="167" t="s">
        <v>785</v>
      </c>
      <c r="J16" s="167" t="s">
        <v>650</v>
      </c>
      <c r="K16" s="167" t="s">
        <v>334</v>
      </c>
      <c r="L16" s="117" t="s">
        <v>60</v>
      </c>
      <c r="M16" s="117" t="s">
        <v>786</v>
      </c>
      <c r="N16" s="117" t="s">
        <v>789</v>
      </c>
    </row>
    <row r="17" spans="1:14" hidden="1" x14ac:dyDescent="0.3">
      <c r="A17" s="167" t="s">
        <v>804</v>
      </c>
      <c r="B17" s="168">
        <v>217000000</v>
      </c>
      <c r="C17" s="168">
        <v>6356291.6699999999</v>
      </c>
      <c r="D17" s="168">
        <f t="shared" si="0"/>
        <v>223356291.66999999</v>
      </c>
      <c r="E17" s="169">
        <v>44742</v>
      </c>
      <c r="F17" s="169">
        <v>45107</v>
      </c>
      <c r="G17" s="170" t="s">
        <v>784</v>
      </c>
      <c r="H17" s="171">
        <v>5.7000000000000002E-2</v>
      </c>
      <c r="I17" s="167" t="s">
        <v>785</v>
      </c>
      <c r="J17" s="167" t="s">
        <v>802</v>
      </c>
      <c r="K17" s="167" t="s">
        <v>334</v>
      </c>
      <c r="L17" s="117" t="s">
        <v>60</v>
      </c>
      <c r="M17" s="117" t="s">
        <v>805</v>
      </c>
    </row>
    <row r="18" spans="1:14" hidden="1" x14ac:dyDescent="0.3">
      <c r="A18" s="172" t="s">
        <v>806</v>
      </c>
      <c r="B18" s="173">
        <v>19000000</v>
      </c>
      <c r="C18" s="127">
        <v>25254.17</v>
      </c>
      <c r="D18" s="173">
        <f t="shared" si="0"/>
        <v>19025254.170000002</v>
      </c>
      <c r="E18" s="174">
        <v>44630</v>
      </c>
      <c r="F18" s="174">
        <v>44994</v>
      </c>
      <c r="G18" s="175" t="s">
        <v>784</v>
      </c>
      <c r="H18" s="171">
        <v>4.3499999999999997E-2</v>
      </c>
      <c r="I18" s="167" t="s">
        <v>799</v>
      </c>
      <c r="J18" s="172" t="s">
        <v>807</v>
      </c>
      <c r="K18" s="172" t="s">
        <v>349</v>
      </c>
      <c r="L18" s="117" t="s">
        <v>60</v>
      </c>
      <c r="M18" s="117" t="s">
        <v>786</v>
      </c>
      <c r="N18" s="117" t="s">
        <v>808</v>
      </c>
    </row>
    <row r="19" spans="1:14" hidden="1" x14ac:dyDescent="0.3">
      <c r="A19" s="172" t="s">
        <v>806</v>
      </c>
      <c r="B19" s="173">
        <v>47500000</v>
      </c>
      <c r="C19" s="127">
        <v>63135.42</v>
      </c>
      <c r="D19" s="173">
        <f t="shared" si="0"/>
        <v>47563135.420000002</v>
      </c>
      <c r="E19" s="174">
        <v>44630</v>
      </c>
      <c r="F19" s="174">
        <v>44994</v>
      </c>
      <c r="G19" s="175" t="s">
        <v>784</v>
      </c>
      <c r="H19" s="171">
        <v>4.3499999999999997E-2</v>
      </c>
      <c r="I19" s="167" t="s">
        <v>799</v>
      </c>
      <c r="J19" s="172" t="s">
        <v>809</v>
      </c>
      <c r="K19" s="172" t="s">
        <v>349</v>
      </c>
      <c r="L19" s="117" t="s">
        <v>60</v>
      </c>
      <c r="M19" s="117" t="s">
        <v>786</v>
      </c>
      <c r="N19" s="117" t="s">
        <v>808</v>
      </c>
    </row>
    <row r="20" spans="1:14" hidden="1" x14ac:dyDescent="0.3">
      <c r="A20" s="172" t="s">
        <v>806</v>
      </c>
      <c r="B20" s="173">
        <v>47500000</v>
      </c>
      <c r="C20" s="127">
        <v>63135.42</v>
      </c>
      <c r="D20" s="173">
        <f t="shared" si="0"/>
        <v>47563135.420000002</v>
      </c>
      <c r="E20" s="174">
        <v>44630</v>
      </c>
      <c r="F20" s="174">
        <v>44994</v>
      </c>
      <c r="G20" s="175" t="s">
        <v>784</v>
      </c>
      <c r="H20" s="171">
        <v>4.3499999999999997E-2</v>
      </c>
      <c r="I20" s="167" t="s">
        <v>799</v>
      </c>
      <c r="J20" s="172" t="s">
        <v>810</v>
      </c>
      <c r="K20" s="172" t="s">
        <v>349</v>
      </c>
      <c r="L20" s="117" t="s">
        <v>60</v>
      </c>
      <c r="M20" s="117" t="s">
        <v>786</v>
      </c>
      <c r="N20" s="117" t="s">
        <v>808</v>
      </c>
    </row>
    <row r="21" spans="1:14" hidden="1" x14ac:dyDescent="0.3">
      <c r="A21" s="172" t="s">
        <v>806</v>
      </c>
      <c r="B21" s="173">
        <v>95000000</v>
      </c>
      <c r="C21" s="127">
        <v>126270.83</v>
      </c>
      <c r="D21" s="173">
        <f t="shared" si="0"/>
        <v>95126270.829999998</v>
      </c>
      <c r="E21" s="174">
        <v>44677</v>
      </c>
      <c r="F21" s="174">
        <v>45041</v>
      </c>
      <c r="G21" s="175" t="s">
        <v>784</v>
      </c>
      <c r="H21" s="171">
        <v>4.3499999999999997E-2</v>
      </c>
      <c r="I21" s="167" t="s">
        <v>799</v>
      </c>
      <c r="J21" s="172" t="s">
        <v>811</v>
      </c>
      <c r="K21" s="172" t="s">
        <v>349</v>
      </c>
      <c r="L21" s="117" t="s">
        <v>60</v>
      </c>
      <c r="M21" s="117" t="s">
        <v>786</v>
      </c>
      <c r="N21" s="117" t="s">
        <v>808</v>
      </c>
    </row>
    <row r="22" spans="1:14" hidden="1" x14ac:dyDescent="0.3">
      <c r="A22" s="172" t="s">
        <v>806</v>
      </c>
      <c r="B22" s="173">
        <v>47500000</v>
      </c>
      <c r="C22" s="127">
        <v>63135.42</v>
      </c>
      <c r="D22" s="173">
        <f t="shared" si="0"/>
        <v>47563135.420000002</v>
      </c>
      <c r="E22" s="174">
        <v>44686</v>
      </c>
      <c r="F22" s="174">
        <v>45050</v>
      </c>
      <c r="G22" s="175" t="s">
        <v>784</v>
      </c>
      <c r="H22" s="171">
        <v>4.3499999999999997E-2</v>
      </c>
      <c r="I22" s="167" t="s">
        <v>799</v>
      </c>
      <c r="J22" s="172" t="s">
        <v>812</v>
      </c>
      <c r="K22" s="172" t="s">
        <v>349</v>
      </c>
      <c r="L22" s="117" t="s">
        <v>60</v>
      </c>
      <c r="M22" s="117" t="s">
        <v>786</v>
      </c>
      <c r="N22" s="117" t="s">
        <v>808</v>
      </c>
    </row>
    <row r="23" spans="1:14" hidden="1" x14ac:dyDescent="0.3">
      <c r="A23" s="172" t="s">
        <v>806</v>
      </c>
      <c r="B23" s="173">
        <v>95000000</v>
      </c>
      <c r="C23" s="127">
        <v>124238.89</v>
      </c>
      <c r="D23" s="173">
        <f t="shared" si="0"/>
        <v>95124238.890000001</v>
      </c>
      <c r="E23" s="174">
        <v>44590</v>
      </c>
      <c r="F23" s="174">
        <v>44954</v>
      </c>
      <c r="G23" s="175" t="s">
        <v>784</v>
      </c>
      <c r="H23" s="171">
        <v>4.2799999999999998E-2</v>
      </c>
      <c r="I23" s="167" t="s">
        <v>799</v>
      </c>
      <c r="J23" s="172" t="s">
        <v>813</v>
      </c>
      <c r="K23" s="172" t="s">
        <v>349</v>
      </c>
      <c r="L23" s="117" t="s">
        <v>60</v>
      </c>
      <c r="M23" s="117" t="s">
        <v>786</v>
      </c>
      <c r="N23" s="117" t="s">
        <v>808</v>
      </c>
    </row>
    <row r="24" spans="1:14" hidden="1" x14ac:dyDescent="0.3">
      <c r="A24" s="172" t="s">
        <v>806</v>
      </c>
      <c r="B24" s="173">
        <v>72500000</v>
      </c>
      <c r="C24" s="127">
        <v>88611.11</v>
      </c>
      <c r="D24" s="173">
        <f t="shared" si="0"/>
        <v>72588611.109999999</v>
      </c>
      <c r="E24" s="174">
        <v>44615</v>
      </c>
      <c r="F24" s="174">
        <v>44979</v>
      </c>
      <c r="G24" s="175" t="s">
        <v>784</v>
      </c>
      <c r="H24" s="171">
        <v>0.04</v>
      </c>
      <c r="I24" s="167" t="s">
        <v>799</v>
      </c>
      <c r="J24" s="172" t="s">
        <v>814</v>
      </c>
      <c r="K24" s="172" t="s">
        <v>349</v>
      </c>
      <c r="L24" s="117" t="s">
        <v>60</v>
      </c>
      <c r="M24" s="117" t="s">
        <v>786</v>
      </c>
      <c r="N24" s="117" t="s">
        <v>808</v>
      </c>
    </row>
    <row r="25" spans="1:14" hidden="1" x14ac:dyDescent="0.3">
      <c r="A25" s="172" t="s">
        <v>806</v>
      </c>
      <c r="B25" s="173">
        <v>76000000</v>
      </c>
      <c r="C25" s="127">
        <v>92888.89</v>
      </c>
      <c r="D25" s="173">
        <f t="shared" si="0"/>
        <v>76092888.890000001</v>
      </c>
      <c r="E25" s="174">
        <v>44615</v>
      </c>
      <c r="F25" s="174">
        <v>44978</v>
      </c>
      <c r="G25" s="175" t="s">
        <v>784</v>
      </c>
      <c r="H25" s="171">
        <v>0.04</v>
      </c>
      <c r="I25" s="167" t="s">
        <v>799</v>
      </c>
      <c r="J25" s="172" t="s">
        <v>815</v>
      </c>
      <c r="K25" s="172" t="s">
        <v>349</v>
      </c>
      <c r="L25" s="117" t="s">
        <v>60</v>
      </c>
      <c r="M25" s="117" t="s">
        <v>786</v>
      </c>
      <c r="N25" s="117" t="s">
        <v>808</v>
      </c>
    </row>
    <row r="26" spans="1:14" hidden="1" x14ac:dyDescent="0.3">
      <c r="A26" s="172" t="s">
        <v>790</v>
      </c>
      <c r="B26" s="173">
        <v>10000000</v>
      </c>
      <c r="C26" s="127">
        <v>19738.89</v>
      </c>
      <c r="D26" s="173">
        <f t="shared" si="0"/>
        <v>10019738.890000001</v>
      </c>
      <c r="E26" s="174">
        <v>44642</v>
      </c>
      <c r="F26" s="174">
        <v>45007</v>
      </c>
      <c r="G26" s="175" t="s">
        <v>784</v>
      </c>
      <c r="H26" s="171">
        <v>6.4600000000000005E-2</v>
      </c>
      <c r="I26" s="167" t="s">
        <v>785</v>
      </c>
      <c r="J26" s="172" t="s">
        <v>650</v>
      </c>
      <c r="K26" s="172" t="s">
        <v>349</v>
      </c>
      <c r="L26" s="117" t="s">
        <v>60</v>
      </c>
      <c r="M26" s="117" t="s">
        <v>786</v>
      </c>
      <c r="N26" s="117" t="s">
        <v>789</v>
      </c>
    </row>
    <row r="27" spans="1:14" hidden="1" x14ac:dyDescent="0.3">
      <c r="A27" s="172" t="s">
        <v>816</v>
      </c>
      <c r="B27" s="173">
        <v>49000000</v>
      </c>
      <c r="C27" s="127">
        <v>67375</v>
      </c>
      <c r="D27" s="173">
        <f t="shared" si="0"/>
        <v>49067375</v>
      </c>
      <c r="E27" s="174">
        <v>44680</v>
      </c>
      <c r="F27" s="174">
        <v>45044</v>
      </c>
      <c r="G27" s="175" t="s">
        <v>784</v>
      </c>
      <c r="H27" s="171">
        <v>4.3499999999999997E-2</v>
      </c>
      <c r="I27" s="167" t="s">
        <v>799</v>
      </c>
      <c r="J27" s="172" t="s">
        <v>817</v>
      </c>
      <c r="K27" s="172" t="s">
        <v>349</v>
      </c>
      <c r="L27" s="117" t="s">
        <v>60</v>
      </c>
      <c r="M27" s="117" t="s">
        <v>786</v>
      </c>
      <c r="N27" s="117" t="s">
        <v>808</v>
      </c>
    </row>
    <row r="28" spans="1:14" hidden="1" x14ac:dyDescent="0.3">
      <c r="A28" s="117" t="s">
        <v>818</v>
      </c>
      <c r="B28" s="168">
        <v>38000000</v>
      </c>
      <c r="C28" s="168"/>
      <c r="D28" s="168">
        <f t="shared" si="0"/>
        <v>38000000</v>
      </c>
      <c r="E28" s="150">
        <v>44638</v>
      </c>
      <c r="F28" s="150">
        <v>45003</v>
      </c>
      <c r="G28" s="170" t="s">
        <v>784</v>
      </c>
      <c r="H28" s="171"/>
      <c r="I28" s="167" t="s">
        <v>799</v>
      </c>
      <c r="J28" s="167" t="s">
        <v>819</v>
      </c>
      <c r="K28" s="167" t="s">
        <v>349</v>
      </c>
      <c r="L28" s="117" t="s">
        <v>60</v>
      </c>
      <c r="M28" s="117" t="s">
        <v>786</v>
      </c>
      <c r="N28" s="117" t="s">
        <v>789</v>
      </c>
    </row>
    <row r="29" spans="1:14" hidden="1" x14ac:dyDescent="0.3">
      <c r="A29" s="117" t="s">
        <v>818</v>
      </c>
      <c r="B29" s="168">
        <v>20000000</v>
      </c>
      <c r="C29" s="168"/>
      <c r="D29" s="168">
        <f t="shared" si="0"/>
        <v>20000000</v>
      </c>
      <c r="E29" s="150">
        <v>44642</v>
      </c>
      <c r="F29" s="150">
        <v>45007</v>
      </c>
      <c r="G29" s="170" t="s">
        <v>784</v>
      </c>
      <c r="H29" s="171"/>
      <c r="I29" s="167" t="s">
        <v>799</v>
      </c>
      <c r="J29" s="167" t="s">
        <v>819</v>
      </c>
      <c r="K29" s="167" t="s">
        <v>355</v>
      </c>
      <c r="L29" s="117" t="s">
        <v>60</v>
      </c>
      <c r="M29" s="117" t="s">
        <v>786</v>
      </c>
      <c r="N29" s="117" t="s">
        <v>789</v>
      </c>
    </row>
    <row r="30" spans="1:14" hidden="1" x14ac:dyDescent="0.3">
      <c r="A30" s="117" t="s">
        <v>820</v>
      </c>
      <c r="B30" s="168">
        <v>10000000</v>
      </c>
      <c r="C30" s="168">
        <v>11763.89</v>
      </c>
      <c r="D30" s="168">
        <f t="shared" si="0"/>
        <v>10011763.890000001</v>
      </c>
      <c r="E30" s="150">
        <v>44620</v>
      </c>
      <c r="F30" s="150">
        <v>44981</v>
      </c>
      <c r="G30" s="170" t="s">
        <v>784</v>
      </c>
      <c r="H30" s="176">
        <v>3.85E-2</v>
      </c>
      <c r="I30" s="167" t="s">
        <v>799</v>
      </c>
      <c r="J30" s="167" t="s">
        <v>821</v>
      </c>
      <c r="K30" s="167" t="s">
        <v>355</v>
      </c>
      <c r="L30" s="117" t="s">
        <v>60</v>
      </c>
      <c r="M30" s="117" t="s">
        <v>786</v>
      </c>
      <c r="N30" s="117" t="s">
        <v>808</v>
      </c>
    </row>
    <row r="31" spans="1:14" hidden="1" x14ac:dyDescent="0.3">
      <c r="A31" s="117" t="s">
        <v>790</v>
      </c>
      <c r="B31" s="168">
        <v>10000000</v>
      </c>
      <c r="C31" s="168">
        <v>20288.89</v>
      </c>
      <c r="D31" s="168">
        <f t="shared" si="0"/>
        <v>10020288.890000001</v>
      </c>
      <c r="E31" s="150">
        <v>44642</v>
      </c>
      <c r="F31" s="150">
        <v>45007</v>
      </c>
      <c r="G31" s="170" t="s">
        <v>784</v>
      </c>
      <c r="H31" s="176">
        <v>6.6400000000000001E-2</v>
      </c>
      <c r="I31" s="167" t="s">
        <v>785</v>
      </c>
      <c r="J31" s="167" t="s">
        <v>650</v>
      </c>
      <c r="K31" s="167" t="s">
        <v>355</v>
      </c>
      <c r="L31" s="117" t="s">
        <v>60</v>
      </c>
      <c r="M31" s="117" t="s">
        <v>786</v>
      </c>
      <c r="N31" s="117" t="s">
        <v>789</v>
      </c>
    </row>
    <row r="32" spans="1:14" hidden="1" x14ac:dyDescent="0.3">
      <c r="A32" s="172" t="s">
        <v>790</v>
      </c>
      <c r="B32" s="173">
        <v>10000000</v>
      </c>
      <c r="C32" s="168">
        <v>20288.89</v>
      </c>
      <c r="D32" s="168">
        <f t="shared" si="0"/>
        <v>10020288.890000001</v>
      </c>
      <c r="E32" s="174">
        <v>44631</v>
      </c>
      <c r="F32" s="174">
        <v>44996</v>
      </c>
      <c r="G32" s="175" t="s">
        <v>784</v>
      </c>
      <c r="H32" s="171">
        <v>6.6400000000000001E-2</v>
      </c>
      <c r="I32" s="167" t="s">
        <v>799</v>
      </c>
      <c r="J32" s="172" t="s">
        <v>822</v>
      </c>
      <c r="K32" s="172" t="s">
        <v>698</v>
      </c>
      <c r="L32" s="117" t="s">
        <v>60</v>
      </c>
      <c r="M32" s="117" t="s">
        <v>786</v>
      </c>
      <c r="N32" s="117" t="s">
        <v>789</v>
      </c>
    </row>
    <row r="33" spans="1:14" hidden="1" x14ac:dyDescent="0.3">
      <c r="A33" s="172" t="s">
        <v>820</v>
      </c>
      <c r="B33" s="173">
        <v>10000000</v>
      </c>
      <c r="C33" s="168">
        <v>11763.89</v>
      </c>
      <c r="D33" s="168">
        <f t="shared" si="0"/>
        <v>10011763.890000001</v>
      </c>
      <c r="E33" s="174">
        <v>44620</v>
      </c>
      <c r="F33" s="174">
        <v>44981</v>
      </c>
      <c r="G33" s="175" t="s">
        <v>784</v>
      </c>
      <c r="H33" s="171">
        <v>3.85E-2</v>
      </c>
      <c r="I33" s="167" t="s">
        <v>799</v>
      </c>
      <c r="J33" s="172" t="s">
        <v>821</v>
      </c>
      <c r="K33" s="172" t="s">
        <v>823</v>
      </c>
      <c r="L33" s="117" t="s">
        <v>60</v>
      </c>
      <c r="M33" s="117" t="s">
        <v>786</v>
      </c>
      <c r="N33" s="117" t="s">
        <v>808</v>
      </c>
    </row>
    <row r="34" spans="1:14" hidden="1" x14ac:dyDescent="0.3">
      <c r="A34" s="172" t="s">
        <v>790</v>
      </c>
      <c r="B34" s="173">
        <v>10000000</v>
      </c>
      <c r="C34" s="168">
        <v>13138.89</v>
      </c>
      <c r="D34" s="168">
        <f t="shared" si="0"/>
        <v>10013138.890000001</v>
      </c>
      <c r="E34" s="174">
        <v>44585</v>
      </c>
      <c r="F34" s="174">
        <v>44946</v>
      </c>
      <c r="G34" s="175" t="s">
        <v>784</v>
      </c>
      <c r="H34" s="171">
        <v>4.2999999999999997E-2</v>
      </c>
      <c r="I34" s="167" t="s">
        <v>799</v>
      </c>
      <c r="J34" s="172" t="s">
        <v>800</v>
      </c>
      <c r="K34" s="172" t="s">
        <v>823</v>
      </c>
      <c r="L34" s="117" t="s">
        <v>60</v>
      </c>
      <c r="M34" s="117" t="s">
        <v>786</v>
      </c>
      <c r="N34" s="117" t="s">
        <v>789</v>
      </c>
    </row>
    <row r="35" spans="1:14" hidden="1" x14ac:dyDescent="0.3">
      <c r="A35" s="172" t="s">
        <v>790</v>
      </c>
      <c r="B35" s="173">
        <v>10000000</v>
      </c>
      <c r="C35" s="168">
        <v>13138.89</v>
      </c>
      <c r="D35" s="168">
        <f t="shared" si="0"/>
        <v>10013138.890000001</v>
      </c>
      <c r="E35" s="174">
        <v>44585</v>
      </c>
      <c r="F35" s="174">
        <v>44947</v>
      </c>
      <c r="G35" s="175" t="s">
        <v>784</v>
      </c>
      <c r="H35" s="171">
        <v>4.2999999999999997E-2</v>
      </c>
      <c r="I35" s="167" t="s">
        <v>799</v>
      </c>
      <c r="J35" s="172" t="s">
        <v>800</v>
      </c>
      <c r="K35" s="172" t="s">
        <v>824</v>
      </c>
      <c r="L35" s="117" t="s">
        <v>60</v>
      </c>
      <c r="M35" s="117" t="s">
        <v>786</v>
      </c>
      <c r="N35" s="117" t="s">
        <v>789</v>
      </c>
    </row>
    <row r="36" spans="1:14" hidden="1" x14ac:dyDescent="0.3">
      <c r="A36" s="172" t="s">
        <v>825</v>
      </c>
      <c r="B36" s="173">
        <v>40000000</v>
      </c>
      <c r="C36" s="173">
        <v>63555.56</v>
      </c>
      <c r="D36" s="168">
        <f t="shared" si="0"/>
        <v>40063555.560000002</v>
      </c>
      <c r="E36" s="174">
        <v>44678</v>
      </c>
      <c r="F36" s="174">
        <v>45042</v>
      </c>
      <c r="G36" s="175" t="s">
        <v>784</v>
      </c>
      <c r="H36" s="171">
        <v>5.1999999999999998E-2</v>
      </c>
      <c r="I36" s="167" t="s">
        <v>785</v>
      </c>
      <c r="J36" s="172" t="s">
        <v>354</v>
      </c>
      <c r="K36" s="172" t="s">
        <v>826</v>
      </c>
      <c r="L36" s="117" t="s">
        <v>60</v>
      </c>
      <c r="M36" s="117" t="s">
        <v>786</v>
      </c>
      <c r="N36" s="117" t="s">
        <v>794</v>
      </c>
    </row>
    <row r="37" spans="1:14" hidden="1" x14ac:dyDescent="0.3">
      <c r="A37" s="172" t="s">
        <v>783</v>
      </c>
      <c r="B37" s="173">
        <v>28000000</v>
      </c>
      <c r="C37" s="173">
        <v>58177.78</v>
      </c>
      <c r="D37" s="168">
        <f t="shared" si="0"/>
        <v>28058177.780000001</v>
      </c>
      <c r="E37" s="174">
        <v>44565</v>
      </c>
      <c r="F37" s="174">
        <v>44929</v>
      </c>
      <c r="G37" s="175" t="s">
        <v>784</v>
      </c>
      <c r="H37" s="171">
        <v>6.8000000000000005E-2</v>
      </c>
      <c r="I37" s="167" t="s">
        <v>785</v>
      </c>
      <c r="J37" s="172" t="s">
        <v>354</v>
      </c>
      <c r="K37" s="172" t="s">
        <v>826</v>
      </c>
      <c r="L37" s="117" t="s">
        <v>60</v>
      </c>
      <c r="M37" s="117" t="s">
        <v>786</v>
      </c>
      <c r="N37" s="117" t="s">
        <v>787</v>
      </c>
    </row>
    <row r="38" spans="1:14" hidden="1" x14ac:dyDescent="0.3">
      <c r="A38" s="172" t="s">
        <v>827</v>
      </c>
      <c r="B38" s="173">
        <v>10000000</v>
      </c>
      <c r="C38" s="173">
        <v>18333.330000000002</v>
      </c>
      <c r="D38" s="168">
        <f t="shared" si="0"/>
        <v>10018333.33</v>
      </c>
      <c r="E38" s="174">
        <v>44720</v>
      </c>
      <c r="F38" s="174">
        <v>45084</v>
      </c>
      <c r="G38" s="175" t="s">
        <v>784</v>
      </c>
      <c r="H38" s="171">
        <v>0.06</v>
      </c>
      <c r="I38" s="167" t="s">
        <v>785</v>
      </c>
      <c r="J38" s="172" t="s">
        <v>354</v>
      </c>
      <c r="K38" s="172" t="s">
        <v>826</v>
      </c>
      <c r="L38" s="117" t="s">
        <v>60</v>
      </c>
      <c r="M38" s="117" t="s">
        <v>786</v>
      </c>
      <c r="N38" s="117" t="s">
        <v>789</v>
      </c>
    </row>
    <row r="39" spans="1:14" hidden="1" x14ac:dyDescent="0.3">
      <c r="A39" s="172" t="s">
        <v>783</v>
      </c>
      <c r="B39" s="173">
        <v>11000000</v>
      </c>
      <c r="C39" s="173">
        <v>4583.33</v>
      </c>
      <c r="D39" s="168">
        <f t="shared" si="0"/>
        <v>11004583.33</v>
      </c>
      <c r="E39" s="174">
        <v>44924</v>
      </c>
      <c r="F39" s="174">
        <v>45280</v>
      </c>
      <c r="G39" s="175" t="s">
        <v>784</v>
      </c>
      <c r="H39" s="171">
        <v>0.05</v>
      </c>
      <c r="I39" s="167" t="s">
        <v>785</v>
      </c>
      <c r="J39" s="172" t="s">
        <v>354</v>
      </c>
      <c r="K39" s="172" t="s">
        <v>826</v>
      </c>
      <c r="L39" s="117" t="s">
        <v>60</v>
      </c>
      <c r="M39" s="117" t="s">
        <v>786</v>
      </c>
      <c r="N39" s="117" t="s">
        <v>787</v>
      </c>
    </row>
    <row r="40" spans="1:14" hidden="1" x14ac:dyDescent="0.3">
      <c r="A40" s="172" t="s">
        <v>828</v>
      </c>
      <c r="B40" s="173">
        <v>49000000</v>
      </c>
      <c r="C40" s="173">
        <v>72275</v>
      </c>
      <c r="D40" s="168">
        <f t="shared" si="0"/>
        <v>49072275</v>
      </c>
      <c r="E40" s="174">
        <v>44918</v>
      </c>
      <c r="F40" s="174">
        <v>45026</v>
      </c>
      <c r="G40" s="175" t="s">
        <v>784</v>
      </c>
      <c r="H40" s="171">
        <v>5.8999999999999997E-2</v>
      </c>
      <c r="I40" s="167" t="s">
        <v>785</v>
      </c>
      <c r="J40" s="172" t="s">
        <v>354</v>
      </c>
      <c r="K40" s="172" t="s">
        <v>826</v>
      </c>
      <c r="L40" s="117" t="s">
        <v>60</v>
      </c>
      <c r="M40" s="117" t="s">
        <v>786</v>
      </c>
      <c r="N40" s="117" t="s">
        <v>789</v>
      </c>
    </row>
    <row r="41" spans="1:14" hidden="1" x14ac:dyDescent="0.3">
      <c r="A41" s="172" t="s">
        <v>829</v>
      </c>
      <c r="B41" s="173">
        <v>10000000</v>
      </c>
      <c r="C41" s="173">
        <v>11763.89</v>
      </c>
      <c r="D41" s="168">
        <f t="shared" si="0"/>
        <v>10011763.890000001</v>
      </c>
      <c r="E41" s="174">
        <v>44620</v>
      </c>
      <c r="F41" s="174">
        <v>44981</v>
      </c>
      <c r="G41" s="175" t="s">
        <v>784</v>
      </c>
      <c r="H41" s="171">
        <v>3.85E-2</v>
      </c>
      <c r="I41" s="167" t="s">
        <v>799</v>
      </c>
      <c r="J41" s="172" t="s">
        <v>830</v>
      </c>
      <c r="K41" s="172" t="s">
        <v>826</v>
      </c>
      <c r="L41" s="117" t="s">
        <v>60</v>
      </c>
      <c r="M41" s="117" t="s">
        <v>786</v>
      </c>
      <c r="N41" s="117" t="s">
        <v>808</v>
      </c>
    </row>
    <row r="42" spans="1:14" hidden="1" x14ac:dyDescent="0.3">
      <c r="A42" s="167" t="s">
        <v>831</v>
      </c>
      <c r="B42" s="177">
        <v>80000000</v>
      </c>
      <c r="C42" s="177">
        <v>84444.44</v>
      </c>
      <c r="D42" s="168">
        <f t="shared" si="0"/>
        <v>80084444.439999998</v>
      </c>
      <c r="E42" s="169">
        <v>44722</v>
      </c>
      <c r="F42" s="169">
        <v>45072</v>
      </c>
      <c r="G42" s="170" t="s">
        <v>784</v>
      </c>
      <c r="H42" s="178">
        <v>3.7999999999999999E-2</v>
      </c>
      <c r="I42" s="167" t="s">
        <v>785</v>
      </c>
      <c r="J42" s="167" t="s">
        <v>354</v>
      </c>
      <c r="K42" s="167" t="s">
        <v>832</v>
      </c>
      <c r="L42" s="117" t="s">
        <v>60</v>
      </c>
      <c r="M42" s="117" t="s">
        <v>786</v>
      </c>
      <c r="N42" s="117" t="s">
        <v>833</v>
      </c>
    </row>
    <row r="43" spans="1:14" hidden="1" x14ac:dyDescent="0.3">
      <c r="A43" s="167" t="s">
        <v>831</v>
      </c>
      <c r="B43" s="177">
        <v>8520000</v>
      </c>
      <c r="C43" s="177">
        <v>8993.33</v>
      </c>
      <c r="D43" s="168">
        <f t="shared" si="0"/>
        <v>8528993.3300000001</v>
      </c>
      <c r="E43" s="169">
        <v>44888</v>
      </c>
      <c r="F43" s="169">
        <v>45159</v>
      </c>
      <c r="G43" s="170" t="s">
        <v>784</v>
      </c>
      <c r="H43" s="178">
        <v>3.7999999999999999E-2</v>
      </c>
      <c r="I43" s="167" t="s">
        <v>785</v>
      </c>
      <c r="J43" s="167" t="s">
        <v>354</v>
      </c>
      <c r="K43" s="167" t="s">
        <v>832</v>
      </c>
      <c r="L43" s="117" t="s">
        <v>60</v>
      </c>
      <c r="M43" s="117" t="s">
        <v>786</v>
      </c>
      <c r="N43" s="117" t="s">
        <v>833</v>
      </c>
    </row>
    <row r="44" spans="1:14" hidden="1" x14ac:dyDescent="0.3">
      <c r="A44" s="167" t="s">
        <v>831</v>
      </c>
      <c r="B44" s="177">
        <v>10350000</v>
      </c>
      <c r="C44" s="177">
        <v>10925</v>
      </c>
      <c r="D44" s="168">
        <f t="shared" si="0"/>
        <v>10360925</v>
      </c>
      <c r="E44" s="169">
        <v>44890</v>
      </c>
      <c r="F44" s="169">
        <v>45159</v>
      </c>
      <c r="G44" s="170" t="s">
        <v>784</v>
      </c>
      <c r="H44" s="178">
        <v>3.7999999999999999E-2</v>
      </c>
      <c r="I44" s="167" t="s">
        <v>785</v>
      </c>
      <c r="J44" s="167" t="s">
        <v>354</v>
      </c>
      <c r="K44" s="167" t="s">
        <v>832</v>
      </c>
      <c r="L44" s="117" t="s">
        <v>60</v>
      </c>
      <c r="M44" s="117" t="s">
        <v>786</v>
      </c>
      <c r="N44" s="117" t="s">
        <v>833</v>
      </c>
    </row>
    <row r="45" spans="1:14" hidden="1" x14ac:dyDescent="0.3">
      <c r="A45" s="167" t="s">
        <v>831</v>
      </c>
      <c r="B45" s="177">
        <v>16800000</v>
      </c>
      <c r="C45" s="177">
        <v>17733.330000000002</v>
      </c>
      <c r="D45" s="168">
        <f t="shared" si="0"/>
        <v>16817733.329999998</v>
      </c>
      <c r="E45" s="169">
        <v>44895</v>
      </c>
      <c r="F45" s="169">
        <v>45159</v>
      </c>
      <c r="G45" s="170" t="s">
        <v>784</v>
      </c>
      <c r="H45" s="178">
        <v>3.7999999999999999E-2</v>
      </c>
      <c r="I45" s="167" t="s">
        <v>785</v>
      </c>
      <c r="J45" s="167" t="s">
        <v>354</v>
      </c>
      <c r="K45" s="167" t="s">
        <v>832</v>
      </c>
      <c r="L45" s="117" t="s">
        <v>60</v>
      </c>
      <c r="M45" s="117" t="s">
        <v>786</v>
      </c>
      <c r="N45" s="117" t="s">
        <v>833</v>
      </c>
    </row>
    <row r="46" spans="1:14" hidden="1" x14ac:dyDescent="0.3">
      <c r="A46" s="167" t="s">
        <v>831</v>
      </c>
      <c r="B46" s="177">
        <v>14330000</v>
      </c>
      <c r="C46" s="177">
        <v>15126.11</v>
      </c>
      <c r="D46" s="168">
        <f t="shared" si="0"/>
        <v>14345126.109999999</v>
      </c>
      <c r="E46" s="169">
        <v>44902</v>
      </c>
      <c r="F46" s="169">
        <v>45159</v>
      </c>
      <c r="G46" s="170" t="s">
        <v>784</v>
      </c>
      <c r="H46" s="178">
        <v>3.7999999999999999E-2</v>
      </c>
      <c r="I46" s="167" t="s">
        <v>785</v>
      </c>
      <c r="J46" s="167" t="s">
        <v>354</v>
      </c>
      <c r="K46" s="167" t="s">
        <v>832</v>
      </c>
      <c r="L46" s="117" t="s">
        <v>60</v>
      </c>
      <c r="M46" s="117" t="s">
        <v>786</v>
      </c>
      <c r="N46" s="117" t="s">
        <v>833</v>
      </c>
    </row>
    <row r="47" spans="1:14" hidden="1" x14ac:dyDescent="0.3">
      <c r="A47" s="167" t="s">
        <v>831</v>
      </c>
      <c r="B47" s="177">
        <v>66760410.020000003</v>
      </c>
      <c r="C47" s="177">
        <v>70469.320000000007</v>
      </c>
      <c r="D47" s="168">
        <f t="shared" si="0"/>
        <v>66830879.340000004</v>
      </c>
      <c r="E47" s="169">
        <v>44726</v>
      </c>
      <c r="F47" s="169">
        <v>45072</v>
      </c>
      <c r="G47" s="170" t="s">
        <v>784</v>
      </c>
      <c r="H47" s="178">
        <v>3.7999999999999999E-2</v>
      </c>
      <c r="I47" s="167" t="s">
        <v>785</v>
      </c>
      <c r="J47" s="167" t="s">
        <v>354</v>
      </c>
      <c r="K47" s="167" t="s">
        <v>832</v>
      </c>
      <c r="L47" s="117" t="s">
        <v>60</v>
      </c>
      <c r="M47" s="117" t="s">
        <v>786</v>
      </c>
      <c r="N47" s="117" t="s">
        <v>833</v>
      </c>
    </row>
    <row r="48" spans="1:14" hidden="1" x14ac:dyDescent="0.3">
      <c r="A48" s="167" t="s">
        <v>831</v>
      </c>
      <c r="B48" s="177">
        <v>80000000</v>
      </c>
      <c r="C48" s="177">
        <v>84444.44</v>
      </c>
      <c r="D48" s="168">
        <f t="shared" si="0"/>
        <v>80084444.439999998</v>
      </c>
      <c r="E48" s="169">
        <v>44729</v>
      </c>
      <c r="F48" s="169">
        <v>45072</v>
      </c>
      <c r="G48" s="170" t="s">
        <v>784</v>
      </c>
      <c r="H48" s="178">
        <v>3.7999999999999999E-2</v>
      </c>
      <c r="I48" s="167" t="s">
        <v>785</v>
      </c>
      <c r="J48" s="167" t="s">
        <v>354</v>
      </c>
      <c r="K48" s="167" t="s">
        <v>832</v>
      </c>
      <c r="L48" s="117" t="s">
        <v>60</v>
      </c>
      <c r="M48" s="117" t="s">
        <v>786</v>
      </c>
      <c r="N48" s="117" t="s">
        <v>833</v>
      </c>
    </row>
    <row r="49" spans="1:14" hidden="1" x14ac:dyDescent="0.3">
      <c r="A49" s="167" t="s">
        <v>834</v>
      </c>
      <c r="B49" s="177">
        <v>2500000</v>
      </c>
      <c r="C49" s="177">
        <v>3819.44</v>
      </c>
      <c r="D49" s="168">
        <f t="shared" si="0"/>
        <v>2503819.44</v>
      </c>
      <c r="E49" s="169">
        <v>44858</v>
      </c>
      <c r="F49" s="169">
        <v>45223</v>
      </c>
      <c r="G49" s="170" t="s">
        <v>784</v>
      </c>
      <c r="H49" s="178">
        <v>5.5E-2</v>
      </c>
      <c r="I49" s="167" t="s">
        <v>835</v>
      </c>
      <c r="J49" s="167"/>
      <c r="K49" s="167" t="s">
        <v>836</v>
      </c>
      <c r="L49" s="117" t="s">
        <v>60</v>
      </c>
      <c r="M49" s="117" t="s">
        <v>786</v>
      </c>
      <c r="N49" s="117" t="s">
        <v>837</v>
      </c>
    </row>
    <row r="50" spans="1:14" hidden="1" x14ac:dyDescent="0.3">
      <c r="A50" s="167" t="s">
        <v>834</v>
      </c>
      <c r="B50" s="177">
        <v>2500000</v>
      </c>
      <c r="C50" s="177">
        <v>3819.44</v>
      </c>
      <c r="D50" s="168">
        <f t="shared" si="0"/>
        <v>2503819.44</v>
      </c>
      <c r="E50" s="169">
        <v>44858</v>
      </c>
      <c r="F50" s="169">
        <v>45223</v>
      </c>
      <c r="G50" s="170" t="s">
        <v>784</v>
      </c>
      <c r="H50" s="178">
        <v>5.5E-2</v>
      </c>
      <c r="I50" s="167" t="s">
        <v>835</v>
      </c>
      <c r="J50" s="167"/>
      <c r="K50" s="167" t="s">
        <v>836</v>
      </c>
      <c r="L50" s="117" t="s">
        <v>60</v>
      </c>
      <c r="M50" s="117" t="s">
        <v>786</v>
      </c>
      <c r="N50" s="117" t="s">
        <v>837</v>
      </c>
    </row>
    <row r="51" spans="1:14" hidden="1" x14ac:dyDescent="0.3">
      <c r="A51" s="167" t="s">
        <v>838</v>
      </c>
      <c r="B51" s="177">
        <v>10000000</v>
      </c>
      <c r="C51" s="177">
        <v>11944.44</v>
      </c>
      <c r="D51" s="168">
        <f t="shared" si="0"/>
        <v>10011944.439999999</v>
      </c>
      <c r="E51" s="169">
        <v>44741</v>
      </c>
      <c r="F51" s="169">
        <v>45099</v>
      </c>
      <c r="G51" s="170" t="s">
        <v>784</v>
      </c>
      <c r="H51" s="178">
        <v>4.2999999999999997E-2</v>
      </c>
      <c r="I51" s="167" t="s">
        <v>785</v>
      </c>
      <c r="J51" s="167" t="s">
        <v>354</v>
      </c>
      <c r="K51" s="167" t="s">
        <v>839</v>
      </c>
      <c r="L51" s="117" t="s">
        <v>60</v>
      </c>
      <c r="M51" s="117" t="s">
        <v>786</v>
      </c>
      <c r="N51" s="117" t="s">
        <v>787</v>
      </c>
    </row>
    <row r="52" spans="1:14" hidden="1" x14ac:dyDescent="0.3">
      <c r="A52" s="167" t="s">
        <v>834</v>
      </c>
      <c r="B52" s="177">
        <v>2500000</v>
      </c>
      <c r="C52" s="177">
        <v>3819.44</v>
      </c>
      <c r="D52" s="168">
        <f t="shared" si="0"/>
        <v>2503819.44</v>
      </c>
      <c r="E52" s="169">
        <v>44852</v>
      </c>
      <c r="F52" s="169">
        <v>45215</v>
      </c>
      <c r="G52" s="170" t="s">
        <v>784</v>
      </c>
      <c r="H52" s="178">
        <v>5.5E-2</v>
      </c>
      <c r="I52" s="167" t="s">
        <v>785</v>
      </c>
      <c r="J52" s="167" t="s">
        <v>840</v>
      </c>
      <c r="K52" s="167" t="s">
        <v>839</v>
      </c>
      <c r="L52" s="117" t="s">
        <v>60</v>
      </c>
      <c r="M52" s="117" t="s">
        <v>786</v>
      </c>
      <c r="N52" s="117" t="s">
        <v>837</v>
      </c>
    </row>
    <row r="53" spans="1:14" hidden="1" x14ac:dyDescent="0.3">
      <c r="A53" s="167" t="s">
        <v>834</v>
      </c>
      <c r="B53" s="177">
        <v>3000000</v>
      </c>
      <c r="C53" s="177">
        <v>4583.33</v>
      </c>
      <c r="D53" s="168">
        <f t="shared" si="0"/>
        <v>3004583.33</v>
      </c>
      <c r="E53" s="169">
        <v>44851</v>
      </c>
      <c r="F53" s="169">
        <v>45215</v>
      </c>
      <c r="G53" s="170" t="s">
        <v>784</v>
      </c>
      <c r="H53" s="178">
        <v>5.5E-2</v>
      </c>
      <c r="I53" s="167" t="s">
        <v>785</v>
      </c>
      <c r="J53" s="167" t="s">
        <v>841</v>
      </c>
      <c r="K53" s="167" t="s">
        <v>839</v>
      </c>
      <c r="L53" s="117" t="s">
        <v>60</v>
      </c>
      <c r="M53" s="117" t="s">
        <v>786</v>
      </c>
      <c r="N53" s="117" t="s">
        <v>837</v>
      </c>
    </row>
    <row r="54" spans="1:14" hidden="1" x14ac:dyDescent="0.3">
      <c r="A54" s="167" t="s">
        <v>834</v>
      </c>
      <c r="B54" s="177">
        <v>5000000</v>
      </c>
      <c r="C54" s="177">
        <v>7638.89</v>
      </c>
      <c r="D54" s="168">
        <f t="shared" si="0"/>
        <v>5007638.8899999997</v>
      </c>
      <c r="E54" s="169">
        <v>44854</v>
      </c>
      <c r="F54" s="169">
        <v>45217</v>
      </c>
      <c r="G54" s="170" t="s">
        <v>784</v>
      </c>
      <c r="H54" s="178">
        <v>5.5E-2</v>
      </c>
      <c r="I54" s="167" t="s">
        <v>842</v>
      </c>
      <c r="J54" s="167" t="s">
        <v>843</v>
      </c>
      <c r="K54" s="167" t="s">
        <v>844</v>
      </c>
      <c r="L54" s="117" t="s">
        <v>60</v>
      </c>
      <c r="M54" s="117" t="s">
        <v>786</v>
      </c>
      <c r="N54" s="117" t="s">
        <v>837</v>
      </c>
    </row>
    <row r="55" spans="1:14" hidden="1" x14ac:dyDescent="0.3">
      <c r="A55" s="167" t="s">
        <v>614</v>
      </c>
      <c r="B55" s="177">
        <v>20000000</v>
      </c>
      <c r="C55" s="177">
        <v>22500</v>
      </c>
      <c r="D55" s="168">
        <f t="shared" si="0"/>
        <v>20022500</v>
      </c>
      <c r="E55" s="169">
        <v>44900</v>
      </c>
      <c r="F55" s="169">
        <v>45066</v>
      </c>
      <c r="G55" s="170" t="s">
        <v>784</v>
      </c>
      <c r="H55" s="178">
        <v>4.0500000000000001E-2</v>
      </c>
      <c r="I55" s="167" t="s">
        <v>785</v>
      </c>
      <c r="J55" s="167" t="s">
        <v>354</v>
      </c>
      <c r="K55" s="167" t="s">
        <v>832</v>
      </c>
      <c r="L55" s="117" t="s">
        <v>60</v>
      </c>
      <c r="M55" s="117" t="s">
        <v>786</v>
      </c>
      <c r="N55" s="117" t="s">
        <v>789</v>
      </c>
    </row>
    <row r="56" spans="1:14" hidden="1" x14ac:dyDescent="0.3">
      <c r="A56" s="167" t="s">
        <v>614</v>
      </c>
      <c r="B56" s="177">
        <v>20000000</v>
      </c>
      <c r="C56" s="177">
        <v>22500</v>
      </c>
      <c r="D56" s="168">
        <f t="shared" si="0"/>
        <v>20022500</v>
      </c>
      <c r="E56" s="169">
        <v>44900</v>
      </c>
      <c r="F56" s="169">
        <v>45066</v>
      </c>
      <c r="G56" s="170" t="s">
        <v>784</v>
      </c>
      <c r="H56" s="178">
        <v>4.0500000000000001E-2</v>
      </c>
      <c r="I56" s="167" t="s">
        <v>785</v>
      </c>
      <c r="J56" s="167" t="s">
        <v>354</v>
      </c>
      <c r="K56" s="167" t="s">
        <v>832</v>
      </c>
      <c r="L56" s="117" t="s">
        <v>60</v>
      </c>
      <c r="M56" s="117" t="s">
        <v>786</v>
      </c>
      <c r="N56" s="117" t="s">
        <v>789</v>
      </c>
    </row>
    <row r="57" spans="1:14" hidden="1" x14ac:dyDescent="0.3">
      <c r="A57" s="167" t="s">
        <v>614</v>
      </c>
      <c r="B57" s="177">
        <v>5000000</v>
      </c>
      <c r="C57" s="177">
        <v>5625</v>
      </c>
      <c r="D57" s="168">
        <f t="shared" si="0"/>
        <v>5005625</v>
      </c>
      <c r="E57" s="169">
        <v>44900</v>
      </c>
      <c r="F57" s="169">
        <v>45066</v>
      </c>
      <c r="G57" s="170" t="s">
        <v>784</v>
      </c>
      <c r="H57" s="178">
        <v>4.0500000000000001E-2</v>
      </c>
      <c r="I57" s="167" t="s">
        <v>785</v>
      </c>
      <c r="J57" s="167" t="s">
        <v>354</v>
      </c>
      <c r="K57" s="167" t="s">
        <v>832</v>
      </c>
      <c r="L57" s="117" t="s">
        <v>60</v>
      </c>
      <c r="M57" s="117" t="s">
        <v>786</v>
      </c>
      <c r="N57" s="117" t="s">
        <v>789</v>
      </c>
    </row>
    <row r="58" spans="1:14" hidden="1" x14ac:dyDescent="0.3">
      <c r="A58" s="167" t="s">
        <v>783</v>
      </c>
      <c r="B58" s="177">
        <v>45000000</v>
      </c>
      <c r="C58" s="177">
        <v>50625</v>
      </c>
      <c r="D58" s="168">
        <f t="shared" si="0"/>
        <v>45050625</v>
      </c>
      <c r="E58" s="169">
        <v>44881</v>
      </c>
      <c r="F58" s="169">
        <v>45245</v>
      </c>
      <c r="G58" s="170" t="s">
        <v>784</v>
      </c>
      <c r="H58" s="178">
        <v>4.0500000000000001E-2</v>
      </c>
      <c r="I58" s="167" t="s">
        <v>785</v>
      </c>
      <c r="J58" s="167" t="s">
        <v>354</v>
      </c>
      <c r="K58" s="167" t="s">
        <v>832</v>
      </c>
      <c r="L58" s="117" t="s">
        <v>60</v>
      </c>
      <c r="M58" s="117" t="s">
        <v>786</v>
      </c>
      <c r="N58" s="117" t="s">
        <v>787</v>
      </c>
    </row>
    <row r="59" spans="1:14" hidden="1" x14ac:dyDescent="0.3">
      <c r="A59" s="167" t="s">
        <v>845</v>
      </c>
      <c r="B59" s="177">
        <v>18000000</v>
      </c>
      <c r="C59" s="177">
        <v>26850</v>
      </c>
      <c r="D59" s="168">
        <f t="shared" si="0"/>
        <v>18026850</v>
      </c>
      <c r="E59" s="169">
        <v>44763</v>
      </c>
      <c r="F59" s="169">
        <v>45127</v>
      </c>
      <c r="G59" s="170" t="s">
        <v>784</v>
      </c>
      <c r="H59" s="178">
        <v>5.3699999999999998E-2</v>
      </c>
      <c r="I59" s="167" t="s">
        <v>785</v>
      </c>
      <c r="J59" s="167" t="s">
        <v>354</v>
      </c>
      <c r="K59" s="167" t="s">
        <v>832</v>
      </c>
      <c r="L59" s="117" t="s">
        <v>60</v>
      </c>
      <c r="M59" s="117" t="s">
        <v>786</v>
      </c>
      <c r="N59" s="117" t="s">
        <v>789</v>
      </c>
    </row>
    <row r="60" spans="1:14" hidden="1" x14ac:dyDescent="0.3">
      <c r="A60" s="167" t="s">
        <v>845</v>
      </c>
      <c r="B60" s="177">
        <v>7000000</v>
      </c>
      <c r="C60" s="177">
        <v>9702.7800000000007</v>
      </c>
      <c r="D60" s="168">
        <f t="shared" si="0"/>
        <v>7009702.7800000003</v>
      </c>
      <c r="E60" s="169">
        <v>44756</v>
      </c>
      <c r="F60" s="169">
        <v>45121</v>
      </c>
      <c r="G60" s="170" t="s">
        <v>784</v>
      </c>
      <c r="H60" s="178">
        <v>4.99E-2</v>
      </c>
      <c r="I60" s="167" t="s">
        <v>842</v>
      </c>
      <c r="J60" s="167" t="s">
        <v>354</v>
      </c>
      <c r="K60" s="167" t="s">
        <v>832</v>
      </c>
      <c r="L60" s="117" t="s">
        <v>60</v>
      </c>
      <c r="M60" s="117" t="s">
        <v>786</v>
      </c>
      <c r="N60" s="117" t="s">
        <v>789</v>
      </c>
    </row>
    <row r="61" spans="1:14" hidden="1" x14ac:dyDescent="0.3">
      <c r="A61" s="167" t="s">
        <v>845</v>
      </c>
      <c r="B61" s="177">
        <v>2000000</v>
      </c>
      <c r="C61" s="177">
        <v>2772.22</v>
      </c>
      <c r="D61" s="168">
        <f t="shared" si="0"/>
        <v>2002772.22</v>
      </c>
      <c r="E61" s="169">
        <v>44756</v>
      </c>
      <c r="F61" s="169">
        <v>45121</v>
      </c>
      <c r="G61" s="170" t="s">
        <v>784</v>
      </c>
      <c r="H61" s="178">
        <v>4.99E-2</v>
      </c>
      <c r="I61" s="167" t="s">
        <v>842</v>
      </c>
      <c r="J61" s="167" t="s">
        <v>354</v>
      </c>
      <c r="K61" s="167" t="s">
        <v>832</v>
      </c>
      <c r="L61" s="117" t="s">
        <v>60</v>
      </c>
      <c r="M61" s="117" t="s">
        <v>786</v>
      </c>
      <c r="N61" s="117" t="s">
        <v>789</v>
      </c>
    </row>
    <row r="62" spans="1:14" hidden="1" x14ac:dyDescent="0.3">
      <c r="A62" s="167" t="s">
        <v>846</v>
      </c>
      <c r="B62" s="177">
        <v>25000000</v>
      </c>
      <c r="C62" s="177">
        <v>34722.22</v>
      </c>
      <c r="D62" s="168">
        <f t="shared" si="0"/>
        <v>25034722.219999999</v>
      </c>
      <c r="E62" s="169">
        <v>44742</v>
      </c>
      <c r="F62" s="169">
        <v>45106</v>
      </c>
      <c r="G62" s="170" t="s">
        <v>784</v>
      </c>
      <c r="H62" s="178">
        <v>0.05</v>
      </c>
      <c r="I62" s="167" t="s">
        <v>785</v>
      </c>
      <c r="J62" s="167" t="s">
        <v>354</v>
      </c>
      <c r="K62" s="167" t="s">
        <v>832</v>
      </c>
      <c r="L62" s="117" t="s">
        <v>60</v>
      </c>
      <c r="M62" s="117" t="s">
        <v>786</v>
      </c>
      <c r="N62" s="117" t="s">
        <v>794</v>
      </c>
    </row>
    <row r="63" spans="1:14" hidden="1" x14ac:dyDescent="0.3">
      <c r="A63" s="167" t="s">
        <v>847</v>
      </c>
      <c r="B63" s="177">
        <v>20000000</v>
      </c>
      <c r="C63" s="177">
        <v>33333.33</v>
      </c>
      <c r="D63" s="168">
        <f t="shared" si="0"/>
        <v>20033333.329999998</v>
      </c>
      <c r="E63" s="169">
        <v>44706</v>
      </c>
      <c r="F63" s="169">
        <v>45070</v>
      </c>
      <c r="G63" s="170" t="s">
        <v>784</v>
      </c>
      <c r="H63" s="178">
        <v>0.06</v>
      </c>
      <c r="I63" s="167" t="s">
        <v>785</v>
      </c>
      <c r="J63" s="167" t="s">
        <v>354</v>
      </c>
      <c r="K63" s="167" t="s">
        <v>832</v>
      </c>
      <c r="L63" s="117" t="s">
        <v>60</v>
      </c>
      <c r="M63" s="117" t="s">
        <v>786</v>
      </c>
      <c r="N63" s="117" t="s">
        <v>837</v>
      </c>
    </row>
    <row r="64" spans="1:14" hidden="1" x14ac:dyDescent="0.3">
      <c r="A64" s="167" t="s">
        <v>848</v>
      </c>
      <c r="B64" s="177">
        <v>100000000</v>
      </c>
      <c r="C64" s="177">
        <v>163888.89000000001</v>
      </c>
      <c r="D64" s="168">
        <f t="shared" si="0"/>
        <v>100163888.89</v>
      </c>
      <c r="E64" s="169">
        <v>44788</v>
      </c>
      <c r="F64" s="169">
        <v>44971</v>
      </c>
      <c r="G64" s="170" t="s">
        <v>784</v>
      </c>
      <c r="H64" s="178">
        <v>5.8999999999999997E-2</v>
      </c>
      <c r="I64" s="167" t="s">
        <v>785</v>
      </c>
      <c r="J64" s="167" t="s">
        <v>354</v>
      </c>
      <c r="K64" s="167" t="s">
        <v>832</v>
      </c>
      <c r="L64" s="117" t="s">
        <v>60</v>
      </c>
      <c r="M64" s="117" t="s">
        <v>786</v>
      </c>
      <c r="N64" s="117" t="s">
        <v>794</v>
      </c>
    </row>
    <row r="65" spans="1:14" hidden="1" x14ac:dyDescent="0.3">
      <c r="A65" s="167" t="s">
        <v>849</v>
      </c>
      <c r="B65" s="177">
        <v>100000000</v>
      </c>
      <c r="C65" s="177">
        <v>141666.67000000001</v>
      </c>
      <c r="D65" s="168">
        <f t="shared" si="0"/>
        <v>100141666.67</v>
      </c>
      <c r="E65" s="169">
        <v>44852</v>
      </c>
      <c r="F65" s="169">
        <v>45037</v>
      </c>
      <c r="G65" s="170" t="s">
        <v>784</v>
      </c>
      <c r="H65" s="178">
        <v>5.0999999999999997E-2</v>
      </c>
      <c r="I65" s="167" t="s">
        <v>785</v>
      </c>
      <c r="J65" s="167" t="s">
        <v>354</v>
      </c>
      <c r="K65" s="167" t="s">
        <v>832</v>
      </c>
      <c r="L65" s="117" t="s">
        <v>60</v>
      </c>
      <c r="M65" s="117" t="s">
        <v>786</v>
      </c>
      <c r="N65" s="117" t="s">
        <v>794</v>
      </c>
    </row>
    <row r="66" spans="1:14" hidden="1" x14ac:dyDescent="0.3">
      <c r="A66" s="167" t="s">
        <v>849</v>
      </c>
      <c r="B66" s="177">
        <v>90000000</v>
      </c>
      <c r="C66" s="177">
        <v>127500</v>
      </c>
      <c r="D66" s="168">
        <f t="shared" ref="D66:D84" si="1">B66+C66</f>
        <v>90127500</v>
      </c>
      <c r="E66" s="169">
        <v>44853</v>
      </c>
      <c r="F66" s="169">
        <v>45037</v>
      </c>
      <c r="G66" s="170" t="s">
        <v>784</v>
      </c>
      <c r="H66" s="178">
        <v>5.0999999999999997E-2</v>
      </c>
      <c r="I66" s="167" t="s">
        <v>785</v>
      </c>
      <c r="J66" s="167" t="s">
        <v>354</v>
      </c>
      <c r="K66" s="167" t="s">
        <v>832</v>
      </c>
      <c r="L66" s="117" t="s">
        <v>60</v>
      </c>
      <c r="M66" s="117" t="s">
        <v>786</v>
      </c>
      <c r="N66" s="117" t="s">
        <v>794</v>
      </c>
    </row>
    <row r="67" spans="1:14" hidden="1" x14ac:dyDescent="0.3">
      <c r="A67" s="167" t="s">
        <v>816</v>
      </c>
      <c r="B67" s="177">
        <v>50000000</v>
      </c>
      <c r="C67" s="177">
        <v>62500</v>
      </c>
      <c r="D67" s="168">
        <f t="shared" si="1"/>
        <v>50062500</v>
      </c>
      <c r="E67" s="169">
        <v>44924</v>
      </c>
      <c r="F67" s="169">
        <v>45288</v>
      </c>
      <c r="G67" s="170" t="s">
        <v>784</v>
      </c>
      <c r="H67" s="178">
        <v>4.4999999999999998E-2</v>
      </c>
      <c r="I67" s="167" t="s">
        <v>785</v>
      </c>
      <c r="J67" s="167" t="s">
        <v>850</v>
      </c>
      <c r="K67" s="167" t="s">
        <v>832</v>
      </c>
      <c r="L67" s="117" t="s">
        <v>60</v>
      </c>
      <c r="M67" s="117" t="s">
        <v>786</v>
      </c>
      <c r="N67" s="117" t="s">
        <v>808</v>
      </c>
    </row>
    <row r="68" spans="1:14" hidden="1" x14ac:dyDescent="0.3">
      <c r="A68" s="167" t="s">
        <v>801</v>
      </c>
      <c r="B68" s="177">
        <v>10000000</v>
      </c>
      <c r="C68" s="177">
        <v>11944.44</v>
      </c>
      <c r="D68" s="168">
        <f t="shared" si="1"/>
        <v>10011944.439999999</v>
      </c>
      <c r="E68" s="169">
        <v>44722</v>
      </c>
      <c r="F68" s="169">
        <v>45072</v>
      </c>
      <c r="G68" s="170" t="s">
        <v>784</v>
      </c>
      <c r="H68" s="178">
        <v>4.2999999999999997E-2</v>
      </c>
      <c r="I68" s="167" t="s">
        <v>785</v>
      </c>
      <c r="J68" s="167" t="s">
        <v>354</v>
      </c>
      <c r="K68" s="167" t="s">
        <v>851</v>
      </c>
      <c r="L68" s="117" t="s">
        <v>60</v>
      </c>
      <c r="M68" s="117" t="s">
        <v>786</v>
      </c>
      <c r="N68" s="117" t="s">
        <v>787</v>
      </c>
    </row>
    <row r="69" spans="1:14" hidden="1" x14ac:dyDescent="0.3">
      <c r="A69" s="167" t="s">
        <v>852</v>
      </c>
      <c r="B69" s="177">
        <v>10000000</v>
      </c>
      <c r="C69" s="177">
        <v>13055.56</v>
      </c>
      <c r="D69" s="168">
        <f t="shared" si="1"/>
        <v>10013055.560000001</v>
      </c>
      <c r="E69" s="169">
        <v>44694</v>
      </c>
      <c r="F69" s="169">
        <v>45057</v>
      </c>
      <c r="G69" s="170" t="s">
        <v>784</v>
      </c>
      <c r="H69" s="178">
        <v>4.7E-2</v>
      </c>
      <c r="I69" s="167" t="s">
        <v>785</v>
      </c>
      <c r="J69" s="167" t="s">
        <v>354</v>
      </c>
      <c r="K69" s="167" t="s">
        <v>851</v>
      </c>
      <c r="L69" s="117" t="s">
        <v>60</v>
      </c>
      <c r="M69" s="117" t="s">
        <v>786</v>
      </c>
      <c r="N69" s="117" t="s">
        <v>794</v>
      </c>
    </row>
    <row r="70" spans="1:14" hidden="1" x14ac:dyDescent="0.3">
      <c r="A70" s="167" t="s">
        <v>792</v>
      </c>
      <c r="B70" s="177">
        <v>10000000</v>
      </c>
      <c r="C70" s="177">
        <v>13055.56</v>
      </c>
      <c r="D70" s="168">
        <f t="shared" si="1"/>
        <v>10013055.560000001</v>
      </c>
      <c r="E70" s="169">
        <v>44680</v>
      </c>
      <c r="F70" s="169">
        <v>45045</v>
      </c>
      <c r="G70" s="170" t="s">
        <v>784</v>
      </c>
      <c r="H70" s="178">
        <v>4.7E-2</v>
      </c>
      <c r="I70" s="167" t="s">
        <v>785</v>
      </c>
      <c r="J70" s="167" t="s">
        <v>354</v>
      </c>
      <c r="K70" s="167" t="s">
        <v>851</v>
      </c>
      <c r="L70" s="117" t="s">
        <v>60</v>
      </c>
      <c r="M70" s="117" t="s">
        <v>786</v>
      </c>
      <c r="N70" s="117" t="s">
        <v>787</v>
      </c>
    </row>
    <row r="71" spans="1:14" hidden="1" x14ac:dyDescent="0.3">
      <c r="A71" s="167" t="s">
        <v>853</v>
      </c>
      <c r="B71" s="177">
        <v>18349586.48</v>
      </c>
      <c r="C71" s="177">
        <v>19369.009999999998</v>
      </c>
      <c r="D71" s="168">
        <f t="shared" si="1"/>
        <v>18368955.490000002</v>
      </c>
      <c r="E71" s="169">
        <v>44795</v>
      </c>
      <c r="F71" s="169">
        <v>45160</v>
      </c>
      <c r="G71" s="170" t="s">
        <v>784</v>
      </c>
      <c r="H71" s="178">
        <v>3.7999999999999999E-2</v>
      </c>
      <c r="I71" s="167" t="s">
        <v>835</v>
      </c>
      <c r="J71" s="167"/>
      <c r="K71" s="167" t="s">
        <v>851</v>
      </c>
      <c r="L71" s="117" t="s">
        <v>60</v>
      </c>
      <c r="M71" s="117" t="s">
        <v>786</v>
      </c>
      <c r="N71" s="117" t="s">
        <v>833</v>
      </c>
    </row>
    <row r="72" spans="1:14" hidden="1" x14ac:dyDescent="0.3">
      <c r="A72" s="167" t="s">
        <v>853</v>
      </c>
      <c r="B72" s="177">
        <v>23919436.359999999</v>
      </c>
      <c r="C72" s="177">
        <v>25248.29</v>
      </c>
      <c r="D72" s="168">
        <f t="shared" si="1"/>
        <v>23944684.649999999</v>
      </c>
      <c r="E72" s="169">
        <v>44862</v>
      </c>
      <c r="F72" s="169">
        <v>45226</v>
      </c>
      <c r="G72" s="170" t="s">
        <v>784</v>
      </c>
      <c r="H72" s="178">
        <v>3.7999999999999999E-2</v>
      </c>
      <c r="I72" s="167" t="s">
        <v>835</v>
      </c>
      <c r="J72" s="167"/>
      <c r="K72" s="167" t="s">
        <v>851</v>
      </c>
      <c r="L72" s="117" t="s">
        <v>60</v>
      </c>
      <c r="M72" s="117" t="s">
        <v>786</v>
      </c>
      <c r="N72" s="117" t="s">
        <v>833</v>
      </c>
    </row>
    <row r="73" spans="1:14" hidden="1" x14ac:dyDescent="0.3">
      <c r="A73" s="167" t="s">
        <v>854</v>
      </c>
      <c r="B73" s="177">
        <v>10000000</v>
      </c>
      <c r="C73" s="177">
        <v>16666.669999999998</v>
      </c>
      <c r="D73" s="168">
        <f t="shared" si="1"/>
        <v>10016666.67</v>
      </c>
      <c r="E73" s="169">
        <v>44670</v>
      </c>
      <c r="F73" s="169">
        <v>45023</v>
      </c>
      <c r="G73" s="170" t="s">
        <v>784</v>
      </c>
      <c r="H73" s="178">
        <v>0.06</v>
      </c>
      <c r="I73" s="167" t="s">
        <v>785</v>
      </c>
      <c r="J73" s="167" t="s">
        <v>354</v>
      </c>
      <c r="K73" s="167" t="s">
        <v>851</v>
      </c>
      <c r="L73" s="117" t="s">
        <v>60</v>
      </c>
      <c r="M73" s="117" t="s">
        <v>786</v>
      </c>
      <c r="N73" s="117" t="s">
        <v>789</v>
      </c>
    </row>
    <row r="74" spans="1:14" hidden="1" x14ac:dyDescent="0.3">
      <c r="A74" s="167" t="s">
        <v>792</v>
      </c>
      <c r="B74" s="177">
        <v>10000000</v>
      </c>
      <c r="C74" s="177">
        <v>13888.89</v>
      </c>
      <c r="D74" s="168">
        <f t="shared" si="1"/>
        <v>10013888.890000001</v>
      </c>
      <c r="E74" s="169">
        <v>44819</v>
      </c>
      <c r="F74" s="169">
        <v>44999</v>
      </c>
      <c r="G74" s="170" t="s">
        <v>784</v>
      </c>
      <c r="H74" s="178">
        <v>0.05</v>
      </c>
      <c r="I74" s="167" t="s">
        <v>842</v>
      </c>
      <c r="J74" s="167" t="s">
        <v>855</v>
      </c>
      <c r="K74" s="167" t="s">
        <v>655</v>
      </c>
      <c r="L74" s="117" t="s">
        <v>60</v>
      </c>
      <c r="M74" s="117" t="s">
        <v>786</v>
      </c>
      <c r="N74" s="117" t="s">
        <v>787</v>
      </c>
    </row>
    <row r="75" spans="1:14" hidden="1" x14ac:dyDescent="0.3">
      <c r="A75" s="167" t="s">
        <v>856</v>
      </c>
      <c r="B75" s="177">
        <v>6000000</v>
      </c>
      <c r="C75" s="177">
        <v>6500</v>
      </c>
      <c r="D75" s="168">
        <f t="shared" si="1"/>
        <v>6006500</v>
      </c>
      <c r="E75" s="169">
        <v>44834</v>
      </c>
      <c r="F75" s="169">
        <v>45198</v>
      </c>
      <c r="G75" s="170" t="s">
        <v>784</v>
      </c>
      <c r="H75" s="178">
        <v>3.9E-2</v>
      </c>
      <c r="I75" s="167" t="s">
        <v>785</v>
      </c>
      <c r="J75" s="167" t="s">
        <v>857</v>
      </c>
      <c r="K75" s="167" t="s">
        <v>655</v>
      </c>
      <c r="L75" s="117" t="s">
        <v>60</v>
      </c>
      <c r="M75" s="117" t="s">
        <v>786</v>
      </c>
      <c r="N75" s="117" t="s">
        <v>794</v>
      </c>
    </row>
    <row r="76" spans="1:14" ht="25.5" hidden="1" x14ac:dyDescent="0.3">
      <c r="A76" s="167" t="s">
        <v>831</v>
      </c>
      <c r="B76" s="177">
        <v>6700000</v>
      </c>
      <c r="C76" s="177">
        <v>7537.54</v>
      </c>
      <c r="D76" s="168">
        <f t="shared" si="1"/>
        <v>6707537.54</v>
      </c>
      <c r="E76" s="169">
        <v>44676</v>
      </c>
      <c r="F76" s="169">
        <v>45040</v>
      </c>
      <c r="G76" s="170" t="s">
        <v>784</v>
      </c>
      <c r="H76" s="179" t="s">
        <v>858</v>
      </c>
      <c r="I76" s="167" t="s">
        <v>785</v>
      </c>
      <c r="J76" s="167" t="s">
        <v>857</v>
      </c>
      <c r="K76" s="167" t="s">
        <v>655</v>
      </c>
      <c r="L76" s="117" t="s">
        <v>60</v>
      </c>
      <c r="M76" s="117" t="s">
        <v>786</v>
      </c>
      <c r="N76" s="117" t="s">
        <v>833</v>
      </c>
    </row>
    <row r="77" spans="1:14" hidden="1" x14ac:dyDescent="0.3">
      <c r="A77" s="167" t="s">
        <v>859</v>
      </c>
      <c r="B77" s="177">
        <v>150000000</v>
      </c>
      <c r="C77" s="177">
        <v>128472.08</v>
      </c>
      <c r="D77" s="168">
        <f t="shared" si="1"/>
        <v>150128472.08000001</v>
      </c>
      <c r="E77" s="169">
        <v>44764</v>
      </c>
      <c r="F77" s="169">
        <v>44946</v>
      </c>
      <c r="G77" s="170" t="s">
        <v>784</v>
      </c>
      <c r="H77" s="178">
        <v>3.0833300000000001E-2</v>
      </c>
      <c r="I77" s="167" t="s">
        <v>799</v>
      </c>
      <c r="J77" s="167" t="s">
        <v>860</v>
      </c>
      <c r="K77" s="167" t="s">
        <v>861</v>
      </c>
      <c r="L77" s="117" t="s">
        <v>60</v>
      </c>
      <c r="M77" s="117" t="s">
        <v>786</v>
      </c>
      <c r="N77" s="117" t="s">
        <v>808</v>
      </c>
    </row>
    <row r="78" spans="1:14" hidden="1" x14ac:dyDescent="0.3">
      <c r="A78" s="167" t="s">
        <v>859</v>
      </c>
      <c r="B78" s="177">
        <v>150000000</v>
      </c>
      <c r="C78" s="177">
        <v>128472.08</v>
      </c>
      <c r="D78" s="168">
        <f t="shared" si="1"/>
        <v>150128472.08000001</v>
      </c>
      <c r="E78" s="169">
        <v>44776</v>
      </c>
      <c r="F78" s="169">
        <v>44958</v>
      </c>
      <c r="G78" s="170" t="s">
        <v>784</v>
      </c>
      <c r="H78" s="178">
        <v>3.0833300000000001E-2</v>
      </c>
      <c r="I78" s="167" t="s">
        <v>799</v>
      </c>
      <c r="J78" s="167" t="s">
        <v>860</v>
      </c>
      <c r="K78" s="167" t="s">
        <v>861</v>
      </c>
      <c r="L78" s="117" t="s">
        <v>60</v>
      </c>
      <c r="M78" s="117" t="s">
        <v>786</v>
      </c>
      <c r="N78" s="117" t="s">
        <v>808</v>
      </c>
    </row>
    <row r="79" spans="1:14" hidden="1" x14ac:dyDescent="0.3">
      <c r="A79" s="156" t="s">
        <v>862</v>
      </c>
      <c r="B79" s="157">
        <v>400000000</v>
      </c>
      <c r="C79" s="157">
        <v>23305355.190000001</v>
      </c>
      <c r="D79" s="158">
        <f t="shared" si="1"/>
        <v>423305355.19</v>
      </c>
      <c r="K79" s="186" t="s">
        <v>334</v>
      </c>
      <c r="L79" s="117" t="s">
        <v>74</v>
      </c>
      <c r="M79" s="117" t="s">
        <v>863</v>
      </c>
    </row>
    <row r="80" spans="1:14" hidden="1" x14ac:dyDescent="0.3">
      <c r="A80" s="156" t="s">
        <v>864</v>
      </c>
      <c r="B80" s="157">
        <v>400000000</v>
      </c>
      <c r="C80" s="157">
        <v>3686666.67</v>
      </c>
      <c r="D80" s="158">
        <f t="shared" si="1"/>
        <v>403686666.67000002</v>
      </c>
      <c r="K80" s="186" t="s">
        <v>334</v>
      </c>
      <c r="L80" s="117" t="s">
        <v>74</v>
      </c>
      <c r="M80" s="117" t="s">
        <v>863</v>
      </c>
    </row>
    <row r="81" spans="1:13" hidden="1" x14ac:dyDescent="0.3">
      <c r="A81" s="156" t="s">
        <v>865</v>
      </c>
      <c r="B81" s="157">
        <v>300000000</v>
      </c>
      <c r="C81" s="157">
        <v>9445018.4499999993</v>
      </c>
      <c r="D81" s="158">
        <f t="shared" si="1"/>
        <v>309445018.44999999</v>
      </c>
      <c r="K81" s="186" t="s">
        <v>334</v>
      </c>
      <c r="L81" s="117" t="s">
        <v>74</v>
      </c>
      <c r="M81" s="117" t="s">
        <v>863</v>
      </c>
    </row>
    <row r="82" spans="1:13" hidden="1" x14ac:dyDescent="0.3">
      <c r="A82" s="156" t="s">
        <v>866</v>
      </c>
      <c r="B82" s="159">
        <v>230000000</v>
      </c>
      <c r="C82" s="159">
        <v>2642444.44</v>
      </c>
      <c r="D82" s="158">
        <f t="shared" si="1"/>
        <v>232642444.44</v>
      </c>
      <c r="K82" s="186" t="s">
        <v>334</v>
      </c>
      <c r="L82" s="117" t="s">
        <v>74</v>
      </c>
      <c r="M82" s="117" t="s">
        <v>863</v>
      </c>
    </row>
    <row r="83" spans="1:13" hidden="1" x14ac:dyDescent="0.3">
      <c r="A83" s="156" t="s">
        <v>867</v>
      </c>
      <c r="B83" s="159">
        <v>530000000</v>
      </c>
      <c r="C83" s="159">
        <v>16400958.91</v>
      </c>
      <c r="D83" s="158">
        <f t="shared" si="1"/>
        <v>546400958.90999997</v>
      </c>
      <c r="K83" s="186" t="s">
        <v>334</v>
      </c>
      <c r="L83" s="117" t="s">
        <v>74</v>
      </c>
      <c r="M83" s="117" t="s">
        <v>868</v>
      </c>
    </row>
    <row r="84" spans="1:13" x14ac:dyDescent="0.3">
      <c r="A84" s="180" t="s">
        <v>869</v>
      </c>
      <c r="B84" s="159">
        <v>803714.55</v>
      </c>
      <c r="C84" s="159"/>
      <c r="D84" s="158">
        <f t="shared" si="1"/>
        <v>803714.55</v>
      </c>
      <c r="K84" s="186" t="s">
        <v>360</v>
      </c>
      <c r="L84" s="117" t="s">
        <v>74</v>
      </c>
      <c r="M84" s="117" t="s">
        <v>870</v>
      </c>
    </row>
    <row r="85" spans="1:13" hidden="1" x14ac:dyDescent="0.3">
      <c r="A85" s="180" t="s">
        <v>869</v>
      </c>
      <c r="B85" s="158">
        <v>2185.19</v>
      </c>
      <c r="C85" s="159"/>
      <c r="D85" s="158">
        <v>2185.19</v>
      </c>
      <c r="K85" s="186" t="s">
        <v>871</v>
      </c>
      <c r="L85" s="117" t="s">
        <v>74</v>
      </c>
      <c r="M85" s="117" t="s">
        <v>247</v>
      </c>
    </row>
    <row r="86" spans="1:13" hidden="1" x14ac:dyDescent="0.3">
      <c r="A86" s="180" t="s">
        <v>869</v>
      </c>
      <c r="B86" s="159">
        <v>2798466.69</v>
      </c>
      <c r="C86" s="159"/>
      <c r="D86" s="158">
        <f>B86+C86</f>
        <v>2798466.69</v>
      </c>
      <c r="K86" s="186" t="s">
        <v>350</v>
      </c>
      <c r="L86" s="117" t="s">
        <v>74</v>
      </c>
      <c r="M86" s="117" t="s">
        <v>247</v>
      </c>
    </row>
    <row r="87" spans="1:13" hidden="1" x14ac:dyDescent="0.3">
      <c r="A87" s="180" t="s">
        <v>869</v>
      </c>
      <c r="B87" s="159">
        <v>55820.86</v>
      </c>
      <c r="C87" s="159"/>
      <c r="D87" s="158">
        <f>B87+C87</f>
        <v>55820.86</v>
      </c>
      <c r="K87" s="186" t="s">
        <v>795</v>
      </c>
      <c r="L87" s="117" t="s">
        <v>74</v>
      </c>
      <c r="M87" s="117" t="s">
        <v>247</v>
      </c>
    </row>
    <row r="88" spans="1:13" hidden="1" x14ac:dyDescent="0.3">
      <c r="A88" s="180" t="s">
        <v>869</v>
      </c>
      <c r="B88" s="159">
        <v>219816.19</v>
      </c>
      <c r="C88" s="159"/>
      <c r="D88" s="158">
        <f>B88+C88</f>
        <v>219816.19</v>
      </c>
      <c r="K88" s="186" t="s">
        <v>522</v>
      </c>
      <c r="L88" s="117" t="s">
        <v>74</v>
      </c>
      <c r="M88" s="117" t="s">
        <v>247</v>
      </c>
    </row>
    <row r="89" spans="1:13" hidden="1" x14ac:dyDescent="0.3">
      <c r="A89" s="179" t="s">
        <v>872</v>
      </c>
      <c r="D89" s="118">
        <v>777769583.00999999</v>
      </c>
      <c r="E89" s="151">
        <v>43943</v>
      </c>
      <c r="F89" s="150">
        <v>46499</v>
      </c>
      <c r="G89" s="179"/>
      <c r="L89" s="117" t="s">
        <v>78</v>
      </c>
      <c r="M89" s="117" t="s">
        <v>873</v>
      </c>
    </row>
    <row r="90" spans="1:13" hidden="1" x14ac:dyDescent="0.3">
      <c r="A90" s="179" t="s">
        <v>874</v>
      </c>
      <c r="D90" s="118">
        <v>166796439.06</v>
      </c>
      <c r="E90" s="151">
        <v>43943</v>
      </c>
      <c r="F90" s="150">
        <v>46499</v>
      </c>
      <c r="G90" s="179"/>
      <c r="L90" s="117" t="s">
        <v>78</v>
      </c>
      <c r="M90" s="117" t="s">
        <v>873</v>
      </c>
    </row>
    <row r="91" spans="1:13" hidden="1" x14ac:dyDescent="0.3">
      <c r="A91" s="179" t="s">
        <v>875</v>
      </c>
      <c r="D91" s="118">
        <v>342378346.37</v>
      </c>
      <c r="E91" s="151">
        <v>43978</v>
      </c>
      <c r="F91" s="150">
        <v>45804</v>
      </c>
      <c r="G91" s="179"/>
      <c r="L91" s="117" t="s">
        <v>78</v>
      </c>
      <c r="M91" s="117" t="s">
        <v>868</v>
      </c>
    </row>
    <row r="92" spans="1:13" hidden="1" x14ac:dyDescent="0.3">
      <c r="A92" s="179" t="s">
        <v>876</v>
      </c>
      <c r="D92" s="118">
        <v>869696575.78999996</v>
      </c>
      <c r="E92" s="151">
        <v>44081</v>
      </c>
      <c r="F92" s="150">
        <v>45176</v>
      </c>
      <c r="G92" s="179"/>
      <c r="L92" s="117" t="s">
        <v>78</v>
      </c>
      <c r="M92" s="117" t="s">
        <v>868</v>
      </c>
    </row>
    <row r="93" spans="1:13" hidden="1" x14ac:dyDescent="0.3">
      <c r="A93" s="179" t="s">
        <v>877</v>
      </c>
      <c r="D93" s="118">
        <v>126649133.01000001</v>
      </c>
      <c r="E93" s="151">
        <v>44406</v>
      </c>
      <c r="F93" s="150">
        <v>45502</v>
      </c>
      <c r="G93" s="179"/>
      <c r="L93" s="117" t="s">
        <v>78</v>
      </c>
      <c r="M93" s="117" t="s">
        <v>878</v>
      </c>
    </row>
    <row r="94" spans="1:13" hidden="1" x14ac:dyDescent="0.3">
      <c r="A94" s="179" t="s">
        <v>879</v>
      </c>
      <c r="D94" s="118">
        <v>441064705.62</v>
      </c>
      <c r="E94" s="151">
        <v>44453</v>
      </c>
      <c r="F94" s="150">
        <v>46279</v>
      </c>
      <c r="G94" s="179"/>
      <c r="L94" s="117" t="s">
        <v>78</v>
      </c>
      <c r="M94" s="117" t="s">
        <v>868</v>
      </c>
    </row>
    <row r="95" spans="1:13" hidden="1" x14ac:dyDescent="0.3">
      <c r="A95" s="179" t="s">
        <v>880</v>
      </c>
      <c r="D95" s="118">
        <v>292795736.97000003</v>
      </c>
      <c r="E95" s="151">
        <v>44533</v>
      </c>
      <c r="F95" s="150">
        <v>45629</v>
      </c>
      <c r="G95" s="179"/>
      <c r="L95" s="117" t="s">
        <v>78</v>
      </c>
      <c r="M95" s="117" t="s">
        <v>868</v>
      </c>
    </row>
    <row r="96" spans="1:13" hidden="1" x14ac:dyDescent="0.3">
      <c r="A96" s="179" t="s">
        <v>880</v>
      </c>
      <c r="D96" s="118">
        <v>649710669.50999999</v>
      </c>
      <c r="E96" s="151">
        <v>44538</v>
      </c>
      <c r="F96" s="150">
        <v>45634</v>
      </c>
      <c r="G96" s="179"/>
      <c r="L96" s="117" t="s">
        <v>78</v>
      </c>
      <c r="M96" s="117" t="s">
        <v>868</v>
      </c>
    </row>
    <row r="97" spans="1:13" hidden="1" x14ac:dyDescent="0.3">
      <c r="A97" s="179" t="s">
        <v>881</v>
      </c>
      <c r="D97" s="118">
        <v>489135397.99000001</v>
      </c>
      <c r="E97" s="151">
        <v>44615</v>
      </c>
      <c r="F97" s="150">
        <v>45345</v>
      </c>
      <c r="G97" s="179"/>
      <c r="L97" s="117" t="s">
        <v>78</v>
      </c>
      <c r="M97" s="117" t="s">
        <v>863</v>
      </c>
    </row>
    <row r="98" spans="1:13" hidden="1" x14ac:dyDescent="0.3">
      <c r="A98" s="179" t="s">
        <v>882</v>
      </c>
      <c r="D98" s="118">
        <v>449107907.31</v>
      </c>
      <c r="E98" s="151">
        <v>44673</v>
      </c>
      <c r="F98" s="150">
        <v>45404</v>
      </c>
      <c r="G98" s="179"/>
      <c r="L98" s="117" t="s">
        <v>78</v>
      </c>
      <c r="M98" s="117" t="s">
        <v>863</v>
      </c>
    </row>
    <row r="99" spans="1:13" hidden="1" x14ac:dyDescent="0.3">
      <c r="A99" s="179" t="s">
        <v>883</v>
      </c>
      <c r="D99" s="118">
        <v>700005880.11000001</v>
      </c>
      <c r="E99" s="151">
        <v>44680</v>
      </c>
      <c r="F99" s="150">
        <v>45776</v>
      </c>
      <c r="G99" s="179"/>
      <c r="L99" s="117" t="s">
        <v>78</v>
      </c>
      <c r="M99" s="117" t="s">
        <v>868</v>
      </c>
    </row>
    <row r="100" spans="1:13" hidden="1" x14ac:dyDescent="0.3">
      <c r="A100" s="179" t="s">
        <v>884</v>
      </c>
      <c r="D100" s="118">
        <v>69695075.629999995</v>
      </c>
      <c r="E100" s="151">
        <v>44721</v>
      </c>
      <c r="F100" s="150">
        <v>45452</v>
      </c>
      <c r="G100" s="179"/>
      <c r="L100" s="117" t="s">
        <v>78</v>
      </c>
      <c r="M100" s="117" t="s">
        <v>863</v>
      </c>
    </row>
    <row r="101" spans="1:13" hidden="1" x14ac:dyDescent="0.3">
      <c r="A101" s="179" t="s">
        <v>885</v>
      </c>
      <c r="D101" s="118">
        <v>198442517.33000001</v>
      </c>
      <c r="E101" s="151">
        <v>44771</v>
      </c>
      <c r="F101" s="150">
        <v>45867</v>
      </c>
      <c r="G101" s="179"/>
      <c r="L101" s="117" t="s">
        <v>78</v>
      </c>
      <c r="M101" s="117" t="s">
        <v>863</v>
      </c>
    </row>
    <row r="102" spans="1:13" hidden="1" x14ac:dyDescent="0.3">
      <c r="A102" s="179" t="s">
        <v>886</v>
      </c>
      <c r="D102" s="118">
        <v>388067902.41000003</v>
      </c>
      <c r="E102" s="151">
        <v>44797</v>
      </c>
      <c r="F102" s="150">
        <v>45528</v>
      </c>
      <c r="G102" s="179"/>
      <c r="L102" s="117" t="s">
        <v>78</v>
      </c>
      <c r="M102" s="117" t="s">
        <v>863</v>
      </c>
    </row>
    <row r="103" spans="1:13" hidden="1" x14ac:dyDescent="0.3">
      <c r="A103" s="179" t="s">
        <v>887</v>
      </c>
      <c r="D103" s="118">
        <v>543153775.61000001</v>
      </c>
      <c r="E103" s="151">
        <v>44813</v>
      </c>
      <c r="F103" s="150">
        <v>45544</v>
      </c>
      <c r="G103" s="179"/>
      <c r="L103" s="117" t="s">
        <v>78</v>
      </c>
      <c r="M103" s="117" t="s">
        <v>868</v>
      </c>
    </row>
    <row r="104" spans="1:13" hidden="1" x14ac:dyDescent="0.3">
      <c r="A104" s="179" t="s">
        <v>888</v>
      </c>
      <c r="D104" s="118">
        <v>997374134.22000003</v>
      </c>
      <c r="E104" s="151">
        <v>44834</v>
      </c>
      <c r="F104" s="150">
        <v>45565</v>
      </c>
      <c r="G104" s="179"/>
      <c r="L104" s="117" t="s">
        <v>78</v>
      </c>
      <c r="M104" s="117" t="s">
        <v>863</v>
      </c>
    </row>
    <row r="105" spans="1:13" hidden="1" x14ac:dyDescent="0.3">
      <c r="A105" s="179" t="s">
        <v>889</v>
      </c>
      <c r="D105" s="118">
        <v>297527764.91000003</v>
      </c>
      <c r="E105" s="151">
        <v>44830</v>
      </c>
      <c r="F105" s="150">
        <v>45926</v>
      </c>
      <c r="G105" s="179"/>
      <c r="L105" s="117" t="s">
        <v>78</v>
      </c>
      <c r="M105" s="117" t="s">
        <v>863</v>
      </c>
    </row>
    <row r="106" spans="1:13" hidden="1" x14ac:dyDescent="0.3">
      <c r="A106" s="179" t="s">
        <v>890</v>
      </c>
      <c r="D106" s="118">
        <v>304856134.93000001</v>
      </c>
      <c r="E106" s="151">
        <v>44862</v>
      </c>
      <c r="F106" s="150">
        <v>45958</v>
      </c>
      <c r="G106" s="179"/>
      <c r="L106" s="117" t="s">
        <v>78</v>
      </c>
      <c r="M106" s="117" t="s">
        <v>863</v>
      </c>
    </row>
    <row r="107" spans="1:13" hidden="1" x14ac:dyDescent="0.3">
      <c r="A107" s="179" t="s">
        <v>891</v>
      </c>
      <c r="D107" s="118">
        <v>409197439.81</v>
      </c>
      <c r="E107" s="151">
        <v>44911</v>
      </c>
      <c r="F107" s="150">
        <v>45642</v>
      </c>
      <c r="G107" s="179"/>
      <c r="L107" s="117" t="s">
        <v>78</v>
      </c>
      <c r="M107" s="117" t="s">
        <v>863</v>
      </c>
    </row>
    <row r="108" spans="1:13" hidden="1" x14ac:dyDescent="0.3">
      <c r="A108" s="179" t="s">
        <v>892</v>
      </c>
      <c r="D108" s="118">
        <v>125000000</v>
      </c>
      <c r="L108" s="117" t="s">
        <v>893</v>
      </c>
      <c r="M108" s="117" t="s">
        <v>863</v>
      </c>
    </row>
    <row r="109" spans="1:13" hidden="1" x14ac:dyDescent="0.3">
      <c r="A109" s="179" t="s">
        <v>872</v>
      </c>
      <c r="D109" s="118">
        <v>190000000</v>
      </c>
      <c r="L109" s="117" t="s">
        <v>893</v>
      </c>
      <c r="M109" s="117" t="s">
        <v>873</v>
      </c>
    </row>
    <row r="110" spans="1:13" hidden="1" x14ac:dyDescent="0.3">
      <c r="A110" s="179" t="s">
        <v>874</v>
      </c>
      <c r="D110" s="118">
        <v>40000000</v>
      </c>
      <c r="L110" s="117" t="s">
        <v>893</v>
      </c>
      <c r="M110" s="117" t="s">
        <v>873</v>
      </c>
    </row>
    <row r="111" spans="1:13" hidden="1" x14ac:dyDescent="0.3">
      <c r="A111" s="179" t="s">
        <v>877</v>
      </c>
      <c r="D111" s="118">
        <v>50000000</v>
      </c>
      <c r="L111" s="117" t="s">
        <v>893</v>
      </c>
      <c r="M111" s="117" t="s">
        <v>878</v>
      </c>
    </row>
    <row r="112" spans="1:13" hidden="1" x14ac:dyDescent="0.3">
      <c r="A112" s="179" t="s">
        <v>894</v>
      </c>
      <c r="D112" s="118">
        <v>7470000</v>
      </c>
      <c r="L112" s="117" t="s">
        <v>893</v>
      </c>
      <c r="M112" s="117" t="s">
        <v>895</v>
      </c>
    </row>
    <row r="113" spans="1:14" hidden="1" x14ac:dyDescent="0.3">
      <c r="A113" s="179" t="s">
        <v>896</v>
      </c>
      <c r="D113" s="118">
        <v>29730000</v>
      </c>
      <c r="L113" s="117" t="s">
        <v>893</v>
      </c>
      <c r="M113" s="117" t="s">
        <v>895</v>
      </c>
    </row>
    <row r="114" spans="1:14" hidden="1" x14ac:dyDescent="0.3">
      <c r="A114" s="179" t="s">
        <v>897</v>
      </c>
      <c r="D114" s="118">
        <v>29680000</v>
      </c>
      <c r="L114" s="117" t="s">
        <v>893</v>
      </c>
      <c r="M114" s="117" t="s">
        <v>895</v>
      </c>
    </row>
    <row r="115" spans="1:14" hidden="1" x14ac:dyDescent="0.3">
      <c r="A115" s="117" t="s">
        <v>898</v>
      </c>
      <c r="D115" s="118">
        <v>195629667.55000001</v>
      </c>
      <c r="L115" s="117" t="s">
        <v>893</v>
      </c>
      <c r="M115" s="117" t="s">
        <v>247</v>
      </c>
    </row>
    <row r="116" spans="1:14" ht="51" hidden="1" x14ac:dyDescent="0.3">
      <c r="A116" s="181" t="s">
        <v>804</v>
      </c>
      <c r="D116" s="118">
        <v>83000000</v>
      </c>
      <c r="E116" s="182">
        <v>44741</v>
      </c>
      <c r="F116" s="182">
        <v>45472</v>
      </c>
      <c r="G116" s="117" t="s">
        <v>784</v>
      </c>
      <c r="H116" s="183">
        <v>0.06</v>
      </c>
      <c r="I116" s="187" t="s">
        <v>785</v>
      </c>
      <c r="J116" s="188" t="s">
        <v>802</v>
      </c>
      <c r="K116" s="181" t="s">
        <v>334</v>
      </c>
      <c r="L116" s="117" t="s">
        <v>77</v>
      </c>
      <c r="M116" s="117" t="s">
        <v>805</v>
      </c>
    </row>
    <row r="117" spans="1:14" ht="51" hidden="1" x14ac:dyDescent="0.3">
      <c r="A117" s="181" t="s">
        <v>804</v>
      </c>
      <c r="D117" s="118">
        <v>100000000</v>
      </c>
      <c r="E117" s="182">
        <v>44791</v>
      </c>
      <c r="F117" s="182">
        <v>45522</v>
      </c>
      <c r="G117" s="117" t="s">
        <v>784</v>
      </c>
      <c r="H117" s="183">
        <v>0.06</v>
      </c>
      <c r="I117" s="187" t="s">
        <v>785</v>
      </c>
      <c r="J117" s="188" t="s">
        <v>802</v>
      </c>
      <c r="K117" s="181" t="s">
        <v>334</v>
      </c>
      <c r="L117" s="117" t="s">
        <v>77</v>
      </c>
      <c r="M117" s="117" t="s">
        <v>805</v>
      </c>
    </row>
    <row r="118" spans="1:14" ht="51" hidden="1" x14ac:dyDescent="0.3">
      <c r="A118" s="184" t="s">
        <v>899</v>
      </c>
      <c r="D118" s="118">
        <v>132000000</v>
      </c>
      <c r="E118" s="182">
        <v>42744</v>
      </c>
      <c r="F118" s="182">
        <v>46387</v>
      </c>
      <c r="G118" s="117" t="s">
        <v>784</v>
      </c>
      <c r="H118" s="183">
        <v>4.795E-2</v>
      </c>
      <c r="I118" s="187" t="s">
        <v>785</v>
      </c>
      <c r="J118" s="188" t="s">
        <v>348</v>
      </c>
      <c r="K118" s="181" t="s">
        <v>334</v>
      </c>
      <c r="L118" s="117" t="s">
        <v>77</v>
      </c>
      <c r="M118" s="117" t="s">
        <v>786</v>
      </c>
      <c r="N118" s="117" t="s">
        <v>794</v>
      </c>
    </row>
    <row r="119" spans="1:14" hidden="1" x14ac:dyDescent="0.3">
      <c r="A119" s="184" t="s">
        <v>899</v>
      </c>
      <c r="D119" s="118">
        <v>183333338</v>
      </c>
      <c r="E119" s="182">
        <v>43144</v>
      </c>
      <c r="F119" s="182">
        <v>46749</v>
      </c>
      <c r="G119" s="117" t="s">
        <v>784</v>
      </c>
      <c r="H119" s="185">
        <v>5.5300000000000002E-2</v>
      </c>
      <c r="I119" s="187" t="s">
        <v>842</v>
      </c>
      <c r="J119" s="441" t="s">
        <v>900</v>
      </c>
      <c r="K119" s="181" t="s">
        <v>334</v>
      </c>
      <c r="L119" s="117" t="s">
        <v>77</v>
      </c>
      <c r="M119" s="117" t="s">
        <v>786</v>
      </c>
      <c r="N119" s="117" t="s">
        <v>794</v>
      </c>
    </row>
    <row r="120" spans="1:14" hidden="1" x14ac:dyDescent="0.3">
      <c r="A120" s="184" t="s">
        <v>899</v>
      </c>
      <c r="D120" s="118">
        <v>35333324</v>
      </c>
      <c r="E120" s="182">
        <v>43172</v>
      </c>
      <c r="F120" s="182">
        <v>46749</v>
      </c>
      <c r="G120" s="117" t="s">
        <v>784</v>
      </c>
      <c r="H120" s="185">
        <v>5.5300000000000002E-2</v>
      </c>
      <c r="I120" s="187" t="s">
        <v>842</v>
      </c>
      <c r="J120" s="441"/>
      <c r="K120" s="181" t="s">
        <v>334</v>
      </c>
      <c r="L120" s="117" t="s">
        <v>77</v>
      </c>
      <c r="M120" s="117" t="s">
        <v>786</v>
      </c>
      <c r="N120" s="117" t="s">
        <v>794</v>
      </c>
    </row>
    <row r="121" spans="1:14" hidden="1" x14ac:dyDescent="0.3">
      <c r="A121" s="184" t="s">
        <v>899</v>
      </c>
      <c r="D121" s="118">
        <v>50173200</v>
      </c>
      <c r="E121" s="182">
        <v>43283</v>
      </c>
      <c r="F121" s="182">
        <v>46749</v>
      </c>
      <c r="G121" s="117" t="s">
        <v>784</v>
      </c>
      <c r="H121" s="185">
        <v>5.5300000000000002E-2</v>
      </c>
      <c r="I121" s="187" t="s">
        <v>842</v>
      </c>
      <c r="J121" s="441"/>
      <c r="K121" s="181" t="s">
        <v>334</v>
      </c>
      <c r="L121" s="117" t="s">
        <v>77</v>
      </c>
      <c r="M121" s="117" t="s">
        <v>786</v>
      </c>
      <c r="N121" s="117" t="s">
        <v>794</v>
      </c>
    </row>
    <row r="122" spans="1:14" hidden="1" x14ac:dyDescent="0.3">
      <c r="A122" s="184" t="s">
        <v>899</v>
      </c>
      <c r="D122" s="118">
        <v>8921800</v>
      </c>
      <c r="E122" s="182">
        <v>43287</v>
      </c>
      <c r="F122" s="182">
        <v>46749</v>
      </c>
      <c r="G122" s="117" t="s">
        <v>784</v>
      </c>
      <c r="H122" s="185">
        <v>5.5300000000000002E-2</v>
      </c>
      <c r="I122" s="187" t="s">
        <v>842</v>
      </c>
      <c r="J122" s="441"/>
      <c r="K122" s="181" t="s">
        <v>334</v>
      </c>
      <c r="L122" s="117" t="s">
        <v>77</v>
      </c>
      <c r="M122" s="117" t="s">
        <v>786</v>
      </c>
      <c r="N122" s="117" t="s">
        <v>794</v>
      </c>
    </row>
    <row r="123" spans="1:14" hidden="1" x14ac:dyDescent="0.3">
      <c r="A123" s="184" t="s">
        <v>899</v>
      </c>
      <c r="D123" s="118">
        <v>116865000</v>
      </c>
      <c r="E123" s="182">
        <v>43300</v>
      </c>
      <c r="F123" s="182">
        <v>46749</v>
      </c>
      <c r="G123" s="117" t="s">
        <v>784</v>
      </c>
      <c r="H123" s="185">
        <v>5.5300000000000002E-2</v>
      </c>
      <c r="I123" s="187" t="s">
        <v>842</v>
      </c>
      <c r="J123" s="441"/>
      <c r="K123" s="181" t="s">
        <v>334</v>
      </c>
      <c r="L123" s="117" t="s">
        <v>77</v>
      </c>
      <c r="M123" s="117" t="s">
        <v>786</v>
      </c>
      <c r="N123" s="117" t="s">
        <v>794</v>
      </c>
    </row>
    <row r="124" spans="1:14" hidden="1" x14ac:dyDescent="0.3">
      <c r="A124" s="184" t="s">
        <v>899</v>
      </c>
      <c r="D124" s="118">
        <v>303333338</v>
      </c>
      <c r="E124" s="182">
        <v>43472</v>
      </c>
      <c r="F124" s="182">
        <v>46749</v>
      </c>
      <c r="G124" s="117" t="s">
        <v>784</v>
      </c>
      <c r="H124" s="185">
        <v>5.5300000000000002E-2</v>
      </c>
      <c r="I124" s="187" t="s">
        <v>842</v>
      </c>
      <c r="J124" s="441"/>
      <c r="K124" s="181" t="s">
        <v>334</v>
      </c>
      <c r="L124" s="117" t="s">
        <v>77</v>
      </c>
      <c r="M124" s="117" t="s">
        <v>786</v>
      </c>
      <c r="N124" s="117" t="s">
        <v>794</v>
      </c>
    </row>
    <row r="125" spans="1:14" hidden="1" x14ac:dyDescent="0.3">
      <c r="A125" s="184" t="s">
        <v>899</v>
      </c>
      <c r="D125" s="118">
        <v>84800000</v>
      </c>
      <c r="E125" s="182">
        <v>44160</v>
      </c>
      <c r="F125" s="182">
        <v>46749</v>
      </c>
      <c r="G125" s="117" t="s">
        <v>784</v>
      </c>
      <c r="H125" s="185">
        <v>5.5300000000000002E-2</v>
      </c>
      <c r="I125" s="187" t="s">
        <v>842</v>
      </c>
      <c r="J125" s="441"/>
      <c r="K125" s="181" t="s">
        <v>334</v>
      </c>
      <c r="L125" s="117" t="s">
        <v>77</v>
      </c>
      <c r="M125" s="117" t="s">
        <v>786</v>
      </c>
      <c r="N125" s="117" t="s">
        <v>794</v>
      </c>
    </row>
    <row r="126" spans="1:14" hidden="1" x14ac:dyDescent="0.3">
      <c r="A126" s="184" t="s">
        <v>899</v>
      </c>
      <c r="D126" s="118">
        <v>56240000</v>
      </c>
      <c r="E126" s="182">
        <v>44165</v>
      </c>
      <c r="F126" s="182">
        <v>46749</v>
      </c>
      <c r="G126" s="117" t="s">
        <v>784</v>
      </c>
      <c r="H126" s="185">
        <v>5.5300000000000002E-2</v>
      </c>
      <c r="I126" s="187" t="s">
        <v>842</v>
      </c>
      <c r="J126" s="441"/>
      <c r="K126" s="181" t="s">
        <v>334</v>
      </c>
      <c r="L126" s="117" t="s">
        <v>77</v>
      </c>
      <c r="M126" s="117" t="s">
        <v>786</v>
      </c>
      <c r="N126" s="117" t="s">
        <v>794</v>
      </c>
    </row>
    <row r="127" spans="1:14" hidden="1" x14ac:dyDescent="0.3">
      <c r="A127" s="184" t="s">
        <v>901</v>
      </c>
      <c r="D127" s="118">
        <v>-24400276.800000001</v>
      </c>
      <c r="E127" s="182"/>
      <c r="F127" s="182"/>
      <c r="G127" s="117" t="s">
        <v>784</v>
      </c>
      <c r="H127" s="185"/>
      <c r="I127" s="187" t="s">
        <v>842</v>
      </c>
      <c r="J127" s="441"/>
      <c r="K127" s="181" t="s">
        <v>334</v>
      </c>
      <c r="L127" s="117" t="s">
        <v>77</v>
      </c>
      <c r="M127" s="117" t="s">
        <v>786</v>
      </c>
      <c r="N127" s="117" t="s">
        <v>794</v>
      </c>
    </row>
    <row r="128" spans="1:14" ht="38.25" hidden="1" x14ac:dyDescent="0.3">
      <c r="A128" s="184" t="s">
        <v>838</v>
      </c>
      <c r="D128" s="118">
        <v>50000000</v>
      </c>
      <c r="E128" s="182">
        <v>44295</v>
      </c>
      <c r="F128" s="182">
        <v>45989</v>
      </c>
      <c r="G128" s="117" t="s">
        <v>784</v>
      </c>
      <c r="H128" s="185">
        <v>6.4000000000000001E-2</v>
      </c>
      <c r="I128" s="187" t="s">
        <v>785</v>
      </c>
      <c r="J128" s="184" t="s">
        <v>902</v>
      </c>
      <c r="K128" s="181" t="s">
        <v>334</v>
      </c>
      <c r="L128" s="117" t="s">
        <v>77</v>
      </c>
      <c r="M128" s="117" t="s">
        <v>786</v>
      </c>
      <c r="N128" s="117" t="s">
        <v>787</v>
      </c>
    </row>
    <row r="129" spans="1:14" ht="38.25" hidden="1" x14ac:dyDescent="0.3">
      <c r="A129" s="184" t="s">
        <v>838</v>
      </c>
      <c r="D129" s="118">
        <v>100000000</v>
      </c>
      <c r="E129" s="182">
        <v>44347</v>
      </c>
      <c r="F129" s="182">
        <v>45989</v>
      </c>
      <c r="G129" s="117" t="s">
        <v>784</v>
      </c>
      <c r="H129" s="185">
        <v>6.4000000000000001E-2</v>
      </c>
      <c r="I129" s="187" t="s">
        <v>785</v>
      </c>
      <c r="J129" s="184" t="s">
        <v>902</v>
      </c>
      <c r="K129" s="181" t="s">
        <v>334</v>
      </c>
      <c r="L129" s="117" t="s">
        <v>77</v>
      </c>
      <c r="M129" s="117" t="s">
        <v>786</v>
      </c>
      <c r="N129" s="117" t="s">
        <v>787</v>
      </c>
    </row>
    <row r="130" spans="1:14" ht="38.25" hidden="1" x14ac:dyDescent="0.3">
      <c r="A130" s="184" t="s">
        <v>838</v>
      </c>
      <c r="D130" s="118">
        <v>350000000</v>
      </c>
      <c r="E130" s="182">
        <v>44377</v>
      </c>
      <c r="F130" s="182">
        <v>45989</v>
      </c>
      <c r="G130" s="117" t="s">
        <v>784</v>
      </c>
      <c r="H130" s="185">
        <v>6.4000000000000001E-2</v>
      </c>
      <c r="I130" s="187" t="s">
        <v>785</v>
      </c>
      <c r="J130" s="184" t="s">
        <v>902</v>
      </c>
      <c r="K130" s="181" t="s">
        <v>334</v>
      </c>
      <c r="L130" s="117" t="s">
        <v>77</v>
      </c>
      <c r="M130" s="117" t="s">
        <v>786</v>
      </c>
      <c r="N130" s="117" t="s">
        <v>787</v>
      </c>
    </row>
    <row r="131" spans="1:14" ht="51" hidden="1" x14ac:dyDescent="0.3">
      <c r="A131" s="184" t="s">
        <v>903</v>
      </c>
      <c r="D131" s="118">
        <v>92000000</v>
      </c>
      <c r="E131" s="182">
        <v>42955</v>
      </c>
      <c r="F131" s="182">
        <v>45838</v>
      </c>
      <c r="G131" s="117" t="s">
        <v>784</v>
      </c>
      <c r="H131" s="185">
        <v>5.6800000000000003E-2</v>
      </c>
      <c r="I131" s="187" t="s">
        <v>785</v>
      </c>
      <c r="J131" s="188" t="s">
        <v>802</v>
      </c>
      <c r="K131" s="181" t="s">
        <v>334</v>
      </c>
      <c r="L131" s="117" t="s">
        <v>77</v>
      </c>
      <c r="M131" s="117" t="s">
        <v>786</v>
      </c>
      <c r="N131" s="117" t="s">
        <v>794</v>
      </c>
    </row>
    <row r="132" spans="1:14" ht="51" hidden="1" x14ac:dyDescent="0.3">
      <c r="A132" s="184" t="s">
        <v>904</v>
      </c>
      <c r="D132" s="118">
        <v>50000000</v>
      </c>
      <c r="E132" s="182">
        <v>43224</v>
      </c>
      <c r="F132" s="182">
        <v>46387</v>
      </c>
      <c r="G132" s="117" t="s">
        <v>784</v>
      </c>
      <c r="H132" s="185">
        <v>5.3900000000000003E-2</v>
      </c>
      <c r="I132" s="187" t="s">
        <v>785</v>
      </c>
      <c r="J132" s="188" t="s">
        <v>348</v>
      </c>
      <c r="K132" s="181" t="s">
        <v>334</v>
      </c>
      <c r="L132" s="117" t="s">
        <v>77</v>
      </c>
      <c r="M132" s="117" t="s">
        <v>786</v>
      </c>
      <c r="N132" s="117" t="s">
        <v>808</v>
      </c>
    </row>
    <row r="133" spans="1:14" ht="51" hidden="1" x14ac:dyDescent="0.3">
      <c r="A133" s="184" t="s">
        <v>904</v>
      </c>
      <c r="D133" s="118">
        <v>80000000</v>
      </c>
      <c r="E133" s="182">
        <v>43251</v>
      </c>
      <c r="F133" s="182">
        <v>46387</v>
      </c>
      <c r="G133" s="117" t="s">
        <v>784</v>
      </c>
      <c r="H133" s="185">
        <v>5.3900000000000003E-2</v>
      </c>
      <c r="I133" s="187" t="s">
        <v>785</v>
      </c>
      <c r="J133" s="188" t="s">
        <v>348</v>
      </c>
      <c r="K133" s="181" t="s">
        <v>334</v>
      </c>
      <c r="L133" s="117" t="s">
        <v>77</v>
      </c>
      <c r="M133" s="117" t="s">
        <v>786</v>
      </c>
      <c r="N133" s="117" t="s">
        <v>808</v>
      </c>
    </row>
    <row r="134" spans="1:14" ht="51" hidden="1" x14ac:dyDescent="0.3">
      <c r="A134" s="184" t="s">
        <v>904</v>
      </c>
      <c r="D134" s="118">
        <v>80000000</v>
      </c>
      <c r="E134" s="182">
        <v>43264</v>
      </c>
      <c r="F134" s="182">
        <v>46387</v>
      </c>
      <c r="G134" s="117" t="s">
        <v>784</v>
      </c>
      <c r="H134" s="185">
        <v>5.3900000000000003E-2</v>
      </c>
      <c r="I134" s="187" t="s">
        <v>785</v>
      </c>
      <c r="J134" s="188" t="s">
        <v>348</v>
      </c>
      <c r="K134" s="181" t="s">
        <v>334</v>
      </c>
      <c r="L134" s="117" t="s">
        <v>77</v>
      </c>
      <c r="M134" s="117" t="s">
        <v>786</v>
      </c>
      <c r="N134" s="117" t="s">
        <v>808</v>
      </c>
    </row>
    <row r="135" spans="1:14" ht="51" hidden="1" x14ac:dyDescent="0.3">
      <c r="A135" s="184" t="s">
        <v>904</v>
      </c>
      <c r="D135" s="118">
        <v>20000000</v>
      </c>
      <c r="E135" s="182">
        <v>44561</v>
      </c>
      <c r="F135" s="182">
        <v>51132</v>
      </c>
      <c r="G135" s="117" t="s">
        <v>784</v>
      </c>
      <c r="H135" s="185">
        <v>3.7999999999999999E-2</v>
      </c>
      <c r="I135" s="187" t="s">
        <v>785</v>
      </c>
      <c r="J135" s="188" t="s">
        <v>348</v>
      </c>
      <c r="K135" s="181" t="s">
        <v>334</v>
      </c>
      <c r="L135" s="117" t="s">
        <v>77</v>
      </c>
      <c r="M135" s="117" t="s">
        <v>786</v>
      </c>
      <c r="N135" s="117" t="s">
        <v>808</v>
      </c>
    </row>
    <row r="136" spans="1:14" hidden="1" x14ac:dyDescent="0.3">
      <c r="A136" s="184" t="s">
        <v>905</v>
      </c>
      <c r="D136" s="118">
        <v>-9578631.5099999905</v>
      </c>
      <c r="E136" s="182"/>
      <c r="F136" s="182"/>
      <c r="G136" s="117" t="s">
        <v>784</v>
      </c>
      <c r="H136" s="185"/>
      <c r="I136" s="187" t="s">
        <v>785</v>
      </c>
      <c r="J136" s="188"/>
      <c r="K136" s="181" t="s">
        <v>334</v>
      </c>
      <c r="L136" s="117" t="s">
        <v>77</v>
      </c>
      <c r="M136" s="117" t="s">
        <v>786</v>
      </c>
      <c r="N136" s="117" t="s">
        <v>808</v>
      </c>
    </row>
    <row r="137" spans="1:14" ht="51" hidden="1" x14ac:dyDescent="0.3">
      <c r="A137" s="184" t="s">
        <v>906</v>
      </c>
      <c r="D137" s="118">
        <v>57000000</v>
      </c>
      <c r="E137" s="182">
        <v>44561</v>
      </c>
      <c r="F137" s="182">
        <v>51132</v>
      </c>
      <c r="G137" s="117" t="s">
        <v>784</v>
      </c>
      <c r="H137" s="185">
        <v>4.5999999999999999E-2</v>
      </c>
      <c r="I137" s="187" t="s">
        <v>785</v>
      </c>
      <c r="J137" s="188" t="s">
        <v>348</v>
      </c>
      <c r="K137" s="181" t="s">
        <v>334</v>
      </c>
      <c r="L137" s="117" t="s">
        <v>77</v>
      </c>
      <c r="M137" s="117" t="s">
        <v>786</v>
      </c>
      <c r="N137" s="117" t="s">
        <v>808</v>
      </c>
    </row>
    <row r="138" spans="1:14" ht="51" hidden="1" x14ac:dyDescent="0.3">
      <c r="A138" s="184" t="s">
        <v>906</v>
      </c>
      <c r="D138" s="118">
        <v>18300000</v>
      </c>
      <c r="E138" s="182">
        <v>44610</v>
      </c>
      <c r="F138" s="182">
        <v>51132</v>
      </c>
      <c r="G138" s="117" t="s">
        <v>784</v>
      </c>
      <c r="H138" s="185">
        <v>4.5999999999999999E-2</v>
      </c>
      <c r="I138" s="187" t="s">
        <v>785</v>
      </c>
      <c r="J138" s="188" t="s">
        <v>348</v>
      </c>
      <c r="K138" s="181" t="s">
        <v>334</v>
      </c>
      <c r="L138" s="117" t="s">
        <v>77</v>
      </c>
      <c r="M138" s="117" t="s">
        <v>786</v>
      </c>
      <c r="N138" s="117" t="s">
        <v>808</v>
      </c>
    </row>
    <row r="139" spans="1:14" hidden="1" x14ac:dyDescent="0.3">
      <c r="A139" s="184" t="s">
        <v>907</v>
      </c>
      <c r="D139" s="118">
        <v>-10388888.890000001</v>
      </c>
      <c r="E139" s="182"/>
      <c r="F139" s="182"/>
      <c r="G139" s="117" t="s">
        <v>784</v>
      </c>
      <c r="H139" s="185"/>
      <c r="I139" s="187" t="s">
        <v>785</v>
      </c>
      <c r="J139" s="188"/>
      <c r="K139" s="181" t="s">
        <v>334</v>
      </c>
      <c r="L139" s="117" t="s">
        <v>77</v>
      </c>
      <c r="M139" s="117" t="s">
        <v>786</v>
      </c>
      <c r="N139" s="117" t="s">
        <v>808</v>
      </c>
    </row>
    <row r="140" spans="1:14" ht="51" hidden="1" x14ac:dyDescent="0.3">
      <c r="A140" s="184" t="s">
        <v>831</v>
      </c>
      <c r="D140" s="118">
        <v>205000000</v>
      </c>
      <c r="E140" s="182">
        <v>43819</v>
      </c>
      <c r="F140" s="182">
        <v>46738</v>
      </c>
      <c r="G140" s="117" t="s">
        <v>784</v>
      </c>
      <c r="H140" s="185">
        <v>4.8899999999999999E-2</v>
      </c>
      <c r="I140" s="187" t="s">
        <v>785</v>
      </c>
      <c r="J140" s="188" t="s">
        <v>674</v>
      </c>
      <c r="K140" s="181" t="s">
        <v>334</v>
      </c>
      <c r="L140" s="117" t="s">
        <v>77</v>
      </c>
      <c r="M140" s="117" t="s">
        <v>786</v>
      </c>
      <c r="N140" s="117" t="s">
        <v>833</v>
      </c>
    </row>
    <row r="141" spans="1:14" ht="51" hidden="1" x14ac:dyDescent="0.3">
      <c r="A141" s="184" t="s">
        <v>831</v>
      </c>
      <c r="D141" s="118">
        <v>135000000</v>
      </c>
      <c r="E141" s="182">
        <v>43865</v>
      </c>
      <c r="F141" s="182">
        <v>46738</v>
      </c>
      <c r="G141" s="117" t="s">
        <v>784</v>
      </c>
      <c r="H141" s="185">
        <v>5.1900000000000002E-2</v>
      </c>
      <c r="I141" s="187" t="s">
        <v>785</v>
      </c>
      <c r="J141" s="188" t="s">
        <v>674</v>
      </c>
      <c r="K141" s="181" t="s">
        <v>334</v>
      </c>
      <c r="L141" s="117" t="s">
        <v>77</v>
      </c>
      <c r="M141" s="117" t="s">
        <v>786</v>
      </c>
      <c r="N141" s="117" t="s">
        <v>833</v>
      </c>
    </row>
    <row r="142" spans="1:14" ht="51" hidden="1" x14ac:dyDescent="0.3">
      <c r="A142" s="184" t="s">
        <v>831</v>
      </c>
      <c r="D142" s="118">
        <v>180000000</v>
      </c>
      <c r="E142" s="182">
        <v>43951</v>
      </c>
      <c r="F142" s="182">
        <v>46738</v>
      </c>
      <c r="G142" s="117" t="s">
        <v>784</v>
      </c>
      <c r="H142" s="185">
        <v>5.1900000000000002E-2</v>
      </c>
      <c r="I142" s="187" t="s">
        <v>785</v>
      </c>
      <c r="J142" s="188" t="s">
        <v>674</v>
      </c>
      <c r="K142" s="181" t="s">
        <v>334</v>
      </c>
      <c r="L142" s="117" t="s">
        <v>77</v>
      </c>
      <c r="M142" s="117" t="s">
        <v>786</v>
      </c>
      <c r="N142" s="117" t="s">
        <v>833</v>
      </c>
    </row>
    <row r="143" spans="1:14" ht="51" hidden="1" x14ac:dyDescent="0.3">
      <c r="A143" s="184" t="s">
        <v>831</v>
      </c>
      <c r="D143" s="118">
        <v>90000000</v>
      </c>
      <c r="E143" s="182">
        <v>44162</v>
      </c>
      <c r="F143" s="182">
        <v>46738</v>
      </c>
      <c r="G143" s="117" t="s">
        <v>784</v>
      </c>
      <c r="H143" s="189">
        <v>4.8899999999999999E-2</v>
      </c>
      <c r="I143" s="187" t="s">
        <v>785</v>
      </c>
      <c r="J143" s="188" t="s">
        <v>674</v>
      </c>
      <c r="K143" s="181" t="s">
        <v>334</v>
      </c>
      <c r="L143" s="117" t="s">
        <v>77</v>
      </c>
      <c r="M143" s="117" t="s">
        <v>786</v>
      </c>
      <c r="N143" s="117" t="s">
        <v>833</v>
      </c>
    </row>
    <row r="144" spans="1:14" ht="51" hidden="1" x14ac:dyDescent="0.3">
      <c r="A144" s="184" t="s">
        <v>831</v>
      </c>
      <c r="D144" s="118">
        <v>90000000</v>
      </c>
      <c r="E144" s="182">
        <v>44204</v>
      </c>
      <c r="F144" s="182">
        <v>46738</v>
      </c>
      <c r="G144" s="117" t="s">
        <v>784</v>
      </c>
      <c r="H144" s="189">
        <v>5.2400000000000002E-2</v>
      </c>
      <c r="I144" s="187" t="s">
        <v>785</v>
      </c>
      <c r="J144" s="188" t="s">
        <v>674</v>
      </c>
      <c r="K144" s="181" t="s">
        <v>334</v>
      </c>
      <c r="L144" s="117" t="s">
        <v>77</v>
      </c>
      <c r="M144" s="117" t="s">
        <v>786</v>
      </c>
      <c r="N144" s="117" t="s">
        <v>833</v>
      </c>
    </row>
    <row r="145" spans="1:14" ht="51" hidden="1" x14ac:dyDescent="0.3">
      <c r="A145" s="184" t="s">
        <v>831</v>
      </c>
      <c r="D145" s="118">
        <v>125000000</v>
      </c>
      <c r="E145" s="182">
        <v>44453</v>
      </c>
      <c r="F145" s="182">
        <v>46639</v>
      </c>
      <c r="G145" s="117" t="s">
        <v>784</v>
      </c>
      <c r="H145" s="189">
        <v>4.5499999999999999E-2</v>
      </c>
      <c r="I145" s="187" t="s">
        <v>785</v>
      </c>
      <c r="J145" s="188" t="s">
        <v>674</v>
      </c>
      <c r="K145" s="181" t="s">
        <v>334</v>
      </c>
      <c r="L145" s="117" t="s">
        <v>77</v>
      </c>
      <c r="M145" s="117" t="s">
        <v>786</v>
      </c>
      <c r="N145" s="117" t="s">
        <v>833</v>
      </c>
    </row>
    <row r="146" spans="1:14" ht="51" hidden="1" x14ac:dyDescent="0.3">
      <c r="A146" s="184" t="s">
        <v>831</v>
      </c>
      <c r="D146" s="118">
        <v>50000000</v>
      </c>
      <c r="E146" s="182">
        <v>44617</v>
      </c>
      <c r="F146" s="182">
        <v>46639</v>
      </c>
      <c r="G146" s="117" t="s">
        <v>784</v>
      </c>
      <c r="H146" s="189">
        <v>4.8500000000000001E-2</v>
      </c>
      <c r="I146" s="187" t="s">
        <v>785</v>
      </c>
      <c r="J146" s="188" t="s">
        <v>674</v>
      </c>
      <c r="K146" s="181" t="s">
        <v>334</v>
      </c>
      <c r="L146" s="117" t="s">
        <v>77</v>
      </c>
      <c r="M146" s="117" t="s">
        <v>786</v>
      </c>
      <c r="N146" s="117" t="s">
        <v>833</v>
      </c>
    </row>
    <row r="147" spans="1:14" ht="114.75" hidden="1" x14ac:dyDescent="0.3">
      <c r="A147" s="184" t="s">
        <v>796</v>
      </c>
      <c r="D147" s="118">
        <v>120000000</v>
      </c>
      <c r="E147" s="182">
        <v>44403</v>
      </c>
      <c r="F147" s="182">
        <v>45499</v>
      </c>
      <c r="G147" s="117" t="s">
        <v>784</v>
      </c>
      <c r="H147" s="189">
        <v>5.6000000000000001E-2</v>
      </c>
      <c r="I147" s="187" t="s">
        <v>785</v>
      </c>
      <c r="J147" s="188" t="s">
        <v>908</v>
      </c>
      <c r="K147" s="181" t="s">
        <v>334</v>
      </c>
      <c r="L147" s="117" t="s">
        <v>77</v>
      </c>
      <c r="M147" s="117" t="s">
        <v>786</v>
      </c>
      <c r="N147" s="117" t="s">
        <v>794</v>
      </c>
    </row>
    <row r="148" spans="1:14" ht="38.25" hidden="1" x14ac:dyDescent="0.3">
      <c r="A148" s="181" t="s">
        <v>909</v>
      </c>
      <c r="D148" s="118">
        <v>104000000</v>
      </c>
      <c r="E148" s="182">
        <v>44132</v>
      </c>
      <c r="F148" s="182">
        <v>47107</v>
      </c>
      <c r="G148" s="117" t="s">
        <v>784</v>
      </c>
      <c r="H148" s="185">
        <v>5.5E-2</v>
      </c>
      <c r="I148" s="187" t="s">
        <v>785</v>
      </c>
      <c r="J148" s="188" t="s">
        <v>650</v>
      </c>
      <c r="K148" s="181" t="s">
        <v>334</v>
      </c>
      <c r="L148" s="117" t="s">
        <v>77</v>
      </c>
      <c r="M148" s="117" t="s">
        <v>786</v>
      </c>
      <c r="N148" s="117" t="s">
        <v>794</v>
      </c>
    </row>
    <row r="149" spans="1:14" ht="38.25" hidden="1" x14ac:dyDescent="0.3">
      <c r="A149" s="181" t="s">
        <v>909</v>
      </c>
      <c r="D149" s="118">
        <v>108000000</v>
      </c>
      <c r="E149" s="182">
        <v>44491</v>
      </c>
      <c r="F149" s="182">
        <v>47107</v>
      </c>
      <c r="G149" s="117" t="s">
        <v>784</v>
      </c>
      <c r="H149" s="185">
        <v>5.5E-2</v>
      </c>
      <c r="I149" s="187" t="s">
        <v>785</v>
      </c>
      <c r="J149" s="188" t="s">
        <v>650</v>
      </c>
      <c r="K149" s="181" t="s">
        <v>334</v>
      </c>
      <c r="L149" s="117" t="s">
        <v>77</v>
      </c>
      <c r="M149" s="117" t="s">
        <v>786</v>
      </c>
      <c r="N149" s="117" t="s">
        <v>794</v>
      </c>
    </row>
    <row r="150" spans="1:14" ht="38.25" hidden="1" x14ac:dyDescent="0.3">
      <c r="A150" s="181" t="s">
        <v>909</v>
      </c>
      <c r="D150" s="118">
        <v>112000000</v>
      </c>
      <c r="E150" s="182">
        <v>44861</v>
      </c>
      <c r="F150" s="182">
        <v>47108</v>
      </c>
      <c r="G150" s="117" t="s">
        <v>784</v>
      </c>
      <c r="H150" s="185">
        <v>1.0549999999999999</v>
      </c>
      <c r="I150" s="187" t="s">
        <v>785</v>
      </c>
      <c r="J150" s="188" t="s">
        <v>650</v>
      </c>
      <c r="K150" s="181" t="s">
        <v>334</v>
      </c>
      <c r="L150" s="117" t="s">
        <v>77</v>
      </c>
      <c r="M150" s="117" t="s">
        <v>786</v>
      </c>
      <c r="N150" s="117" t="s">
        <v>794</v>
      </c>
    </row>
    <row r="151" spans="1:14" ht="51" hidden="1" x14ac:dyDescent="0.3">
      <c r="A151" s="181" t="s">
        <v>828</v>
      </c>
      <c r="D151" s="118">
        <v>200000000</v>
      </c>
      <c r="E151" s="182">
        <v>44221</v>
      </c>
      <c r="F151" s="182">
        <v>46738</v>
      </c>
      <c r="G151" s="117" t="s">
        <v>784</v>
      </c>
      <c r="H151" s="185">
        <v>6.8000000000000005E-2</v>
      </c>
      <c r="I151" s="187" t="s">
        <v>785</v>
      </c>
      <c r="J151" s="188" t="s">
        <v>649</v>
      </c>
      <c r="K151" s="181" t="s">
        <v>349</v>
      </c>
      <c r="L151" s="117" t="s">
        <v>77</v>
      </c>
      <c r="M151" s="117" t="s">
        <v>786</v>
      </c>
      <c r="N151" s="117" t="s">
        <v>789</v>
      </c>
    </row>
    <row r="152" spans="1:14" ht="51" hidden="1" x14ac:dyDescent="0.3">
      <c r="A152" s="181" t="s">
        <v>910</v>
      </c>
      <c r="D152" s="118">
        <v>94340600</v>
      </c>
      <c r="E152" s="182">
        <v>44285</v>
      </c>
      <c r="F152" s="182">
        <v>50915</v>
      </c>
      <c r="G152" s="117" t="s">
        <v>784</v>
      </c>
      <c r="H152" s="185">
        <v>5.1999999999999998E-2</v>
      </c>
      <c r="I152" s="187" t="s">
        <v>785</v>
      </c>
      <c r="J152" s="188" t="s">
        <v>649</v>
      </c>
      <c r="K152" s="181" t="s">
        <v>349</v>
      </c>
      <c r="L152" s="117" t="s">
        <v>77</v>
      </c>
      <c r="M152" s="117" t="s">
        <v>786</v>
      </c>
      <c r="N152" s="117" t="s">
        <v>794</v>
      </c>
    </row>
    <row r="153" spans="1:14" ht="51" hidden="1" x14ac:dyDescent="0.3">
      <c r="A153" s="181" t="s">
        <v>911</v>
      </c>
      <c r="D153" s="118">
        <v>282000000</v>
      </c>
      <c r="E153" s="182">
        <v>44285</v>
      </c>
      <c r="F153" s="182">
        <v>50915</v>
      </c>
      <c r="G153" s="117" t="s">
        <v>784</v>
      </c>
      <c r="H153" s="185">
        <v>5.1999999999999998E-2</v>
      </c>
      <c r="I153" s="187" t="s">
        <v>785</v>
      </c>
      <c r="J153" s="188" t="s">
        <v>649</v>
      </c>
      <c r="K153" s="181" t="s">
        <v>349</v>
      </c>
      <c r="L153" s="117" t="s">
        <v>77</v>
      </c>
      <c r="M153" s="117" t="s">
        <v>786</v>
      </c>
      <c r="N153" s="117" t="s">
        <v>808</v>
      </c>
    </row>
    <row r="154" spans="1:14" ht="51" hidden="1" x14ac:dyDescent="0.3">
      <c r="A154" s="181" t="s">
        <v>912</v>
      </c>
      <c r="D154" s="118">
        <v>124000000</v>
      </c>
      <c r="E154" s="182">
        <v>44011</v>
      </c>
      <c r="F154" s="182">
        <v>47108</v>
      </c>
      <c r="G154" s="117" t="s">
        <v>784</v>
      </c>
      <c r="H154" s="190">
        <v>5.1999999999999998E-2</v>
      </c>
      <c r="I154" s="187" t="s">
        <v>785</v>
      </c>
      <c r="J154" s="188" t="s">
        <v>354</v>
      </c>
      <c r="K154" s="181" t="s">
        <v>913</v>
      </c>
      <c r="L154" s="117" t="s">
        <v>77</v>
      </c>
      <c r="M154" s="117" t="s">
        <v>786</v>
      </c>
      <c r="N154" s="117" t="s">
        <v>794</v>
      </c>
    </row>
    <row r="155" spans="1:14" ht="38.25" hidden="1" x14ac:dyDescent="0.3">
      <c r="A155" s="184" t="s">
        <v>853</v>
      </c>
      <c r="D155" s="118">
        <v>520000000</v>
      </c>
      <c r="E155" s="182">
        <v>44638</v>
      </c>
      <c r="F155" s="182">
        <v>47186</v>
      </c>
      <c r="G155" s="117" t="s">
        <v>784</v>
      </c>
      <c r="H155" s="185">
        <v>4.9000000000000002E-2</v>
      </c>
      <c r="I155" s="187" t="s">
        <v>785</v>
      </c>
      <c r="J155" s="188" t="s">
        <v>376</v>
      </c>
      <c r="K155" s="181" t="s">
        <v>913</v>
      </c>
      <c r="L155" s="117" t="s">
        <v>77</v>
      </c>
      <c r="M155" s="117" t="s">
        <v>786</v>
      </c>
      <c r="N155" s="117" t="s">
        <v>833</v>
      </c>
    </row>
    <row r="156" spans="1:14" ht="127.5" hidden="1" x14ac:dyDescent="0.3">
      <c r="A156" s="184" t="s">
        <v>914</v>
      </c>
      <c r="D156" s="118">
        <v>82500000</v>
      </c>
      <c r="E156" s="182">
        <v>44720</v>
      </c>
      <c r="F156" s="182">
        <v>47276</v>
      </c>
      <c r="G156" s="117" t="s">
        <v>784</v>
      </c>
      <c r="H156" s="185">
        <v>5.0999999999999997E-2</v>
      </c>
      <c r="I156" s="187" t="s">
        <v>842</v>
      </c>
      <c r="J156" s="188" t="s">
        <v>915</v>
      </c>
      <c r="K156" s="181" t="s">
        <v>620</v>
      </c>
      <c r="L156" s="117" t="s">
        <v>77</v>
      </c>
      <c r="M156" s="117" t="s">
        <v>786</v>
      </c>
      <c r="N156" s="117" t="s">
        <v>787</v>
      </c>
    </row>
    <row r="157" spans="1:14" ht="51" hidden="1" x14ac:dyDescent="0.3">
      <c r="A157" s="184" t="s">
        <v>444</v>
      </c>
      <c r="D157" s="118">
        <v>200000000</v>
      </c>
      <c r="E157" s="182">
        <v>44195</v>
      </c>
      <c r="F157" s="182">
        <v>46019</v>
      </c>
      <c r="G157" s="117" t="s">
        <v>784</v>
      </c>
      <c r="H157" s="185">
        <v>7.0000000000000007E-2</v>
      </c>
      <c r="I157" s="187" t="s">
        <v>785</v>
      </c>
      <c r="J157" s="188" t="s">
        <v>802</v>
      </c>
      <c r="K157" s="181" t="s">
        <v>382</v>
      </c>
      <c r="L157" s="117" t="s">
        <v>77</v>
      </c>
      <c r="M157" s="117" t="s">
        <v>786</v>
      </c>
      <c r="N157" s="117" t="s">
        <v>789</v>
      </c>
    </row>
    <row r="158" spans="1:14" ht="51" hidden="1" x14ac:dyDescent="0.3">
      <c r="A158" s="184" t="s">
        <v>792</v>
      </c>
      <c r="D158" s="118">
        <v>260000000</v>
      </c>
      <c r="E158" s="182">
        <v>44727</v>
      </c>
      <c r="F158" s="182">
        <v>48374</v>
      </c>
      <c r="G158" s="117" t="s">
        <v>784</v>
      </c>
      <c r="H158" s="185">
        <v>5.3999999999999999E-2</v>
      </c>
      <c r="I158" s="187" t="s">
        <v>785</v>
      </c>
      <c r="J158" s="188" t="s">
        <v>354</v>
      </c>
      <c r="K158" s="181" t="s">
        <v>382</v>
      </c>
      <c r="L158" s="117" t="s">
        <v>77</v>
      </c>
      <c r="M158" s="117" t="s">
        <v>786</v>
      </c>
      <c r="N158" s="117" t="s">
        <v>787</v>
      </c>
    </row>
    <row r="159" spans="1:14" ht="51" hidden="1" x14ac:dyDescent="0.3">
      <c r="A159" s="184" t="s">
        <v>916</v>
      </c>
      <c r="D159" s="118">
        <v>940000000</v>
      </c>
      <c r="E159" s="182">
        <v>44519</v>
      </c>
      <c r="F159" s="182">
        <v>46007</v>
      </c>
      <c r="G159" s="117" t="s">
        <v>784</v>
      </c>
      <c r="H159" s="185">
        <v>6.5000000000000002E-2</v>
      </c>
      <c r="I159" s="187" t="s">
        <v>785</v>
      </c>
      <c r="J159" s="188" t="s">
        <v>354</v>
      </c>
      <c r="K159" s="181" t="s">
        <v>355</v>
      </c>
      <c r="L159" s="117" t="s">
        <v>77</v>
      </c>
      <c r="M159" s="117" t="s">
        <v>786</v>
      </c>
      <c r="N159" s="117" t="s">
        <v>787</v>
      </c>
    </row>
    <row r="160" spans="1:14" ht="51" hidden="1" x14ac:dyDescent="0.3">
      <c r="A160" s="184" t="s">
        <v>917</v>
      </c>
      <c r="D160" s="118">
        <v>155000000</v>
      </c>
      <c r="E160" s="182">
        <v>44895</v>
      </c>
      <c r="F160" s="182">
        <v>47085</v>
      </c>
      <c r="G160" s="117" t="s">
        <v>784</v>
      </c>
      <c r="H160" s="185">
        <v>5.8000000000000003E-2</v>
      </c>
      <c r="I160" s="187" t="s">
        <v>785</v>
      </c>
      <c r="J160" s="188" t="s">
        <v>354</v>
      </c>
      <c r="K160" s="181" t="s">
        <v>355</v>
      </c>
      <c r="L160" s="117" t="s">
        <v>77</v>
      </c>
      <c r="M160" s="117" t="s">
        <v>786</v>
      </c>
      <c r="N160" s="117" t="s">
        <v>787</v>
      </c>
    </row>
    <row r="161" spans="1:14" ht="51" hidden="1" x14ac:dyDescent="0.3">
      <c r="A161" s="184" t="s">
        <v>918</v>
      </c>
      <c r="D161" s="118">
        <v>100000000</v>
      </c>
      <c r="E161" s="182">
        <v>44925</v>
      </c>
      <c r="F161" s="182">
        <v>47846</v>
      </c>
      <c r="G161" s="117" t="s">
        <v>784</v>
      </c>
      <c r="H161" s="185">
        <v>4.9000000000000002E-2</v>
      </c>
      <c r="I161" s="187" t="s">
        <v>785</v>
      </c>
      <c r="J161" s="188" t="s">
        <v>354</v>
      </c>
      <c r="K161" s="181" t="s">
        <v>355</v>
      </c>
      <c r="L161" s="117" t="s">
        <v>77</v>
      </c>
      <c r="M161" s="117" t="s">
        <v>786</v>
      </c>
      <c r="N161" s="117" t="s">
        <v>794</v>
      </c>
    </row>
    <row r="162" spans="1:14" ht="165.75" hidden="1" x14ac:dyDescent="0.3">
      <c r="A162" s="184" t="s">
        <v>919</v>
      </c>
      <c r="D162" s="118">
        <v>150000000</v>
      </c>
      <c r="E162" s="182">
        <v>44561</v>
      </c>
      <c r="F162" s="182">
        <v>45636</v>
      </c>
      <c r="G162" s="117" t="s">
        <v>784</v>
      </c>
      <c r="H162" s="185">
        <v>4.9000000000000002E-2</v>
      </c>
      <c r="I162" s="187" t="s">
        <v>799</v>
      </c>
      <c r="J162" s="188" t="s">
        <v>920</v>
      </c>
      <c r="K162" s="181" t="s">
        <v>355</v>
      </c>
      <c r="L162" s="117" t="s">
        <v>77</v>
      </c>
      <c r="M162" s="117" t="s">
        <v>786</v>
      </c>
      <c r="N162" s="117" t="s">
        <v>808</v>
      </c>
    </row>
    <row r="163" spans="1:14" ht="165.75" hidden="1" x14ac:dyDescent="0.3">
      <c r="A163" s="184" t="s">
        <v>921</v>
      </c>
      <c r="D163" s="118">
        <v>90000000</v>
      </c>
      <c r="E163" s="182">
        <v>44602</v>
      </c>
      <c r="F163" s="182">
        <v>45636</v>
      </c>
      <c r="G163" s="117" t="s">
        <v>784</v>
      </c>
      <c r="H163" s="185">
        <v>4.9000000000000002E-2</v>
      </c>
      <c r="I163" s="187" t="s">
        <v>799</v>
      </c>
      <c r="J163" s="188" t="s">
        <v>920</v>
      </c>
      <c r="K163" s="181" t="s">
        <v>355</v>
      </c>
      <c r="L163" s="117" t="s">
        <v>77</v>
      </c>
      <c r="M163" s="117" t="s">
        <v>786</v>
      </c>
      <c r="N163" s="117" t="s">
        <v>808</v>
      </c>
    </row>
    <row r="164" spans="1:14" ht="51" hidden="1" x14ac:dyDescent="0.3">
      <c r="A164" s="184" t="s">
        <v>922</v>
      </c>
      <c r="D164" s="118">
        <v>130000000</v>
      </c>
      <c r="E164" s="182">
        <v>44739</v>
      </c>
      <c r="F164" s="182">
        <v>47027</v>
      </c>
      <c r="G164" s="117" t="s">
        <v>784</v>
      </c>
      <c r="H164" s="185">
        <v>4.7E-2</v>
      </c>
      <c r="I164" s="187" t="s">
        <v>785</v>
      </c>
      <c r="J164" s="188" t="s">
        <v>354</v>
      </c>
      <c r="K164" s="181" t="s">
        <v>355</v>
      </c>
      <c r="L164" s="117" t="s">
        <v>77</v>
      </c>
      <c r="M164" s="117" t="s">
        <v>786</v>
      </c>
      <c r="N164" s="117" t="s">
        <v>808</v>
      </c>
    </row>
    <row r="165" spans="1:14" ht="51" hidden="1" x14ac:dyDescent="0.3">
      <c r="A165" s="184" t="s">
        <v>923</v>
      </c>
      <c r="D165" s="118">
        <v>50000000</v>
      </c>
      <c r="E165" s="182">
        <v>44728</v>
      </c>
      <c r="F165" s="182">
        <v>46113</v>
      </c>
      <c r="G165" s="117" t="s">
        <v>784</v>
      </c>
      <c r="H165" s="190">
        <v>4.7E-2</v>
      </c>
      <c r="I165" s="187" t="s">
        <v>785</v>
      </c>
      <c r="J165" s="188" t="s">
        <v>354</v>
      </c>
      <c r="K165" s="181" t="s">
        <v>355</v>
      </c>
      <c r="L165" s="117" t="s">
        <v>77</v>
      </c>
      <c r="M165" s="117" t="s">
        <v>786</v>
      </c>
      <c r="N165" s="117" t="s">
        <v>808</v>
      </c>
    </row>
    <row r="166" spans="1:14" ht="51" hidden="1" x14ac:dyDescent="0.3">
      <c r="A166" s="184" t="s">
        <v>924</v>
      </c>
      <c r="D166" s="118">
        <v>44549700</v>
      </c>
      <c r="E166" s="182">
        <v>44803</v>
      </c>
      <c r="F166" s="182">
        <v>47209</v>
      </c>
      <c r="G166" s="117" t="s">
        <v>784</v>
      </c>
      <c r="H166" s="190">
        <v>4.7E-2</v>
      </c>
      <c r="I166" s="187" t="s">
        <v>785</v>
      </c>
      <c r="J166" s="188" t="s">
        <v>354</v>
      </c>
      <c r="K166" s="181" t="s">
        <v>355</v>
      </c>
      <c r="L166" s="117" t="s">
        <v>77</v>
      </c>
      <c r="M166" s="117" t="s">
        <v>786</v>
      </c>
      <c r="N166" s="117" t="s">
        <v>808</v>
      </c>
    </row>
    <row r="167" spans="1:14" hidden="1" x14ac:dyDescent="0.3">
      <c r="A167" s="181" t="s">
        <v>925</v>
      </c>
      <c r="D167" s="118">
        <v>690000000</v>
      </c>
      <c r="E167" s="182">
        <v>44762</v>
      </c>
      <c r="F167" s="182">
        <v>47683</v>
      </c>
      <c r="G167" s="117" t="s">
        <v>784</v>
      </c>
      <c r="H167" s="190">
        <v>0.05</v>
      </c>
      <c r="I167" s="187" t="s">
        <v>785</v>
      </c>
      <c r="J167" s="202" t="s">
        <v>376</v>
      </c>
      <c r="K167" s="203" t="s">
        <v>355</v>
      </c>
      <c r="L167" s="117" t="s">
        <v>77</v>
      </c>
      <c r="M167" s="117" t="s">
        <v>786</v>
      </c>
      <c r="N167" s="117" t="s">
        <v>833</v>
      </c>
    </row>
    <row r="168" spans="1:14" hidden="1" x14ac:dyDescent="0.3">
      <c r="A168" s="181" t="s">
        <v>926</v>
      </c>
      <c r="D168" s="118">
        <v>350000000</v>
      </c>
      <c r="E168" s="182">
        <v>44565</v>
      </c>
      <c r="F168" s="182">
        <v>45651</v>
      </c>
      <c r="G168" s="117" t="s">
        <v>784</v>
      </c>
      <c r="H168" s="190">
        <v>5.1999999999999998E-2</v>
      </c>
      <c r="I168" s="187" t="s">
        <v>799</v>
      </c>
      <c r="J168" s="202" t="s">
        <v>927</v>
      </c>
      <c r="K168" s="203" t="s">
        <v>355</v>
      </c>
      <c r="L168" s="117" t="s">
        <v>77</v>
      </c>
      <c r="M168" s="117" t="s">
        <v>786</v>
      </c>
      <c r="N168" s="117" t="s">
        <v>787</v>
      </c>
    </row>
    <row r="169" spans="1:14" hidden="1" x14ac:dyDescent="0.3">
      <c r="A169" s="181" t="s">
        <v>796</v>
      </c>
      <c r="D169" s="118">
        <v>46000000</v>
      </c>
      <c r="E169" s="182">
        <v>44200</v>
      </c>
      <c r="F169" s="182">
        <v>45295</v>
      </c>
      <c r="G169" s="117" t="s">
        <v>784</v>
      </c>
      <c r="H169" s="190">
        <v>0.06</v>
      </c>
      <c r="I169" s="202" t="s">
        <v>785</v>
      </c>
      <c r="J169" s="202" t="s">
        <v>928</v>
      </c>
      <c r="K169" s="203" t="s">
        <v>350</v>
      </c>
      <c r="L169" s="117" t="s">
        <v>77</v>
      </c>
      <c r="M169" s="117" t="s">
        <v>786</v>
      </c>
      <c r="N169" s="117" t="s">
        <v>794</v>
      </c>
    </row>
    <row r="170" spans="1:14" hidden="1" x14ac:dyDescent="0.3">
      <c r="A170" s="181" t="s">
        <v>614</v>
      </c>
      <c r="D170" s="118">
        <v>18000000</v>
      </c>
      <c r="E170" s="182">
        <v>44371</v>
      </c>
      <c r="F170" s="182">
        <v>46193</v>
      </c>
      <c r="G170" s="117" t="s">
        <v>784</v>
      </c>
      <c r="H170" s="190">
        <v>4.4999999999999998E-2</v>
      </c>
      <c r="I170" s="202" t="s">
        <v>785</v>
      </c>
      <c r="J170" s="202"/>
      <c r="K170" s="203" t="s">
        <v>344</v>
      </c>
      <c r="L170" s="117" t="s">
        <v>77</v>
      </c>
      <c r="M170" s="117" t="s">
        <v>786</v>
      </c>
      <c r="N170" s="117" t="s">
        <v>789</v>
      </c>
    </row>
    <row r="171" spans="1:14" hidden="1" x14ac:dyDescent="0.3">
      <c r="A171" s="181" t="s">
        <v>614</v>
      </c>
      <c r="D171" s="118">
        <v>20000000</v>
      </c>
      <c r="E171" s="182">
        <v>44585</v>
      </c>
      <c r="F171" s="182">
        <v>45309</v>
      </c>
      <c r="G171" s="117" t="s">
        <v>784</v>
      </c>
      <c r="H171" s="190">
        <v>4.8000000000000001E-2</v>
      </c>
      <c r="I171" s="202" t="s">
        <v>835</v>
      </c>
      <c r="J171" s="202"/>
      <c r="K171" s="203" t="s">
        <v>344</v>
      </c>
      <c r="L171" s="117" t="s">
        <v>77</v>
      </c>
      <c r="M171" s="117" t="s">
        <v>786</v>
      </c>
      <c r="N171" s="117" t="s">
        <v>789</v>
      </c>
    </row>
    <row r="172" spans="1:14" ht="51" hidden="1" x14ac:dyDescent="0.3">
      <c r="A172" s="181" t="s">
        <v>804</v>
      </c>
      <c r="B172" s="191"/>
      <c r="C172" s="192">
        <v>4839666.67</v>
      </c>
      <c r="D172" s="192">
        <f t="shared" ref="D172:D206" si="2">B172+C172</f>
        <v>4839666.67</v>
      </c>
      <c r="E172" s="182">
        <v>44741</v>
      </c>
      <c r="F172" s="182">
        <v>45472</v>
      </c>
      <c r="G172" s="117" t="s">
        <v>784</v>
      </c>
      <c r="H172" s="193">
        <v>0.06</v>
      </c>
      <c r="I172" s="187" t="s">
        <v>785</v>
      </c>
      <c r="J172" s="188" t="s">
        <v>802</v>
      </c>
      <c r="K172" s="181" t="s">
        <v>334</v>
      </c>
      <c r="L172" s="117" t="s">
        <v>929</v>
      </c>
      <c r="M172" s="117" t="s">
        <v>805</v>
      </c>
    </row>
    <row r="173" spans="1:14" hidden="1" x14ac:dyDescent="0.3">
      <c r="A173" s="181" t="s">
        <v>899</v>
      </c>
      <c r="B173" s="192">
        <v>42000000</v>
      </c>
      <c r="C173" s="192">
        <v>273542.5</v>
      </c>
      <c r="D173" s="192">
        <f t="shared" si="2"/>
        <v>42273542.5</v>
      </c>
      <c r="E173" s="182">
        <v>42744</v>
      </c>
      <c r="F173" s="182">
        <v>46387</v>
      </c>
      <c r="G173" s="117" t="s">
        <v>784</v>
      </c>
      <c r="H173" s="194">
        <v>4.795E-2</v>
      </c>
      <c r="I173" s="202" t="s">
        <v>785</v>
      </c>
      <c r="J173" s="202" t="s">
        <v>348</v>
      </c>
      <c r="K173" s="181" t="s">
        <v>334</v>
      </c>
      <c r="L173" s="117" t="s">
        <v>929</v>
      </c>
      <c r="M173" s="117" t="s">
        <v>786</v>
      </c>
      <c r="N173" s="117" t="s">
        <v>794</v>
      </c>
    </row>
    <row r="174" spans="1:14" hidden="1" x14ac:dyDescent="0.3">
      <c r="A174" s="184" t="s">
        <v>899</v>
      </c>
      <c r="B174" s="192">
        <v>220000000</v>
      </c>
      <c r="C174" s="192">
        <v>1902670</v>
      </c>
      <c r="D174" s="192">
        <f t="shared" si="2"/>
        <v>221902670</v>
      </c>
      <c r="E174" s="182">
        <v>43144</v>
      </c>
      <c r="F174" s="182">
        <v>46749</v>
      </c>
      <c r="G174" s="117" t="s">
        <v>784</v>
      </c>
      <c r="H174" s="195">
        <v>5.5300000000000002E-2</v>
      </c>
      <c r="I174" s="202" t="s">
        <v>842</v>
      </c>
      <c r="J174" s="202" t="s">
        <v>930</v>
      </c>
      <c r="K174" s="181" t="s">
        <v>334</v>
      </c>
      <c r="L174" s="117" t="s">
        <v>929</v>
      </c>
      <c r="M174" s="117" t="s">
        <v>786</v>
      </c>
      <c r="N174" s="117" t="s">
        <v>794</v>
      </c>
    </row>
    <row r="175" spans="1:14" hidden="1" x14ac:dyDescent="0.3">
      <c r="A175" s="184" t="s">
        <v>838</v>
      </c>
      <c r="B175" s="192"/>
      <c r="C175" s="192">
        <v>977777.78</v>
      </c>
      <c r="D175" s="192">
        <f t="shared" si="2"/>
        <v>977777.78</v>
      </c>
      <c r="E175" s="182">
        <v>44295</v>
      </c>
      <c r="F175" s="182">
        <v>45989</v>
      </c>
      <c r="G175" s="117" t="s">
        <v>784</v>
      </c>
      <c r="H175" s="195">
        <v>6.4000000000000001E-2</v>
      </c>
      <c r="I175" s="202" t="s">
        <v>785</v>
      </c>
      <c r="J175" s="202" t="s">
        <v>902</v>
      </c>
      <c r="K175" s="181" t="s">
        <v>334</v>
      </c>
      <c r="L175" s="117" t="s">
        <v>929</v>
      </c>
      <c r="M175" s="117" t="s">
        <v>786</v>
      </c>
      <c r="N175" s="117" t="s">
        <v>787</v>
      </c>
    </row>
    <row r="176" spans="1:14" ht="25.5" hidden="1" x14ac:dyDescent="0.3">
      <c r="A176" s="181" t="s">
        <v>931</v>
      </c>
      <c r="B176" s="192">
        <v>357107000</v>
      </c>
      <c r="C176" s="196">
        <v>507389.53</v>
      </c>
      <c r="D176" s="192">
        <f t="shared" si="2"/>
        <v>357614389.52999997</v>
      </c>
      <c r="E176" s="182">
        <v>44230</v>
      </c>
      <c r="F176" s="182">
        <v>45209</v>
      </c>
      <c r="G176" s="117" t="s">
        <v>784</v>
      </c>
      <c r="H176" s="195">
        <v>4.65E-2</v>
      </c>
      <c r="I176" s="202" t="s">
        <v>799</v>
      </c>
      <c r="J176" s="188" t="s">
        <v>22</v>
      </c>
      <c r="K176" s="181" t="s">
        <v>334</v>
      </c>
      <c r="L176" s="117" t="s">
        <v>929</v>
      </c>
      <c r="M176" s="117" t="s">
        <v>786</v>
      </c>
      <c r="N176" s="117" t="s">
        <v>808</v>
      </c>
    </row>
    <row r="177" spans="1:14" ht="89.25" hidden="1" x14ac:dyDescent="0.3">
      <c r="A177" s="184" t="s">
        <v>783</v>
      </c>
      <c r="B177" s="192">
        <v>400000000</v>
      </c>
      <c r="C177" s="196">
        <v>623333.34</v>
      </c>
      <c r="D177" s="192">
        <f t="shared" si="2"/>
        <v>400623333.33999997</v>
      </c>
      <c r="E177" s="182">
        <v>44197</v>
      </c>
      <c r="F177" s="182">
        <v>45285</v>
      </c>
      <c r="G177" s="117" t="s">
        <v>784</v>
      </c>
      <c r="H177" s="195">
        <v>5.0999999999999997E-2</v>
      </c>
      <c r="I177" s="202" t="s">
        <v>799</v>
      </c>
      <c r="J177" s="188" t="s">
        <v>932</v>
      </c>
      <c r="K177" s="181" t="s">
        <v>334</v>
      </c>
      <c r="L177" s="117" t="s">
        <v>929</v>
      </c>
      <c r="M177" s="117" t="s">
        <v>786</v>
      </c>
      <c r="N177" s="117" t="s">
        <v>787</v>
      </c>
    </row>
    <row r="178" spans="1:14" hidden="1" x14ac:dyDescent="0.3">
      <c r="A178" s="197" t="s">
        <v>903</v>
      </c>
      <c r="B178" s="192">
        <v>46000000</v>
      </c>
      <c r="C178" s="192">
        <v>247940</v>
      </c>
      <c r="D178" s="192">
        <f t="shared" si="2"/>
        <v>46247940</v>
      </c>
      <c r="E178" s="182">
        <v>42955</v>
      </c>
      <c r="F178" s="182">
        <v>45838</v>
      </c>
      <c r="G178" s="117" t="s">
        <v>784</v>
      </c>
      <c r="H178" s="195">
        <v>5.6800000000000003E-2</v>
      </c>
      <c r="I178" s="202" t="s">
        <v>785</v>
      </c>
      <c r="J178" s="202" t="s">
        <v>802</v>
      </c>
      <c r="K178" s="203" t="s">
        <v>334</v>
      </c>
      <c r="L178" s="117" t="s">
        <v>929</v>
      </c>
      <c r="M178" s="117" t="s">
        <v>786</v>
      </c>
      <c r="N178" s="117" t="s">
        <v>794</v>
      </c>
    </row>
    <row r="179" spans="1:14" hidden="1" x14ac:dyDescent="0.3">
      <c r="A179" s="198" t="s">
        <v>904</v>
      </c>
      <c r="B179" s="192">
        <v>80000000</v>
      </c>
      <c r="C179" s="192">
        <v>510552.78</v>
      </c>
      <c r="D179" s="192">
        <f t="shared" si="2"/>
        <v>80510552.780000001</v>
      </c>
      <c r="E179" s="182">
        <v>43207</v>
      </c>
      <c r="F179" s="182">
        <v>46387</v>
      </c>
      <c r="G179" s="117" t="s">
        <v>784</v>
      </c>
      <c r="H179" s="195">
        <v>5.3900000000000003E-2</v>
      </c>
      <c r="I179" s="202" t="s">
        <v>785</v>
      </c>
      <c r="J179" s="202" t="s">
        <v>348</v>
      </c>
      <c r="K179" s="203" t="s">
        <v>334</v>
      </c>
      <c r="L179" s="117" t="s">
        <v>929</v>
      </c>
      <c r="M179" s="117" t="s">
        <v>786</v>
      </c>
      <c r="N179" s="117" t="s">
        <v>808</v>
      </c>
    </row>
    <row r="180" spans="1:14" hidden="1" x14ac:dyDescent="0.3">
      <c r="A180" s="198" t="s">
        <v>904</v>
      </c>
      <c r="B180" s="192">
        <v>3000000</v>
      </c>
      <c r="C180" s="192">
        <v>110055</v>
      </c>
      <c r="D180" s="192">
        <f t="shared" si="2"/>
        <v>3110055</v>
      </c>
      <c r="E180" s="182">
        <v>44561</v>
      </c>
      <c r="F180" s="199">
        <v>51132</v>
      </c>
      <c r="G180" s="117" t="s">
        <v>784</v>
      </c>
      <c r="H180" s="195">
        <v>4.5999999999999999E-2</v>
      </c>
      <c r="I180" s="202" t="s">
        <v>785</v>
      </c>
      <c r="J180" s="202" t="s">
        <v>348</v>
      </c>
      <c r="K180" s="203" t="s">
        <v>334</v>
      </c>
      <c r="L180" s="117" t="s">
        <v>929</v>
      </c>
      <c r="M180" s="117" t="s">
        <v>786</v>
      </c>
      <c r="N180" s="117" t="s">
        <v>808</v>
      </c>
    </row>
    <row r="181" spans="1:14" hidden="1" x14ac:dyDescent="0.3">
      <c r="A181" s="197" t="s">
        <v>831</v>
      </c>
      <c r="B181" s="192">
        <v>200000000</v>
      </c>
      <c r="C181" s="192">
        <v>1438937.5</v>
      </c>
      <c r="D181" s="192">
        <f t="shared" si="2"/>
        <v>201438937.5</v>
      </c>
      <c r="E181" s="182">
        <v>43819</v>
      </c>
      <c r="F181" s="182">
        <v>46738</v>
      </c>
      <c r="G181" s="117" t="s">
        <v>784</v>
      </c>
      <c r="H181" s="195">
        <v>5.2400000000000002E-2</v>
      </c>
      <c r="I181" s="202" t="s">
        <v>785</v>
      </c>
      <c r="J181" s="202" t="s">
        <v>674</v>
      </c>
      <c r="K181" s="203" t="s">
        <v>334</v>
      </c>
      <c r="L181" s="117" t="s">
        <v>929</v>
      </c>
      <c r="M181" s="117" t="s">
        <v>786</v>
      </c>
      <c r="N181" s="117" t="s">
        <v>833</v>
      </c>
    </row>
    <row r="182" spans="1:14" ht="51" hidden="1" x14ac:dyDescent="0.3">
      <c r="A182" s="197" t="s">
        <v>831</v>
      </c>
      <c r="B182" s="192">
        <v>25000000</v>
      </c>
      <c r="C182" s="192">
        <v>299444.44</v>
      </c>
      <c r="D182" s="192">
        <f t="shared" si="2"/>
        <v>25299444.440000001</v>
      </c>
      <c r="E182" s="182">
        <v>44453</v>
      </c>
      <c r="F182" s="182">
        <v>46639</v>
      </c>
      <c r="G182" s="117" t="s">
        <v>784</v>
      </c>
      <c r="H182" s="200">
        <v>4.5499999999999999E-2</v>
      </c>
      <c r="I182" s="187" t="s">
        <v>785</v>
      </c>
      <c r="J182" s="188" t="s">
        <v>674</v>
      </c>
      <c r="K182" s="181" t="s">
        <v>334</v>
      </c>
      <c r="L182" s="117" t="s">
        <v>929</v>
      </c>
      <c r="M182" s="117" t="s">
        <v>786</v>
      </c>
      <c r="N182" s="117" t="s">
        <v>833</v>
      </c>
    </row>
    <row r="183" spans="1:14" ht="114.75" hidden="1" x14ac:dyDescent="0.3">
      <c r="A183" s="181" t="s">
        <v>796</v>
      </c>
      <c r="B183" s="192">
        <v>15000000</v>
      </c>
      <c r="C183" s="192">
        <v>239250</v>
      </c>
      <c r="D183" s="192">
        <f t="shared" si="2"/>
        <v>15239250</v>
      </c>
      <c r="E183" s="182">
        <v>44403</v>
      </c>
      <c r="F183" s="182">
        <v>45499</v>
      </c>
      <c r="G183" s="117" t="s">
        <v>784</v>
      </c>
      <c r="H183" s="201">
        <v>5.6000000000000001E-2</v>
      </c>
      <c r="I183" s="202" t="s">
        <v>785</v>
      </c>
      <c r="J183" s="188" t="s">
        <v>908</v>
      </c>
      <c r="K183" s="181" t="s">
        <v>334</v>
      </c>
      <c r="L183" s="117" t="s">
        <v>929</v>
      </c>
      <c r="M183" s="117" t="s">
        <v>786</v>
      </c>
      <c r="N183" s="117" t="s">
        <v>794</v>
      </c>
    </row>
    <row r="184" spans="1:14" ht="51" hidden="1" x14ac:dyDescent="0.3">
      <c r="A184" s="181" t="s">
        <v>909</v>
      </c>
      <c r="B184" s="192">
        <v>12000000</v>
      </c>
      <c r="C184" s="192">
        <v>564666.66</v>
      </c>
      <c r="D184" s="192">
        <f t="shared" si="2"/>
        <v>12564666.66</v>
      </c>
      <c r="E184" s="182">
        <v>44132</v>
      </c>
      <c r="F184" s="182">
        <v>47107</v>
      </c>
      <c r="G184" s="117" t="s">
        <v>784</v>
      </c>
      <c r="H184" s="201">
        <v>5.5E-2</v>
      </c>
      <c r="I184" s="202" t="s">
        <v>785</v>
      </c>
      <c r="J184" s="188" t="s">
        <v>348</v>
      </c>
      <c r="K184" s="181" t="s">
        <v>334</v>
      </c>
      <c r="L184" s="117" t="s">
        <v>929</v>
      </c>
      <c r="M184" s="117" t="s">
        <v>786</v>
      </c>
      <c r="N184" s="117" t="s">
        <v>794</v>
      </c>
    </row>
    <row r="185" spans="1:14" ht="51" hidden="1" x14ac:dyDescent="0.3">
      <c r="A185" s="181" t="s">
        <v>828</v>
      </c>
      <c r="B185" s="192">
        <v>50000000</v>
      </c>
      <c r="C185" s="192">
        <v>519444.45</v>
      </c>
      <c r="D185" s="192">
        <f t="shared" si="2"/>
        <v>50519444.450000003</v>
      </c>
      <c r="E185" s="182">
        <v>44221</v>
      </c>
      <c r="F185" s="182">
        <v>46738</v>
      </c>
      <c r="G185" s="117" t="s">
        <v>784</v>
      </c>
      <c r="H185" s="201">
        <v>6.8000000000000005E-2</v>
      </c>
      <c r="I185" s="202" t="s">
        <v>785</v>
      </c>
      <c r="J185" s="188" t="s">
        <v>649</v>
      </c>
      <c r="K185" s="181" t="s">
        <v>349</v>
      </c>
      <c r="L185" s="117" t="s">
        <v>929</v>
      </c>
      <c r="M185" s="117" t="s">
        <v>786</v>
      </c>
      <c r="N185" s="117" t="s">
        <v>789</v>
      </c>
    </row>
    <row r="186" spans="1:14" ht="51" hidden="1" x14ac:dyDescent="0.3">
      <c r="A186" s="181" t="s">
        <v>910</v>
      </c>
      <c r="B186" s="192">
        <v>2659400</v>
      </c>
      <c r="C186" s="192">
        <v>153523.51</v>
      </c>
      <c r="D186" s="192">
        <f t="shared" si="2"/>
        <v>2812923.51</v>
      </c>
      <c r="E186" s="182">
        <v>44285</v>
      </c>
      <c r="F186" s="182">
        <v>50915</v>
      </c>
      <c r="G186" s="117" t="s">
        <v>784</v>
      </c>
      <c r="H186" s="201">
        <v>5.1999999999999998E-2</v>
      </c>
      <c r="I186" s="202" t="s">
        <v>785</v>
      </c>
      <c r="J186" s="188" t="s">
        <v>649</v>
      </c>
      <c r="K186" s="181" t="s">
        <v>349</v>
      </c>
      <c r="L186" s="117" t="s">
        <v>929</v>
      </c>
      <c r="M186" s="117" t="s">
        <v>786</v>
      </c>
      <c r="N186" s="117" t="s">
        <v>794</v>
      </c>
    </row>
    <row r="187" spans="1:14" ht="51" hidden="1" x14ac:dyDescent="0.3">
      <c r="A187" s="181" t="s">
        <v>911</v>
      </c>
      <c r="B187" s="192">
        <v>9000000</v>
      </c>
      <c r="C187" s="192">
        <v>460570.55</v>
      </c>
      <c r="D187" s="192">
        <f t="shared" si="2"/>
        <v>9460570.5500000007</v>
      </c>
      <c r="E187" s="182">
        <v>44285</v>
      </c>
      <c r="F187" s="182">
        <v>50915</v>
      </c>
      <c r="G187" s="117" t="s">
        <v>784</v>
      </c>
      <c r="H187" s="201">
        <v>5.1999999999999998E-2</v>
      </c>
      <c r="I187" s="202" t="s">
        <v>785</v>
      </c>
      <c r="J187" s="188" t="s">
        <v>649</v>
      </c>
      <c r="K187" s="181" t="s">
        <v>349</v>
      </c>
      <c r="L187" s="117" t="s">
        <v>929</v>
      </c>
      <c r="M187" s="117" t="s">
        <v>786</v>
      </c>
      <c r="N187" s="117" t="s">
        <v>808</v>
      </c>
    </row>
    <row r="188" spans="1:14" ht="51" hidden="1" x14ac:dyDescent="0.3">
      <c r="A188" s="181" t="s">
        <v>912</v>
      </c>
      <c r="B188" s="192">
        <v>4000000</v>
      </c>
      <c r="C188" s="192">
        <v>203377.78</v>
      </c>
      <c r="D188" s="192">
        <f t="shared" si="2"/>
        <v>4203377.78</v>
      </c>
      <c r="E188" s="182">
        <v>44011</v>
      </c>
      <c r="F188" s="182">
        <v>47108</v>
      </c>
      <c r="G188" s="117" t="s">
        <v>784</v>
      </c>
      <c r="H188" s="201">
        <v>5.1999999999999998E-2</v>
      </c>
      <c r="I188" s="202" t="s">
        <v>785</v>
      </c>
      <c r="J188" s="188" t="s">
        <v>354</v>
      </c>
      <c r="K188" s="181" t="s">
        <v>913</v>
      </c>
      <c r="L188" s="117" t="s">
        <v>929</v>
      </c>
      <c r="M188" s="117" t="s">
        <v>786</v>
      </c>
      <c r="N188" s="117" t="s">
        <v>794</v>
      </c>
    </row>
    <row r="189" spans="1:14" ht="38.25" hidden="1" x14ac:dyDescent="0.3">
      <c r="A189" s="181" t="s">
        <v>853</v>
      </c>
      <c r="B189" s="192"/>
      <c r="C189" s="192">
        <v>778555.55</v>
      </c>
      <c r="D189" s="192">
        <f t="shared" si="2"/>
        <v>778555.55</v>
      </c>
      <c r="E189" s="182">
        <v>44638</v>
      </c>
      <c r="F189" s="182">
        <v>47186</v>
      </c>
      <c r="G189" s="117" t="s">
        <v>784</v>
      </c>
      <c r="H189" s="201">
        <v>4.9000000000000002E-2</v>
      </c>
      <c r="I189" s="202" t="s">
        <v>785</v>
      </c>
      <c r="J189" s="188" t="s">
        <v>376</v>
      </c>
      <c r="K189" s="181" t="s">
        <v>913</v>
      </c>
      <c r="L189" s="117" t="s">
        <v>929</v>
      </c>
      <c r="M189" s="117" t="s">
        <v>786</v>
      </c>
      <c r="N189" s="117" t="s">
        <v>833</v>
      </c>
    </row>
    <row r="190" spans="1:14" ht="127.5" hidden="1" x14ac:dyDescent="0.3">
      <c r="A190" s="181" t="s">
        <v>914</v>
      </c>
      <c r="B190" s="192">
        <v>12500000</v>
      </c>
      <c r="C190" s="192">
        <v>148041.67000000001</v>
      </c>
      <c r="D190" s="192">
        <f t="shared" si="2"/>
        <v>12648041.67</v>
      </c>
      <c r="E190" s="182">
        <v>44720</v>
      </c>
      <c r="F190" s="182">
        <v>47276</v>
      </c>
      <c r="G190" s="117" t="s">
        <v>784</v>
      </c>
      <c r="H190" s="201">
        <v>5.0999999999999997E-2</v>
      </c>
      <c r="I190" s="187" t="s">
        <v>842</v>
      </c>
      <c r="J190" s="188" t="s">
        <v>915</v>
      </c>
      <c r="K190" s="181" t="s">
        <v>620</v>
      </c>
      <c r="L190" s="117" t="s">
        <v>929</v>
      </c>
      <c r="M190" s="117" t="s">
        <v>786</v>
      </c>
      <c r="N190" s="117" t="s">
        <v>787</v>
      </c>
    </row>
    <row r="191" spans="1:14" ht="51" hidden="1" x14ac:dyDescent="0.3">
      <c r="A191" s="181" t="s">
        <v>444</v>
      </c>
      <c r="B191" s="192">
        <v>100000000</v>
      </c>
      <c r="C191" s="192">
        <v>641666.67000000004</v>
      </c>
      <c r="D191" s="192">
        <f t="shared" si="2"/>
        <v>100641666.67</v>
      </c>
      <c r="E191" s="182">
        <v>44195</v>
      </c>
      <c r="F191" s="182">
        <v>46019</v>
      </c>
      <c r="G191" s="117" t="s">
        <v>784</v>
      </c>
      <c r="H191" s="201">
        <v>7.0000000000000007E-2</v>
      </c>
      <c r="I191" s="187" t="s">
        <v>785</v>
      </c>
      <c r="J191" s="188" t="s">
        <v>802</v>
      </c>
      <c r="K191" s="181" t="s">
        <v>382</v>
      </c>
      <c r="L191" s="117" t="s">
        <v>929</v>
      </c>
      <c r="M191" s="117" t="s">
        <v>786</v>
      </c>
      <c r="N191" s="117" t="s">
        <v>789</v>
      </c>
    </row>
    <row r="192" spans="1:14" ht="51" hidden="1" x14ac:dyDescent="0.3">
      <c r="A192" s="184" t="s">
        <v>792</v>
      </c>
      <c r="B192" s="192"/>
      <c r="C192" s="192">
        <v>429000</v>
      </c>
      <c r="D192" s="192">
        <f t="shared" si="2"/>
        <v>429000</v>
      </c>
      <c r="E192" s="182">
        <v>44727</v>
      </c>
      <c r="F192" s="182">
        <v>48374</v>
      </c>
      <c r="G192" s="117" t="s">
        <v>784</v>
      </c>
      <c r="H192" s="201">
        <v>5.3999999999999999E-2</v>
      </c>
      <c r="I192" s="187" t="s">
        <v>785</v>
      </c>
      <c r="J192" s="188" t="s">
        <v>354</v>
      </c>
      <c r="K192" s="181" t="s">
        <v>382</v>
      </c>
      <c r="L192" s="117" t="s">
        <v>929</v>
      </c>
      <c r="M192" s="117" t="s">
        <v>786</v>
      </c>
      <c r="N192" s="117" t="s">
        <v>787</v>
      </c>
    </row>
    <row r="193" spans="1:14" ht="51" hidden="1" x14ac:dyDescent="0.3">
      <c r="A193" s="181" t="s">
        <v>801</v>
      </c>
      <c r="B193" s="192">
        <v>10000000</v>
      </c>
      <c r="C193" s="192">
        <v>1886805.56</v>
      </c>
      <c r="D193" s="192">
        <f t="shared" si="2"/>
        <v>11886805.560000001</v>
      </c>
      <c r="E193" s="182">
        <v>44519</v>
      </c>
      <c r="F193" s="182">
        <v>46007</v>
      </c>
      <c r="G193" s="117" t="s">
        <v>784</v>
      </c>
      <c r="H193" s="201">
        <v>6.5000000000000002E-2</v>
      </c>
      <c r="I193" s="187" t="s">
        <v>785</v>
      </c>
      <c r="J193" s="188" t="s">
        <v>354</v>
      </c>
      <c r="K193" s="181" t="s">
        <v>355</v>
      </c>
      <c r="L193" s="117" t="s">
        <v>929</v>
      </c>
      <c r="M193" s="117" t="s">
        <v>786</v>
      </c>
      <c r="N193" s="117" t="s">
        <v>787</v>
      </c>
    </row>
    <row r="194" spans="1:14" ht="51" hidden="1" x14ac:dyDescent="0.3">
      <c r="A194" s="184" t="s">
        <v>917</v>
      </c>
      <c r="B194" s="192"/>
      <c r="C194" s="192">
        <v>149027.76999999999</v>
      </c>
      <c r="D194" s="192">
        <f t="shared" si="2"/>
        <v>149027.76999999999</v>
      </c>
      <c r="E194" s="182">
        <v>44895</v>
      </c>
      <c r="F194" s="182">
        <v>47085</v>
      </c>
      <c r="G194" s="117" t="s">
        <v>784</v>
      </c>
      <c r="H194" s="201">
        <v>5.8000000000000003E-2</v>
      </c>
      <c r="I194" s="202" t="s">
        <v>785</v>
      </c>
      <c r="J194" s="188" t="s">
        <v>354</v>
      </c>
      <c r="K194" s="181" t="s">
        <v>355</v>
      </c>
      <c r="L194" s="117" t="s">
        <v>929</v>
      </c>
      <c r="M194" s="117" t="s">
        <v>786</v>
      </c>
      <c r="N194" s="117" t="s">
        <v>787</v>
      </c>
    </row>
    <row r="195" spans="1:14" ht="51" hidden="1" x14ac:dyDescent="0.3">
      <c r="A195" s="184" t="s">
        <v>918</v>
      </c>
      <c r="B195" s="192"/>
      <c r="C195" s="192">
        <v>27222.22</v>
      </c>
      <c r="D195" s="192">
        <f t="shared" si="2"/>
        <v>27222.22</v>
      </c>
      <c r="E195" s="182">
        <v>44925</v>
      </c>
      <c r="F195" s="182">
        <v>47846</v>
      </c>
      <c r="G195" s="117" t="s">
        <v>784</v>
      </c>
      <c r="H195" s="201">
        <v>4.9000000000000002E-2</v>
      </c>
      <c r="I195" s="202" t="s">
        <v>785</v>
      </c>
      <c r="J195" s="188" t="s">
        <v>354</v>
      </c>
      <c r="K195" s="181" t="s">
        <v>355</v>
      </c>
      <c r="L195" s="117" t="s">
        <v>929</v>
      </c>
      <c r="M195" s="117" t="s">
        <v>786</v>
      </c>
      <c r="N195" s="117" t="s">
        <v>794</v>
      </c>
    </row>
    <row r="196" spans="1:14" hidden="1" x14ac:dyDescent="0.3">
      <c r="A196" s="184" t="s">
        <v>919</v>
      </c>
      <c r="B196" s="192">
        <v>250000000</v>
      </c>
      <c r="C196" s="192">
        <v>598888.89</v>
      </c>
      <c r="D196" s="192">
        <f t="shared" si="2"/>
        <v>250598888.88999999</v>
      </c>
      <c r="E196" s="182">
        <v>44561</v>
      </c>
      <c r="F196" s="182">
        <v>45636</v>
      </c>
      <c r="G196" s="117" t="s">
        <v>784</v>
      </c>
      <c r="H196" s="195">
        <v>4.9000000000000002E-2</v>
      </c>
      <c r="I196" s="202" t="s">
        <v>799</v>
      </c>
      <c r="J196" s="202" t="s">
        <v>920</v>
      </c>
      <c r="K196" s="181" t="s">
        <v>355</v>
      </c>
      <c r="L196" s="117" t="s">
        <v>929</v>
      </c>
      <c r="M196" s="117" t="s">
        <v>786</v>
      </c>
      <c r="N196" s="117" t="s">
        <v>808</v>
      </c>
    </row>
    <row r="197" spans="1:14" hidden="1" x14ac:dyDescent="0.3">
      <c r="A197" s="184" t="s">
        <v>921</v>
      </c>
      <c r="B197" s="192"/>
      <c r="C197" s="192">
        <v>134750</v>
      </c>
      <c r="D197" s="192">
        <f t="shared" si="2"/>
        <v>134750</v>
      </c>
      <c r="E197" s="182">
        <v>44602</v>
      </c>
      <c r="F197" s="182">
        <v>45636</v>
      </c>
      <c r="G197" s="117" t="s">
        <v>784</v>
      </c>
      <c r="H197" s="195">
        <v>4.9000000000000002E-2</v>
      </c>
      <c r="I197" s="202" t="s">
        <v>799</v>
      </c>
      <c r="J197" s="202" t="s">
        <v>920</v>
      </c>
      <c r="K197" s="181" t="s">
        <v>355</v>
      </c>
      <c r="L197" s="117" t="s">
        <v>929</v>
      </c>
      <c r="M197" s="117" t="s">
        <v>786</v>
      </c>
      <c r="N197" s="117" t="s">
        <v>808</v>
      </c>
    </row>
    <row r="198" spans="1:14" ht="51" hidden="1" x14ac:dyDescent="0.3">
      <c r="A198" s="184" t="s">
        <v>922</v>
      </c>
      <c r="B198" s="192"/>
      <c r="C198" s="192">
        <v>186694.44</v>
      </c>
      <c r="D198" s="192">
        <f t="shared" si="2"/>
        <v>186694.44</v>
      </c>
      <c r="E198" s="182">
        <v>44739</v>
      </c>
      <c r="F198" s="182">
        <v>47027</v>
      </c>
      <c r="G198" s="117" t="s">
        <v>784</v>
      </c>
      <c r="H198" s="195">
        <v>4.7E-2</v>
      </c>
      <c r="I198" s="202" t="s">
        <v>785</v>
      </c>
      <c r="J198" s="188" t="s">
        <v>354</v>
      </c>
      <c r="K198" s="181" t="s">
        <v>355</v>
      </c>
      <c r="L198" s="117" t="s">
        <v>929</v>
      </c>
      <c r="M198" s="117" t="s">
        <v>786</v>
      </c>
      <c r="N198" s="117" t="s">
        <v>808</v>
      </c>
    </row>
    <row r="199" spans="1:14" ht="51" hidden="1" x14ac:dyDescent="0.3">
      <c r="A199" s="184" t="s">
        <v>923</v>
      </c>
      <c r="B199" s="192"/>
      <c r="C199" s="192">
        <v>71805.56</v>
      </c>
      <c r="D199" s="192">
        <f t="shared" si="2"/>
        <v>71805.56</v>
      </c>
      <c r="E199" s="182">
        <v>44728</v>
      </c>
      <c r="F199" s="182">
        <v>46113</v>
      </c>
      <c r="G199" s="117" t="s">
        <v>784</v>
      </c>
      <c r="H199" s="195">
        <v>4.7E-2</v>
      </c>
      <c r="I199" s="202" t="s">
        <v>785</v>
      </c>
      <c r="J199" s="188" t="s">
        <v>354</v>
      </c>
      <c r="K199" s="181" t="s">
        <v>355</v>
      </c>
      <c r="L199" s="117" t="s">
        <v>929</v>
      </c>
      <c r="M199" s="117" t="s">
        <v>786</v>
      </c>
      <c r="N199" s="117" t="s">
        <v>808</v>
      </c>
    </row>
    <row r="200" spans="1:14" ht="51" hidden="1" x14ac:dyDescent="0.3">
      <c r="A200" s="184" t="s">
        <v>924</v>
      </c>
      <c r="B200" s="192"/>
      <c r="C200" s="192">
        <v>63978.32</v>
      </c>
      <c r="D200" s="192">
        <f t="shared" si="2"/>
        <v>63978.32</v>
      </c>
      <c r="E200" s="182">
        <v>44803</v>
      </c>
      <c r="F200" s="182">
        <v>47209</v>
      </c>
      <c r="G200" s="117" t="s">
        <v>784</v>
      </c>
      <c r="H200" s="195">
        <v>4.7E-2</v>
      </c>
      <c r="I200" s="202" t="s">
        <v>785</v>
      </c>
      <c r="J200" s="188" t="s">
        <v>354</v>
      </c>
      <c r="K200" s="181" t="s">
        <v>355</v>
      </c>
      <c r="L200" s="117" t="s">
        <v>929</v>
      </c>
      <c r="M200" s="117" t="s">
        <v>786</v>
      </c>
      <c r="N200" s="117" t="s">
        <v>808</v>
      </c>
    </row>
    <row r="201" spans="1:14" ht="38.25" hidden="1" x14ac:dyDescent="0.3">
      <c r="A201" s="184" t="s">
        <v>925</v>
      </c>
      <c r="B201" s="192"/>
      <c r="C201" s="192">
        <v>1054166.67</v>
      </c>
      <c r="D201" s="192">
        <f t="shared" si="2"/>
        <v>1054166.67</v>
      </c>
      <c r="E201" s="182">
        <v>44762</v>
      </c>
      <c r="F201" s="182">
        <v>47683</v>
      </c>
      <c r="G201" s="117" t="s">
        <v>784</v>
      </c>
      <c r="H201" s="195">
        <v>0.05</v>
      </c>
      <c r="I201" s="202" t="s">
        <v>785</v>
      </c>
      <c r="J201" s="188" t="s">
        <v>376</v>
      </c>
      <c r="K201" s="181" t="s">
        <v>355</v>
      </c>
      <c r="L201" s="117" t="s">
        <v>929</v>
      </c>
      <c r="M201" s="117" t="s">
        <v>786</v>
      </c>
      <c r="N201" s="117" t="s">
        <v>833</v>
      </c>
    </row>
    <row r="202" spans="1:14" hidden="1" x14ac:dyDescent="0.3">
      <c r="A202" s="184" t="s">
        <v>926</v>
      </c>
      <c r="B202" s="192">
        <v>350000000</v>
      </c>
      <c r="C202" s="192">
        <v>1112222.22</v>
      </c>
      <c r="D202" s="192">
        <f t="shared" si="2"/>
        <v>351112222.22000003</v>
      </c>
      <c r="E202" s="182">
        <v>44565</v>
      </c>
      <c r="F202" s="182">
        <v>45651</v>
      </c>
      <c r="G202" s="117" t="s">
        <v>784</v>
      </c>
      <c r="H202" s="195">
        <v>5.1999999999999998E-2</v>
      </c>
      <c r="I202" s="202" t="s">
        <v>799</v>
      </c>
      <c r="J202" s="202" t="s">
        <v>927</v>
      </c>
      <c r="K202" s="181" t="s">
        <v>355</v>
      </c>
      <c r="L202" s="117" t="s">
        <v>929</v>
      </c>
      <c r="M202" s="117" t="s">
        <v>786</v>
      </c>
      <c r="N202" s="117" t="s">
        <v>787</v>
      </c>
    </row>
    <row r="203" spans="1:14" hidden="1" x14ac:dyDescent="0.3">
      <c r="A203" s="184" t="s">
        <v>614</v>
      </c>
      <c r="B203" s="192"/>
      <c r="C203" s="192">
        <v>22500</v>
      </c>
      <c r="D203" s="192">
        <f t="shared" si="2"/>
        <v>22500</v>
      </c>
      <c r="E203" s="182">
        <v>44371</v>
      </c>
      <c r="F203" s="182">
        <v>46193</v>
      </c>
      <c r="G203" s="117" t="s">
        <v>784</v>
      </c>
      <c r="H203" s="195">
        <v>4.4999999999999998E-2</v>
      </c>
      <c r="I203" s="202" t="s">
        <v>785</v>
      </c>
      <c r="J203" s="202"/>
      <c r="K203" s="181" t="s">
        <v>344</v>
      </c>
      <c r="L203" s="117" t="s">
        <v>929</v>
      </c>
      <c r="M203" s="117" t="s">
        <v>786</v>
      </c>
      <c r="N203" s="117" t="s">
        <v>789</v>
      </c>
    </row>
    <row r="204" spans="1:14" hidden="1" x14ac:dyDescent="0.3">
      <c r="A204" s="184" t="s">
        <v>614</v>
      </c>
      <c r="B204" s="192"/>
      <c r="C204" s="192">
        <v>26666.66</v>
      </c>
      <c r="D204" s="192">
        <f t="shared" si="2"/>
        <v>26666.66</v>
      </c>
      <c r="E204" s="182">
        <v>44585</v>
      </c>
      <c r="F204" s="182">
        <v>45309</v>
      </c>
      <c r="G204" s="117" t="s">
        <v>784</v>
      </c>
      <c r="H204" s="195">
        <v>4.8000000000000001E-2</v>
      </c>
      <c r="I204" s="202" t="s">
        <v>835</v>
      </c>
      <c r="J204" s="202"/>
      <c r="K204" s="181" t="s">
        <v>344</v>
      </c>
      <c r="L204" s="117" t="s">
        <v>929</v>
      </c>
      <c r="M204" s="117" t="s">
        <v>786</v>
      </c>
      <c r="N204" s="117" t="s">
        <v>789</v>
      </c>
    </row>
    <row r="205" spans="1:14" hidden="1" x14ac:dyDescent="0.3">
      <c r="A205" s="184" t="s">
        <v>614</v>
      </c>
      <c r="B205" s="192">
        <v>50000000</v>
      </c>
      <c r="C205" s="192">
        <v>66666.67</v>
      </c>
      <c r="D205" s="192">
        <f t="shared" si="2"/>
        <v>50066666.670000002</v>
      </c>
      <c r="E205" s="182">
        <v>44337</v>
      </c>
      <c r="F205" s="182">
        <v>45066</v>
      </c>
      <c r="G205" s="117" t="s">
        <v>784</v>
      </c>
      <c r="H205" s="195">
        <v>4.8000000000000001E-2</v>
      </c>
      <c r="I205" s="202" t="s">
        <v>785</v>
      </c>
      <c r="J205" s="202"/>
      <c r="K205" s="181" t="s">
        <v>344</v>
      </c>
      <c r="L205" s="117" t="s">
        <v>929</v>
      </c>
      <c r="M205" s="117" t="s">
        <v>786</v>
      </c>
      <c r="N205" s="117" t="s">
        <v>789</v>
      </c>
    </row>
    <row r="206" spans="1:14" hidden="1" x14ac:dyDescent="0.3">
      <c r="C206" s="192">
        <v>84333.33</v>
      </c>
      <c r="D206" s="192">
        <f t="shared" si="2"/>
        <v>84333.33</v>
      </c>
      <c r="E206" s="182"/>
      <c r="F206" s="182"/>
      <c r="G206" s="117" t="s">
        <v>784</v>
      </c>
      <c r="H206" s="202"/>
      <c r="I206" s="202" t="s">
        <v>785</v>
      </c>
      <c r="J206" s="202"/>
      <c r="K206" s="181" t="s">
        <v>350</v>
      </c>
      <c r="L206" s="117" t="s">
        <v>929</v>
      </c>
      <c r="M206" s="117" t="s">
        <v>786</v>
      </c>
      <c r="N206" s="117" t="s">
        <v>789</v>
      </c>
    </row>
    <row r="207" spans="1:14" hidden="1" x14ac:dyDescent="0.3">
      <c r="A207" s="160" t="s">
        <v>933</v>
      </c>
      <c r="D207" s="118">
        <v>17220933.640000001</v>
      </c>
      <c r="E207" s="150">
        <v>43493</v>
      </c>
      <c r="F207" s="150">
        <v>45319</v>
      </c>
      <c r="G207" s="117" t="s">
        <v>784</v>
      </c>
      <c r="K207" s="160" t="s">
        <v>350</v>
      </c>
      <c r="L207" s="117" t="s">
        <v>79</v>
      </c>
      <c r="M207" s="117" t="s">
        <v>934</v>
      </c>
    </row>
    <row r="208" spans="1:14" hidden="1" x14ac:dyDescent="0.3">
      <c r="A208" s="160" t="s">
        <v>935</v>
      </c>
      <c r="D208" s="118">
        <v>13573659.73</v>
      </c>
      <c r="E208" s="150">
        <v>43844</v>
      </c>
      <c r="F208" s="150">
        <v>45671</v>
      </c>
      <c r="G208" s="117" t="s">
        <v>784</v>
      </c>
      <c r="K208" s="160" t="s">
        <v>350</v>
      </c>
      <c r="L208" s="117" t="s">
        <v>79</v>
      </c>
      <c r="M208" s="117" t="s">
        <v>934</v>
      </c>
    </row>
    <row r="209" spans="1:13" hidden="1" x14ac:dyDescent="0.3">
      <c r="A209" s="160" t="s">
        <v>935</v>
      </c>
      <c r="D209" s="118">
        <v>33654628.399999999</v>
      </c>
      <c r="E209" s="150">
        <v>43490</v>
      </c>
      <c r="F209" s="150">
        <v>45316</v>
      </c>
      <c r="G209" s="117" t="s">
        <v>784</v>
      </c>
      <c r="K209" s="160" t="s">
        <v>795</v>
      </c>
      <c r="L209" s="117" t="s">
        <v>79</v>
      </c>
      <c r="M209" s="117" t="s">
        <v>934</v>
      </c>
    </row>
    <row r="210" spans="1:13" hidden="1" x14ac:dyDescent="0.3">
      <c r="A210" s="160" t="s">
        <v>936</v>
      </c>
      <c r="D210" s="118">
        <v>40995986.219999999</v>
      </c>
      <c r="E210" s="148">
        <v>43843</v>
      </c>
      <c r="F210" s="148">
        <v>45670</v>
      </c>
      <c r="G210" s="117" t="s">
        <v>784</v>
      </c>
      <c r="K210" s="160" t="s">
        <v>795</v>
      </c>
      <c r="L210" s="117" t="s">
        <v>79</v>
      </c>
      <c r="M210" s="117" t="s">
        <v>934</v>
      </c>
    </row>
    <row r="211" spans="1:13" hidden="1" x14ac:dyDescent="0.3">
      <c r="A211" s="160" t="s">
        <v>936</v>
      </c>
      <c r="D211" s="118">
        <v>11106985.050000001</v>
      </c>
      <c r="E211" s="148">
        <v>43495</v>
      </c>
      <c r="F211" s="148">
        <v>45321</v>
      </c>
      <c r="G211" s="117" t="s">
        <v>784</v>
      </c>
      <c r="K211" s="160" t="s">
        <v>350</v>
      </c>
      <c r="L211" s="117" t="s">
        <v>79</v>
      </c>
      <c r="M211" s="117" t="s">
        <v>934</v>
      </c>
    </row>
    <row r="212" spans="1:13" hidden="1" x14ac:dyDescent="0.3">
      <c r="A212" s="160" t="s">
        <v>937</v>
      </c>
      <c r="D212" s="118">
        <v>27290405.59</v>
      </c>
      <c r="E212" s="150">
        <v>43760</v>
      </c>
      <c r="F212" s="150">
        <v>45587</v>
      </c>
      <c r="G212" s="117" t="s">
        <v>784</v>
      </c>
      <c r="K212" s="160" t="s">
        <v>350</v>
      </c>
      <c r="L212" s="117" t="s">
        <v>79</v>
      </c>
      <c r="M212" s="117" t="s">
        <v>934</v>
      </c>
    </row>
    <row r="213" spans="1:13" hidden="1" x14ac:dyDescent="0.3">
      <c r="A213" s="160" t="s">
        <v>938</v>
      </c>
      <c r="D213" s="118">
        <v>19986120.82</v>
      </c>
      <c r="E213" s="150">
        <v>43805</v>
      </c>
      <c r="F213" s="150">
        <v>45632</v>
      </c>
      <c r="G213" s="117" t="s">
        <v>784</v>
      </c>
      <c r="K213" s="160" t="s">
        <v>350</v>
      </c>
      <c r="L213" s="117" t="s">
        <v>79</v>
      </c>
      <c r="M213" s="117" t="s">
        <v>934</v>
      </c>
    </row>
    <row r="214" spans="1:13" hidden="1" x14ac:dyDescent="0.3">
      <c r="A214" s="160" t="s">
        <v>939</v>
      </c>
      <c r="D214" s="118">
        <v>41627372.810000002</v>
      </c>
      <c r="E214" s="150">
        <v>43851</v>
      </c>
      <c r="F214" s="150">
        <v>44947</v>
      </c>
      <c r="G214" s="117" t="s">
        <v>784</v>
      </c>
      <c r="K214" s="160" t="s">
        <v>350</v>
      </c>
      <c r="L214" s="117" t="s">
        <v>79</v>
      </c>
      <c r="M214" s="117" t="s">
        <v>934</v>
      </c>
    </row>
    <row r="215" spans="1:13" hidden="1" x14ac:dyDescent="0.3">
      <c r="A215" s="160" t="s">
        <v>940</v>
      </c>
      <c r="D215" s="118">
        <v>34195209.579999998</v>
      </c>
      <c r="E215" s="150">
        <v>44524</v>
      </c>
      <c r="F215" s="150">
        <v>45620</v>
      </c>
      <c r="G215" s="117" t="s">
        <v>784</v>
      </c>
      <c r="K215" s="160" t="s">
        <v>350</v>
      </c>
      <c r="L215" s="117" t="s">
        <v>79</v>
      </c>
      <c r="M215" s="117" t="s">
        <v>934</v>
      </c>
    </row>
    <row r="216" spans="1:13" hidden="1" x14ac:dyDescent="0.3">
      <c r="A216" s="160" t="s">
        <v>941</v>
      </c>
      <c r="D216" s="118">
        <v>32629511.600000001</v>
      </c>
      <c r="E216" s="150">
        <v>44210</v>
      </c>
      <c r="F216" s="150">
        <v>45305</v>
      </c>
      <c r="G216" s="117" t="s">
        <v>784</v>
      </c>
      <c r="K216" s="160" t="s">
        <v>353</v>
      </c>
      <c r="L216" s="117" t="s">
        <v>79</v>
      </c>
      <c r="M216" s="117" t="s">
        <v>934</v>
      </c>
    </row>
    <row r="217" spans="1:13" hidden="1" x14ac:dyDescent="0.3">
      <c r="A217" s="160" t="s">
        <v>942</v>
      </c>
      <c r="D217" s="118">
        <v>80461228.909999996</v>
      </c>
      <c r="E217" s="150">
        <v>44222</v>
      </c>
      <c r="F217" s="150">
        <v>46048</v>
      </c>
      <c r="G217" s="117" t="s">
        <v>784</v>
      </c>
      <c r="K217" s="160" t="s">
        <v>353</v>
      </c>
      <c r="L217" s="117" t="s">
        <v>79</v>
      </c>
      <c r="M217" s="117" t="s">
        <v>934</v>
      </c>
    </row>
    <row r="218" spans="1:13" hidden="1" x14ac:dyDescent="0.3">
      <c r="A218" s="160" t="s">
        <v>943</v>
      </c>
      <c r="D218" s="118">
        <v>71507333.069999993</v>
      </c>
      <c r="E218" s="150">
        <v>44223</v>
      </c>
      <c r="F218" s="150">
        <v>46049</v>
      </c>
      <c r="G218" s="117" t="s">
        <v>784</v>
      </c>
      <c r="K218" s="160" t="s">
        <v>353</v>
      </c>
      <c r="L218" s="117" t="s">
        <v>79</v>
      </c>
      <c r="M218" s="117" t="s">
        <v>934</v>
      </c>
    </row>
    <row r="219" spans="1:13" hidden="1" x14ac:dyDescent="0.3">
      <c r="A219" s="160" t="s">
        <v>943</v>
      </c>
      <c r="D219" s="118">
        <v>84505847.810000002</v>
      </c>
      <c r="E219" s="150">
        <v>44512</v>
      </c>
      <c r="F219" s="150">
        <v>46338</v>
      </c>
      <c r="G219" s="117" t="s">
        <v>784</v>
      </c>
      <c r="K219" s="160" t="s">
        <v>372</v>
      </c>
      <c r="L219" s="117" t="s">
        <v>79</v>
      </c>
      <c r="M219" s="117" t="s">
        <v>934</v>
      </c>
    </row>
    <row r="220" spans="1:13" hidden="1" x14ac:dyDescent="0.3">
      <c r="A220" s="160" t="s">
        <v>944</v>
      </c>
      <c r="D220" s="118">
        <v>29172820.949999999</v>
      </c>
      <c r="E220" s="148">
        <v>44798</v>
      </c>
      <c r="F220" s="148">
        <v>45893</v>
      </c>
      <c r="G220" s="117" t="s">
        <v>784</v>
      </c>
      <c r="K220" s="160" t="s">
        <v>372</v>
      </c>
      <c r="L220" s="117" t="s">
        <v>79</v>
      </c>
      <c r="M220" s="117" t="s">
        <v>934</v>
      </c>
    </row>
    <row r="221" spans="1:13" hidden="1" x14ac:dyDescent="0.3">
      <c r="A221" s="160" t="s">
        <v>945</v>
      </c>
      <c r="D221" s="118">
        <v>17371798.420000002</v>
      </c>
      <c r="E221" s="148">
        <v>44526</v>
      </c>
      <c r="F221" s="148">
        <v>45622</v>
      </c>
      <c r="G221" s="117" t="s">
        <v>784</v>
      </c>
      <c r="K221" s="160" t="s">
        <v>353</v>
      </c>
      <c r="L221" s="117" t="s">
        <v>79</v>
      </c>
      <c r="M221" s="117" t="s">
        <v>934</v>
      </c>
    </row>
    <row r="222" spans="1:13" hidden="1" x14ac:dyDescent="0.3">
      <c r="A222" s="160" t="s">
        <v>946</v>
      </c>
      <c r="D222" s="118">
        <v>21032071.870000001</v>
      </c>
      <c r="E222" s="150">
        <v>44195</v>
      </c>
      <c r="F222" s="150">
        <v>45290</v>
      </c>
      <c r="G222" s="117" t="s">
        <v>784</v>
      </c>
      <c r="K222" s="160" t="s">
        <v>353</v>
      </c>
      <c r="L222" s="117" t="s">
        <v>79</v>
      </c>
      <c r="M222" s="117" t="s">
        <v>934</v>
      </c>
    </row>
    <row r="223" spans="1:13" hidden="1" x14ac:dyDescent="0.3">
      <c r="A223" s="160" t="s">
        <v>946</v>
      </c>
      <c r="D223" s="118">
        <v>26253953.370000001</v>
      </c>
      <c r="E223" s="150">
        <v>44195</v>
      </c>
      <c r="F223" s="150">
        <v>45290</v>
      </c>
      <c r="G223" s="117" t="s">
        <v>784</v>
      </c>
      <c r="K223" s="160" t="s">
        <v>353</v>
      </c>
      <c r="L223" s="117" t="s">
        <v>79</v>
      </c>
      <c r="M223" s="117" t="s">
        <v>934</v>
      </c>
    </row>
    <row r="224" spans="1:13" hidden="1" x14ac:dyDescent="0.3">
      <c r="A224" s="160" t="s">
        <v>947</v>
      </c>
      <c r="D224" s="118">
        <v>81419197.049999997</v>
      </c>
      <c r="E224" s="148">
        <v>44582</v>
      </c>
      <c r="F224" s="148">
        <v>45678</v>
      </c>
      <c r="G224" s="117" t="s">
        <v>784</v>
      </c>
      <c r="K224" s="160" t="s">
        <v>353</v>
      </c>
      <c r="L224" s="117" t="s">
        <v>79</v>
      </c>
      <c r="M224" s="117" t="s">
        <v>934</v>
      </c>
    </row>
    <row r="225" spans="1:13" hidden="1" x14ac:dyDescent="0.3">
      <c r="A225" s="160" t="s">
        <v>948</v>
      </c>
      <c r="D225" s="118">
        <v>30375896.390000001</v>
      </c>
      <c r="E225" s="150">
        <v>43843</v>
      </c>
      <c r="F225" s="150">
        <v>45670</v>
      </c>
      <c r="G225" s="117" t="s">
        <v>784</v>
      </c>
      <c r="K225" s="160" t="s">
        <v>795</v>
      </c>
      <c r="L225" s="117" t="s">
        <v>79</v>
      </c>
      <c r="M225" s="117" t="s">
        <v>934</v>
      </c>
    </row>
    <row r="226" spans="1:13" hidden="1" x14ac:dyDescent="0.3">
      <c r="A226" s="160" t="s">
        <v>949</v>
      </c>
      <c r="D226" s="118">
        <v>33127273.789999999</v>
      </c>
      <c r="E226" s="150">
        <v>44545</v>
      </c>
      <c r="F226" s="150">
        <v>45641</v>
      </c>
      <c r="G226" s="117" t="s">
        <v>784</v>
      </c>
      <c r="K226" s="160" t="s">
        <v>795</v>
      </c>
      <c r="L226" s="117" t="s">
        <v>79</v>
      </c>
      <c r="M226" s="117" t="s">
        <v>934</v>
      </c>
    </row>
    <row r="227" spans="1:13" hidden="1" x14ac:dyDescent="0.3">
      <c r="A227" s="160" t="s">
        <v>950</v>
      </c>
      <c r="D227" s="118">
        <v>21776888.710000001</v>
      </c>
      <c r="E227" s="150">
        <v>43849</v>
      </c>
      <c r="F227" s="150">
        <v>45310</v>
      </c>
      <c r="G227" s="117" t="s">
        <v>784</v>
      </c>
      <c r="K227" s="160" t="s">
        <v>795</v>
      </c>
      <c r="L227" s="117" t="s">
        <v>79</v>
      </c>
      <c r="M227" s="117" t="s">
        <v>934</v>
      </c>
    </row>
    <row r="228" spans="1:13" hidden="1" x14ac:dyDescent="0.3">
      <c r="A228" s="160" t="s">
        <v>951</v>
      </c>
      <c r="D228" s="118">
        <v>66313832.770000003</v>
      </c>
      <c r="E228" s="150">
        <v>44194</v>
      </c>
      <c r="F228" s="150">
        <v>45289</v>
      </c>
      <c r="G228" s="117" t="s">
        <v>784</v>
      </c>
      <c r="K228" s="160" t="s">
        <v>350</v>
      </c>
      <c r="L228" s="117" t="s">
        <v>79</v>
      </c>
      <c r="M228" s="117" t="s">
        <v>934</v>
      </c>
    </row>
    <row r="229" spans="1:13" hidden="1" x14ac:dyDescent="0.3">
      <c r="A229" s="160" t="s">
        <v>952</v>
      </c>
      <c r="D229" s="118">
        <v>82411415.290000007</v>
      </c>
      <c r="E229" s="148">
        <v>44879</v>
      </c>
      <c r="F229" s="148">
        <v>45975</v>
      </c>
      <c r="G229" s="117" t="s">
        <v>784</v>
      </c>
      <c r="K229" s="160" t="s">
        <v>350</v>
      </c>
      <c r="L229" s="117" t="s">
        <v>79</v>
      </c>
      <c r="M229" s="117" t="s">
        <v>934</v>
      </c>
    </row>
    <row r="230" spans="1:13" hidden="1" x14ac:dyDescent="0.3">
      <c r="A230" s="160" t="s">
        <v>953</v>
      </c>
      <c r="D230" s="118">
        <v>60223924.009999998</v>
      </c>
      <c r="E230" s="148">
        <v>44890</v>
      </c>
      <c r="F230" s="148">
        <v>45986</v>
      </c>
      <c r="G230" s="117" t="s">
        <v>784</v>
      </c>
      <c r="K230" s="160" t="s">
        <v>350</v>
      </c>
      <c r="L230" s="117" t="s">
        <v>79</v>
      </c>
      <c r="M230" s="117" t="s">
        <v>934</v>
      </c>
    </row>
    <row r="231" spans="1:13" hidden="1" x14ac:dyDescent="0.3">
      <c r="A231" s="160" t="s">
        <v>954</v>
      </c>
      <c r="D231" s="118">
        <v>19324799.399999999</v>
      </c>
      <c r="E231" s="148">
        <v>44923</v>
      </c>
      <c r="F231" s="148">
        <v>46390</v>
      </c>
      <c r="G231" s="117" t="s">
        <v>784</v>
      </c>
      <c r="K231" s="160" t="s">
        <v>334</v>
      </c>
      <c r="L231" s="117" t="s">
        <v>79</v>
      </c>
      <c r="M231" s="117" t="s">
        <v>934</v>
      </c>
    </row>
    <row r="232" spans="1:13" hidden="1" x14ac:dyDescent="0.3">
      <c r="A232" s="160" t="s">
        <v>955</v>
      </c>
      <c r="D232" s="118">
        <v>13819474.970000001</v>
      </c>
      <c r="E232" s="148">
        <v>44231</v>
      </c>
      <c r="F232" s="148">
        <v>45326</v>
      </c>
      <c r="G232" s="117" t="s">
        <v>784</v>
      </c>
      <c r="K232" s="160" t="s">
        <v>334</v>
      </c>
      <c r="L232" s="117" t="s">
        <v>79</v>
      </c>
      <c r="M232" s="117" t="s">
        <v>934</v>
      </c>
    </row>
    <row r="233" spans="1:13" hidden="1" x14ac:dyDescent="0.3">
      <c r="A233" s="160" t="s">
        <v>956</v>
      </c>
      <c r="D233" s="118">
        <v>41912086.289999999</v>
      </c>
      <c r="E233" s="148">
        <v>44217</v>
      </c>
      <c r="F233" s="148">
        <v>45312</v>
      </c>
      <c r="G233" s="117" t="s">
        <v>784</v>
      </c>
      <c r="K233" s="160" t="s">
        <v>334</v>
      </c>
      <c r="L233" s="117" t="s">
        <v>79</v>
      </c>
      <c r="M233" s="117" t="s">
        <v>934</v>
      </c>
    </row>
    <row r="234" spans="1:13" hidden="1" x14ac:dyDescent="0.3">
      <c r="A234" s="160" t="s">
        <v>945</v>
      </c>
      <c r="D234" s="118">
        <v>34503711.729999997</v>
      </c>
      <c r="E234" s="148">
        <v>44580</v>
      </c>
      <c r="F234" s="148">
        <v>45676</v>
      </c>
      <c r="G234" s="117" t="s">
        <v>784</v>
      </c>
      <c r="K234" s="160" t="s">
        <v>334</v>
      </c>
      <c r="L234" s="117" t="s">
        <v>79</v>
      </c>
      <c r="M234" s="117" t="s">
        <v>934</v>
      </c>
    </row>
    <row r="235" spans="1:13" hidden="1" x14ac:dyDescent="0.3">
      <c r="A235" s="160" t="s">
        <v>936</v>
      </c>
      <c r="D235" s="118">
        <v>111213895.16</v>
      </c>
      <c r="E235" s="148">
        <v>44834</v>
      </c>
      <c r="F235" s="148">
        <v>46660</v>
      </c>
      <c r="G235" s="117" t="s">
        <v>784</v>
      </c>
      <c r="K235" s="160" t="s">
        <v>349</v>
      </c>
      <c r="L235" s="117" t="s">
        <v>79</v>
      </c>
      <c r="M235" s="117" t="s">
        <v>934</v>
      </c>
    </row>
    <row r="236" spans="1:13" hidden="1" x14ac:dyDescent="0.3">
      <c r="A236" s="160" t="s">
        <v>957</v>
      </c>
      <c r="D236" s="118">
        <v>130281162.3</v>
      </c>
      <c r="E236" s="148">
        <v>44867</v>
      </c>
      <c r="F236" s="148">
        <v>45971</v>
      </c>
      <c r="G236" s="117" t="s">
        <v>784</v>
      </c>
      <c r="K236" s="160" t="s">
        <v>349</v>
      </c>
      <c r="L236" s="117" t="s">
        <v>79</v>
      </c>
      <c r="M236" s="117" t="s">
        <v>934</v>
      </c>
    </row>
    <row r="237" spans="1:13" hidden="1" x14ac:dyDescent="0.3">
      <c r="A237" s="160" t="s">
        <v>954</v>
      </c>
      <c r="D237" s="118">
        <v>10000000</v>
      </c>
      <c r="E237" s="148">
        <v>44923</v>
      </c>
      <c r="F237" s="148">
        <v>46390</v>
      </c>
      <c r="G237" s="117" t="s">
        <v>784</v>
      </c>
      <c r="K237" s="160" t="s">
        <v>349</v>
      </c>
      <c r="L237" s="117" t="s">
        <v>79</v>
      </c>
      <c r="M237" s="117" t="s">
        <v>934</v>
      </c>
    </row>
    <row r="238" spans="1:13" hidden="1" x14ac:dyDescent="0.3">
      <c r="A238" s="160" t="s">
        <v>958</v>
      </c>
      <c r="D238" s="118">
        <v>136232769.61000001</v>
      </c>
      <c r="E238" s="148">
        <v>44897</v>
      </c>
      <c r="F238" s="148">
        <v>45993</v>
      </c>
      <c r="G238" s="117" t="s">
        <v>784</v>
      </c>
      <c r="K238" s="160" t="s">
        <v>349</v>
      </c>
      <c r="L238" s="117" t="s">
        <v>79</v>
      </c>
      <c r="M238" s="117" t="s">
        <v>934</v>
      </c>
    </row>
    <row r="239" spans="1:13" hidden="1" x14ac:dyDescent="0.3">
      <c r="A239" s="160" t="s">
        <v>938</v>
      </c>
      <c r="D239" s="118">
        <v>66995765.409999996</v>
      </c>
      <c r="E239" s="148">
        <v>44852</v>
      </c>
      <c r="F239" s="148">
        <v>45948</v>
      </c>
      <c r="G239" s="117" t="s">
        <v>784</v>
      </c>
      <c r="K239" s="160" t="s">
        <v>349</v>
      </c>
      <c r="L239" s="117" t="s">
        <v>79</v>
      </c>
      <c r="M239" s="117" t="s">
        <v>934</v>
      </c>
    </row>
    <row r="240" spans="1:13" hidden="1" x14ac:dyDescent="0.3">
      <c r="A240" s="160" t="s">
        <v>959</v>
      </c>
      <c r="D240" s="118">
        <v>150000000</v>
      </c>
      <c r="E240" s="148">
        <v>44925</v>
      </c>
      <c r="F240" s="148">
        <v>45290</v>
      </c>
      <c r="G240" s="117" t="s">
        <v>784</v>
      </c>
      <c r="K240" s="160" t="s">
        <v>826</v>
      </c>
      <c r="L240" s="117" t="s">
        <v>79</v>
      </c>
      <c r="M240" s="117" t="s">
        <v>934</v>
      </c>
    </row>
    <row r="241" spans="1:13" hidden="1" x14ac:dyDescent="0.3">
      <c r="A241" s="160" t="s">
        <v>951</v>
      </c>
      <c r="B241" s="204">
        <v>59169640.719999999</v>
      </c>
      <c r="C241" s="204">
        <v>901185.83</v>
      </c>
      <c r="D241" s="118">
        <f>B241+C241</f>
        <v>60070826.549999997</v>
      </c>
      <c r="L241" s="117" t="s">
        <v>960</v>
      </c>
      <c r="M241" s="117" t="s">
        <v>961</v>
      </c>
    </row>
    <row r="242" spans="1:13" hidden="1" x14ac:dyDescent="0.3">
      <c r="A242" s="160" t="s">
        <v>933</v>
      </c>
      <c r="B242" s="204">
        <v>33334367.359999999</v>
      </c>
      <c r="C242" s="204">
        <v>1631786.19</v>
      </c>
      <c r="D242" s="118">
        <f t="shared" ref="D242:D277" si="3">B242+C242</f>
        <v>34966153.549999997</v>
      </c>
      <c r="L242" s="117" t="s">
        <v>960</v>
      </c>
      <c r="M242" s="117" t="s">
        <v>961</v>
      </c>
    </row>
    <row r="243" spans="1:13" hidden="1" x14ac:dyDescent="0.3">
      <c r="A243" s="160" t="s">
        <v>935</v>
      </c>
      <c r="B243" s="204">
        <v>13695323.119999999</v>
      </c>
      <c r="C243" s="204">
        <v>430832.82</v>
      </c>
      <c r="D243" s="118">
        <f t="shared" si="3"/>
        <v>14126155.939999999</v>
      </c>
      <c r="L243" s="117" t="s">
        <v>960</v>
      </c>
      <c r="M243" s="117" t="s">
        <v>961</v>
      </c>
    </row>
    <row r="244" spans="1:13" hidden="1" x14ac:dyDescent="0.3">
      <c r="A244" s="160" t="s">
        <v>935</v>
      </c>
      <c r="B244" s="204">
        <v>20632109.09</v>
      </c>
      <c r="C244" s="204">
        <v>1112665.5</v>
      </c>
      <c r="D244" s="118">
        <f t="shared" si="3"/>
        <v>21744774.59</v>
      </c>
      <c r="L244" s="117" t="s">
        <v>960</v>
      </c>
      <c r="M244" s="117" t="s">
        <v>961</v>
      </c>
    </row>
    <row r="245" spans="1:13" hidden="1" x14ac:dyDescent="0.3">
      <c r="A245" s="160" t="s">
        <v>936</v>
      </c>
      <c r="B245" s="204">
        <v>31282422.899999999</v>
      </c>
      <c r="C245" s="204">
        <v>1128711.21</v>
      </c>
      <c r="D245" s="118">
        <f t="shared" si="3"/>
        <v>32411134.109999999</v>
      </c>
      <c r="L245" s="117" t="s">
        <v>960</v>
      </c>
      <c r="M245" s="117" t="s">
        <v>961</v>
      </c>
    </row>
    <row r="246" spans="1:13" hidden="1" x14ac:dyDescent="0.3">
      <c r="A246" s="160" t="s">
        <v>936</v>
      </c>
      <c r="B246" s="204">
        <v>45179798.609999999</v>
      </c>
      <c r="C246" s="204">
        <v>680907.86</v>
      </c>
      <c r="D246" s="118">
        <f t="shared" si="3"/>
        <v>45860706.469999999</v>
      </c>
      <c r="L246" s="117" t="s">
        <v>960</v>
      </c>
      <c r="M246" s="117" t="s">
        <v>961</v>
      </c>
    </row>
    <row r="247" spans="1:13" hidden="1" x14ac:dyDescent="0.3">
      <c r="A247" s="160" t="s">
        <v>937</v>
      </c>
      <c r="B247" s="204">
        <v>25690341.960000001</v>
      </c>
      <c r="C247" s="204">
        <v>719434.89</v>
      </c>
      <c r="D247" s="118">
        <f t="shared" si="3"/>
        <v>26409776.850000001</v>
      </c>
      <c r="L247" s="117" t="s">
        <v>960</v>
      </c>
      <c r="M247" s="117" t="s">
        <v>961</v>
      </c>
    </row>
    <row r="248" spans="1:13" hidden="1" x14ac:dyDescent="0.3">
      <c r="A248" s="160" t="s">
        <v>962</v>
      </c>
      <c r="B248" s="204">
        <v>27444072.719999999</v>
      </c>
      <c r="C248" s="204">
        <v>297186</v>
      </c>
      <c r="D248" s="118">
        <f t="shared" si="3"/>
        <v>27741258.719999999</v>
      </c>
      <c r="L248" s="117" t="s">
        <v>960</v>
      </c>
      <c r="M248" s="117" t="s">
        <v>961</v>
      </c>
    </row>
    <row r="249" spans="1:13" hidden="1" x14ac:dyDescent="0.3">
      <c r="A249" s="160" t="s">
        <v>963</v>
      </c>
      <c r="B249" s="204">
        <v>21924799.289999999</v>
      </c>
      <c r="C249" s="204">
        <v>240224.47</v>
      </c>
      <c r="D249" s="118">
        <f t="shared" si="3"/>
        <v>22165023.759999998</v>
      </c>
      <c r="L249" s="117" t="s">
        <v>960</v>
      </c>
      <c r="M249" s="117" t="s">
        <v>961</v>
      </c>
    </row>
    <row r="250" spans="1:13" hidden="1" x14ac:dyDescent="0.3">
      <c r="A250" s="160" t="s">
        <v>964</v>
      </c>
      <c r="B250" s="204">
        <v>27151679.420000002</v>
      </c>
      <c r="C250" s="204">
        <v>180355.08</v>
      </c>
      <c r="D250" s="118">
        <f t="shared" si="3"/>
        <v>27332034.5</v>
      </c>
      <c r="L250" s="117" t="s">
        <v>960</v>
      </c>
      <c r="M250" s="117" t="s">
        <v>961</v>
      </c>
    </row>
    <row r="251" spans="1:13" hidden="1" x14ac:dyDescent="0.3">
      <c r="A251" s="160" t="s">
        <v>938</v>
      </c>
      <c r="B251" s="204">
        <v>19356815.280000001</v>
      </c>
      <c r="C251" s="204">
        <v>110643.35</v>
      </c>
      <c r="D251" s="118">
        <f t="shared" si="3"/>
        <v>19467458.630000003</v>
      </c>
      <c r="L251" s="117" t="s">
        <v>960</v>
      </c>
      <c r="M251" s="117" t="s">
        <v>961</v>
      </c>
    </row>
    <row r="252" spans="1:13" hidden="1" x14ac:dyDescent="0.3">
      <c r="A252" s="160" t="s">
        <v>939</v>
      </c>
      <c r="B252" s="204">
        <v>47027251.259999998</v>
      </c>
      <c r="C252" s="204">
        <v>173160.38</v>
      </c>
      <c r="D252" s="118">
        <f t="shared" si="3"/>
        <v>47200411.640000001</v>
      </c>
      <c r="L252" s="117" t="s">
        <v>960</v>
      </c>
      <c r="M252" s="117" t="s">
        <v>961</v>
      </c>
    </row>
    <row r="253" spans="1:13" hidden="1" x14ac:dyDescent="0.3">
      <c r="A253" s="160" t="s">
        <v>940</v>
      </c>
      <c r="B253" s="204">
        <v>32749809.030000001</v>
      </c>
      <c r="C253" s="204">
        <v>386367.44</v>
      </c>
      <c r="D253" s="118">
        <f t="shared" si="3"/>
        <v>33136176.470000003</v>
      </c>
      <c r="L253" s="117" t="s">
        <v>960</v>
      </c>
      <c r="M253" s="117" t="s">
        <v>961</v>
      </c>
    </row>
    <row r="254" spans="1:13" hidden="1" x14ac:dyDescent="0.3">
      <c r="A254" s="160" t="s">
        <v>941</v>
      </c>
      <c r="B254" s="204">
        <v>66751176.189999998</v>
      </c>
      <c r="C254" s="204">
        <v>3025815.22</v>
      </c>
      <c r="D254" s="118">
        <f t="shared" si="3"/>
        <v>69776991.409999996</v>
      </c>
      <c r="L254" s="117" t="s">
        <v>960</v>
      </c>
      <c r="M254" s="117" t="s">
        <v>961</v>
      </c>
    </row>
    <row r="255" spans="1:13" hidden="1" x14ac:dyDescent="0.3">
      <c r="A255" s="160" t="s">
        <v>942</v>
      </c>
      <c r="B255" s="204">
        <v>7915226.3399999999</v>
      </c>
      <c r="C255" s="204">
        <v>1289166.67</v>
      </c>
      <c r="D255" s="118">
        <f t="shared" si="3"/>
        <v>9204393.0099999998</v>
      </c>
      <c r="L255" s="117" t="s">
        <v>960</v>
      </c>
      <c r="M255" s="117" t="s">
        <v>961</v>
      </c>
    </row>
    <row r="256" spans="1:13" hidden="1" x14ac:dyDescent="0.3">
      <c r="A256" s="160" t="s">
        <v>943</v>
      </c>
      <c r="B256" s="204">
        <v>26759542.579999998</v>
      </c>
      <c r="C256" s="204">
        <v>2267520.94</v>
      </c>
      <c r="D256" s="118">
        <f t="shared" si="3"/>
        <v>29027063.52</v>
      </c>
      <c r="L256" s="117" t="s">
        <v>960</v>
      </c>
      <c r="M256" s="117" t="s">
        <v>961</v>
      </c>
    </row>
    <row r="257" spans="1:13" hidden="1" x14ac:dyDescent="0.3">
      <c r="A257" s="160" t="s">
        <v>943</v>
      </c>
      <c r="B257" s="204">
        <v>26131659.329999998</v>
      </c>
      <c r="C257" s="204">
        <v>845149.06</v>
      </c>
      <c r="D257" s="118">
        <f t="shared" si="3"/>
        <v>26976808.389999997</v>
      </c>
      <c r="L257" s="117" t="s">
        <v>960</v>
      </c>
      <c r="M257" s="117" t="s">
        <v>961</v>
      </c>
    </row>
    <row r="258" spans="1:13" hidden="1" x14ac:dyDescent="0.3">
      <c r="A258" s="160" t="s">
        <v>944</v>
      </c>
      <c r="B258" s="204">
        <v>15704393.73</v>
      </c>
      <c r="C258" s="204">
        <v>203629.54</v>
      </c>
      <c r="D258" s="118">
        <f t="shared" si="3"/>
        <v>15908023.27</v>
      </c>
      <c r="L258" s="117" t="s">
        <v>960</v>
      </c>
      <c r="M258" s="117" t="s">
        <v>961</v>
      </c>
    </row>
    <row r="259" spans="1:13" hidden="1" x14ac:dyDescent="0.3">
      <c r="A259" s="160" t="s">
        <v>945</v>
      </c>
      <c r="B259" s="204">
        <v>16489584.279999999</v>
      </c>
      <c r="C259" s="204">
        <v>201829.08</v>
      </c>
      <c r="D259" s="118">
        <f t="shared" si="3"/>
        <v>16691413.359999999</v>
      </c>
      <c r="L259" s="117" t="s">
        <v>960</v>
      </c>
      <c r="M259" s="117" t="s">
        <v>961</v>
      </c>
    </row>
    <row r="260" spans="1:13" hidden="1" x14ac:dyDescent="0.3">
      <c r="A260" s="160" t="s">
        <v>946</v>
      </c>
      <c r="B260" s="204">
        <v>70003759.480000004</v>
      </c>
      <c r="C260" s="204">
        <v>0</v>
      </c>
      <c r="D260" s="118">
        <f t="shared" si="3"/>
        <v>70003759.480000004</v>
      </c>
      <c r="L260" s="117" t="s">
        <v>960</v>
      </c>
      <c r="M260" s="117" t="s">
        <v>961</v>
      </c>
    </row>
    <row r="261" spans="1:13" hidden="1" x14ac:dyDescent="0.3">
      <c r="A261" s="160" t="s">
        <v>946</v>
      </c>
      <c r="B261" s="204">
        <v>19752129.25</v>
      </c>
      <c r="C261" s="204">
        <v>158956.19</v>
      </c>
      <c r="D261" s="118">
        <f t="shared" si="3"/>
        <v>19911085.440000001</v>
      </c>
      <c r="L261" s="117" t="s">
        <v>960</v>
      </c>
      <c r="M261" s="117" t="s">
        <v>961</v>
      </c>
    </row>
    <row r="262" spans="1:13" hidden="1" x14ac:dyDescent="0.3">
      <c r="A262" s="160" t="s">
        <v>946</v>
      </c>
      <c r="B262" s="204">
        <v>19482723.460000001</v>
      </c>
      <c r="C262" s="204">
        <v>657583.65</v>
      </c>
      <c r="D262" s="118">
        <f t="shared" si="3"/>
        <v>20140307.109999999</v>
      </c>
      <c r="L262" s="117" t="s">
        <v>960</v>
      </c>
      <c r="M262" s="117" t="s">
        <v>961</v>
      </c>
    </row>
    <row r="263" spans="1:13" hidden="1" x14ac:dyDescent="0.3">
      <c r="A263" s="160" t="s">
        <v>947</v>
      </c>
      <c r="B263" s="204">
        <v>65887218.07</v>
      </c>
      <c r="C263" s="204">
        <v>1785000</v>
      </c>
      <c r="D263" s="118">
        <f t="shared" si="3"/>
        <v>67672218.069999993</v>
      </c>
      <c r="L263" s="117" t="s">
        <v>960</v>
      </c>
      <c r="M263" s="117" t="s">
        <v>961</v>
      </c>
    </row>
    <row r="264" spans="1:13" hidden="1" x14ac:dyDescent="0.3">
      <c r="A264" s="160" t="s">
        <v>948</v>
      </c>
      <c r="B264" s="204">
        <v>19104854.260000002</v>
      </c>
      <c r="C264" s="204">
        <v>1394112.76</v>
      </c>
      <c r="D264" s="118">
        <f t="shared" si="3"/>
        <v>20498967.020000003</v>
      </c>
      <c r="L264" s="117" t="s">
        <v>960</v>
      </c>
      <c r="M264" s="117" t="s">
        <v>961</v>
      </c>
    </row>
    <row r="265" spans="1:13" hidden="1" x14ac:dyDescent="0.3">
      <c r="A265" s="160" t="s">
        <v>949</v>
      </c>
      <c r="B265" s="204">
        <v>32455654.949999999</v>
      </c>
      <c r="C265" s="204">
        <v>123941.65</v>
      </c>
      <c r="D265" s="118">
        <f t="shared" si="3"/>
        <v>32579596.599999998</v>
      </c>
      <c r="L265" s="117" t="s">
        <v>960</v>
      </c>
      <c r="M265" s="117" t="s">
        <v>961</v>
      </c>
    </row>
    <row r="266" spans="1:13" hidden="1" x14ac:dyDescent="0.3">
      <c r="A266" s="160" t="s">
        <v>950</v>
      </c>
      <c r="B266" s="204">
        <v>82673540.5</v>
      </c>
      <c r="C266" s="204">
        <v>1849355.22</v>
      </c>
      <c r="D266" s="118">
        <f t="shared" si="3"/>
        <v>84522895.719999999</v>
      </c>
      <c r="L266" s="117" t="s">
        <v>960</v>
      </c>
      <c r="M266" s="117" t="s">
        <v>961</v>
      </c>
    </row>
    <row r="267" spans="1:13" hidden="1" x14ac:dyDescent="0.3">
      <c r="A267" s="160" t="s">
        <v>951</v>
      </c>
      <c r="B267" s="204">
        <v>31128754.719999999</v>
      </c>
      <c r="C267" s="204">
        <v>166582.76</v>
      </c>
      <c r="D267" s="118">
        <f t="shared" si="3"/>
        <v>31295337.48</v>
      </c>
      <c r="L267" s="117" t="s">
        <v>960</v>
      </c>
      <c r="M267" s="117" t="s">
        <v>961</v>
      </c>
    </row>
    <row r="268" spans="1:13" hidden="1" x14ac:dyDescent="0.3">
      <c r="A268" s="160" t="s">
        <v>952</v>
      </c>
      <c r="B268" s="204">
        <v>14695423.779999999</v>
      </c>
      <c r="C268" s="204">
        <v>258303.57</v>
      </c>
      <c r="D268" s="118">
        <f t="shared" si="3"/>
        <v>14953727.35</v>
      </c>
      <c r="L268" s="117" t="s">
        <v>960</v>
      </c>
      <c r="M268" s="117" t="s">
        <v>961</v>
      </c>
    </row>
    <row r="269" spans="1:13" hidden="1" x14ac:dyDescent="0.3">
      <c r="A269" s="160" t="s">
        <v>953</v>
      </c>
      <c r="B269" s="204">
        <v>31675961.239999998</v>
      </c>
      <c r="C269" s="204">
        <v>575879.59</v>
      </c>
      <c r="D269" s="118">
        <f t="shared" si="3"/>
        <v>32251840.829999998</v>
      </c>
      <c r="L269" s="117" t="s">
        <v>960</v>
      </c>
      <c r="M269" s="117" t="s">
        <v>961</v>
      </c>
    </row>
    <row r="270" spans="1:13" hidden="1" x14ac:dyDescent="0.3">
      <c r="A270" s="160" t="s">
        <v>954</v>
      </c>
      <c r="B270" s="204">
        <v>20000000</v>
      </c>
      <c r="C270" s="204">
        <v>90719.78</v>
      </c>
      <c r="D270" s="118">
        <f t="shared" si="3"/>
        <v>20090719.780000001</v>
      </c>
      <c r="L270" s="117" t="s">
        <v>960</v>
      </c>
      <c r="M270" s="117" t="s">
        <v>961</v>
      </c>
    </row>
    <row r="271" spans="1:13" hidden="1" x14ac:dyDescent="0.3">
      <c r="A271" s="160" t="s">
        <v>955</v>
      </c>
      <c r="B271" s="204">
        <v>55270854.039999999</v>
      </c>
      <c r="C271" s="204">
        <v>743334.96</v>
      </c>
      <c r="D271" s="118">
        <f t="shared" si="3"/>
        <v>56014189</v>
      </c>
      <c r="L271" s="117" t="s">
        <v>960</v>
      </c>
      <c r="M271" s="117" t="s">
        <v>961</v>
      </c>
    </row>
    <row r="272" spans="1:13" hidden="1" x14ac:dyDescent="0.3">
      <c r="A272" s="160" t="s">
        <v>956</v>
      </c>
      <c r="B272" s="204">
        <v>85249863.769999996</v>
      </c>
      <c r="C272" s="204">
        <v>2722482.85</v>
      </c>
      <c r="D272" s="118">
        <f t="shared" si="3"/>
        <v>87972346.61999999</v>
      </c>
      <c r="L272" s="117" t="s">
        <v>960</v>
      </c>
      <c r="M272" s="117" t="s">
        <v>961</v>
      </c>
    </row>
    <row r="273" spans="1:13" hidden="1" x14ac:dyDescent="0.3">
      <c r="A273" s="160" t="s">
        <v>945</v>
      </c>
      <c r="B273" s="204">
        <v>32884207.57</v>
      </c>
      <c r="C273" s="204">
        <v>1111790.3899999999</v>
      </c>
      <c r="D273" s="118">
        <f t="shared" si="3"/>
        <v>33995997.960000001</v>
      </c>
      <c r="L273" s="117" t="s">
        <v>960</v>
      </c>
      <c r="M273" s="117" t="s">
        <v>961</v>
      </c>
    </row>
    <row r="274" spans="1:13" hidden="1" x14ac:dyDescent="0.3">
      <c r="A274" s="160" t="s">
        <v>936</v>
      </c>
      <c r="B274" s="204">
        <v>30000000</v>
      </c>
      <c r="C274" s="204">
        <v>0</v>
      </c>
      <c r="D274" s="118">
        <f t="shared" si="3"/>
        <v>30000000</v>
      </c>
      <c r="L274" s="117" t="s">
        <v>960</v>
      </c>
      <c r="M274" s="117" t="s">
        <v>961</v>
      </c>
    </row>
    <row r="275" spans="1:13" hidden="1" x14ac:dyDescent="0.3">
      <c r="A275" s="160" t="s">
        <v>957</v>
      </c>
      <c r="B275" s="204">
        <v>61501900</v>
      </c>
      <c r="C275" s="204">
        <v>1660407.21</v>
      </c>
      <c r="D275" s="118">
        <f t="shared" si="3"/>
        <v>63162307.210000001</v>
      </c>
      <c r="L275" s="117" t="s">
        <v>960</v>
      </c>
      <c r="M275" s="117" t="s">
        <v>961</v>
      </c>
    </row>
    <row r="276" spans="1:13" hidden="1" x14ac:dyDescent="0.3">
      <c r="A276" s="160" t="s">
        <v>958</v>
      </c>
      <c r="B276" s="204">
        <v>62815234.210000001</v>
      </c>
      <c r="C276" s="204">
        <v>969230.77</v>
      </c>
      <c r="D276" s="118">
        <f t="shared" si="3"/>
        <v>63784464.980000004</v>
      </c>
      <c r="L276" s="117" t="s">
        <v>960</v>
      </c>
      <c r="M276" s="117" t="s">
        <v>961</v>
      </c>
    </row>
    <row r="277" spans="1:13" hidden="1" x14ac:dyDescent="0.3">
      <c r="A277" s="160" t="s">
        <v>938</v>
      </c>
      <c r="B277" s="204">
        <v>31507431.609999999</v>
      </c>
      <c r="C277" s="204">
        <v>1153703.7</v>
      </c>
      <c r="D277" s="118">
        <f t="shared" si="3"/>
        <v>32661135.309999999</v>
      </c>
      <c r="L277" s="117" t="s">
        <v>960</v>
      </c>
      <c r="M277" s="117" t="s">
        <v>961</v>
      </c>
    </row>
    <row r="278" spans="1:13" x14ac:dyDescent="0.3">
      <c r="A278" s="117" t="s">
        <v>870</v>
      </c>
      <c r="D278" s="118">
        <v>201000000</v>
      </c>
      <c r="L278" s="117" t="s">
        <v>85</v>
      </c>
      <c r="M278" s="117" t="s">
        <v>870</v>
      </c>
    </row>
    <row r="279" spans="1:13" hidden="1" x14ac:dyDescent="0.3">
      <c r="A279" s="117" t="s">
        <v>965</v>
      </c>
      <c r="D279" s="118">
        <v>3081944.17</v>
      </c>
      <c r="L279" s="117" t="s">
        <v>966</v>
      </c>
      <c r="M279" s="117" t="s">
        <v>247</v>
      </c>
    </row>
    <row r="280" spans="1:13" hidden="1" x14ac:dyDescent="0.3">
      <c r="M280" s="117" t="s">
        <v>868</v>
      </c>
    </row>
    <row r="284" spans="1:13" x14ac:dyDescent="0.3">
      <c r="A284" s="116" t="s">
        <v>272</v>
      </c>
      <c r="B284" s="205">
        <f>SUBTOTAL(9,B2:B279)</f>
        <v>803714.55</v>
      </c>
      <c r="C284" s="205">
        <f>SUBTOTAL(9,C2:C279)</f>
        <v>0</v>
      </c>
      <c r="D284" s="205">
        <f>SUBTOTAL(9,D2:D279)</f>
        <v>201803714.55000001</v>
      </c>
    </row>
    <row r="285" spans="1:13" x14ac:dyDescent="0.3">
      <c r="D285" s="205">
        <f>D284/10000</f>
        <v>20180.371455</v>
      </c>
    </row>
    <row r="286" spans="1:13" x14ac:dyDescent="0.3">
      <c r="D286" s="118">
        <f>D285/10000</f>
        <v>2.0180371455000001</v>
      </c>
    </row>
    <row r="287" spans="1:13" x14ac:dyDescent="0.3">
      <c r="D287" s="118">
        <v>2722843.6800899999</v>
      </c>
    </row>
    <row r="288" spans="1:13" x14ac:dyDescent="0.3">
      <c r="D288" s="161">
        <f>D285/D287</f>
        <v>7.4115056999280128E-3</v>
      </c>
    </row>
  </sheetData>
  <autoFilter ref="A1:N280" xr:uid="{00000000-0009-0000-0000-000011000000}">
    <filterColumn colId="12">
      <filters>
        <filter val="政府专项债"/>
      </filters>
    </filterColumn>
  </autoFilter>
  <mergeCells count="1">
    <mergeCell ref="J119:J127"/>
  </mergeCells>
  <phoneticPr fontId="4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filterMode="1"/>
  <dimension ref="A1:N227"/>
  <sheetViews>
    <sheetView zoomScale="70" zoomScaleNormal="70" workbookViewId="0">
      <selection activeCell="D224" sqref="D224"/>
    </sheetView>
  </sheetViews>
  <sheetFormatPr defaultColWidth="8.6640625" defaultRowHeight="12.75" x14ac:dyDescent="0.3"/>
  <cols>
    <col min="1" max="1" width="30.46484375" style="117" customWidth="1"/>
    <col min="2" max="2" width="18.19921875" style="118" hidden="1" customWidth="1"/>
    <col min="3" max="3" width="15.19921875" style="118" hidden="1" customWidth="1"/>
    <col min="4" max="4" width="19.19921875" style="118" customWidth="1"/>
    <col min="5" max="6" width="10.59765625" style="117" customWidth="1"/>
    <col min="7" max="7" width="6.6640625" style="117" hidden="1" customWidth="1"/>
    <col min="8" max="8" width="9.06640625" style="117" hidden="1" customWidth="1"/>
    <col min="9" max="9" width="8.53125" style="117" customWidth="1"/>
    <col min="10" max="10" width="45.53125" style="117" customWidth="1"/>
    <col min="11" max="11" width="28.06640625" style="117" hidden="1" customWidth="1"/>
    <col min="12" max="12" width="20.1328125" style="117" customWidth="1"/>
    <col min="13" max="13" width="17.19921875" style="117" customWidth="1"/>
    <col min="14" max="14" width="16" style="117" customWidth="1"/>
    <col min="15" max="16384" width="8.6640625" style="117"/>
  </cols>
  <sheetData>
    <row r="1" spans="1:14" s="116" customFormat="1" x14ac:dyDescent="0.3">
      <c r="A1" s="119" t="s">
        <v>769</v>
      </c>
      <c r="B1" s="120" t="s">
        <v>770</v>
      </c>
      <c r="C1" s="120" t="s">
        <v>771</v>
      </c>
      <c r="D1" s="120" t="s">
        <v>772</v>
      </c>
      <c r="E1" s="121" t="s">
        <v>773</v>
      </c>
      <c r="F1" s="121" t="s">
        <v>774</v>
      </c>
      <c r="G1" s="119" t="s">
        <v>775</v>
      </c>
      <c r="H1" s="122" t="s">
        <v>776</v>
      </c>
      <c r="I1" s="119" t="s">
        <v>777</v>
      </c>
      <c r="J1" s="119" t="s">
        <v>778</v>
      </c>
      <c r="K1" s="119" t="s">
        <v>779</v>
      </c>
      <c r="L1" s="116" t="s">
        <v>780</v>
      </c>
      <c r="M1" s="116" t="s">
        <v>781</v>
      </c>
      <c r="N1" s="116" t="s">
        <v>782</v>
      </c>
    </row>
    <row r="2" spans="1:14" hidden="1" x14ac:dyDescent="0.3">
      <c r="A2" s="123" t="s">
        <v>792</v>
      </c>
      <c r="B2" s="124">
        <v>45000000</v>
      </c>
      <c r="C2" s="124">
        <v>75625</v>
      </c>
      <c r="D2" s="124">
        <f t="shared" ref="D2:D65" si="0">B2+C2</f>
        <v>45075625</v>
      </c>
      <c r="E2" s="125">
        <v>44551</v>
      </c>
      <c r="F2" s="125">
        <v>44561</v>
      </c>
      <c r="G2" s="123" t="s">
        <v>784</v>
      </c>
      <c r="H2" s="126">
        <v>5.5E-2</v>
      </c>
      <c r="I2" s="123" t="s">
        <v>785</v>
      </c>
      <c r="J2" s="123" t="s">
        <v>354</v>
      </c>
      <c r="K2" s="123" t="s">
        <v>350</v>
      </c>
      <c r="L2" s="117" t="s">
        <v>60</v>
      </c>
      <c r="M2" s="117" t="s">
        <v>786</v>
      </c>
      <c r="N2" s="117" t="s">
        <v>787</v>
      </c>
    </row>
    <row r="3" spans="1:14" hidden="1" x14ac:dyDescent="0.3">
      <c r="A3" s="123" t="s">
        <v>827</v>
      </c>
      <c r="B3" s="124">
        <v>10000000</v>
      </c>
      <c r="C3" s="124">
        <v>19250</v>
      </c>
      <c r="D3" s="124">
        <f t="shared" si="0"/>
        <v>10019250</v>
      </c>
      <c r="E3" s="125">
        <v>44551</v>
      </c>
      <c r="F3" s="125">
        <v>44561</v>
      </c>
      <c r="G3" s="123" t="s">
        <v>784</v>
      </c>
      <c r="H3" s="126">
        <v>6.3E-2</v>
      </c>
      <c r="I3" s="123" t="s">
        <v>785</v>
      </c>
      <c r="J3" s="123" t="s">
        <v>354</v>
      </c>
      <c r="K3" s="123" t="s">
        <v>350</v>
      </c>
      <c r="L3" s="117" t="s">
        <v>60</v>
      </c>
      <c r="M3" s="117" t="s">
        <v>786</v>
      </c>
      <c r="N3" s="117" t="s">
        <v>789</v>
      </c>
    </row>
    <row r="4" spans="1:14" hidden="1" x14ac:dyDescent="0.3">
      <c r="A4" s="123" t="s">
        <v>790</v>
      </c>
      <c r="B4" s="124">
        <v>10000000</v>
      </c>
      <c r="C4" s="124">
        <v>16805.560000000001</v>
      </c>
      <c r="D4" s="124">
        <f t="shared" si="0"/>
        <v>10016805.560000001</v>
      </c>
      <c r="E4" s="125">
        <v>44551</v>
      </c>
      <c r="F4" s="125">
        <v>44561</v>
      </c>
      <c r="G4" s="123" t="s">
        <v>784</v>
      </c>
      <c r="H4" s="126">
        <v>5.5E-2</v>
      </c>
      <c r="I4" s="123" t="s">
        <v>785</v>
      </c>
      <c r="J4" s="123" t="s">
        <v>354</v>
      </c>
      <c r="K4" s="123" t="s">
        <v>350</v>
      </c>
      <c r="L4" s="117" t="s">
        <v>60</v>
      </c>
      <c r="M4" s="117" t="s">
        <v>786</v>
      </c>
      <c r="N4" s="117" t="s">
        <v>789</v>
      </c>
    </row>
    <row r="5" spans="1:14" hidden="1" x14ac:dyDescent="0.3">
      <c r="A5" s="123" t="s">
        <v>852</v>
      </c>
      <c r="B5" s="124">
        <v>48000000</v>
      </c>
      <c r="C5" s="124">
        <v>99733.33</v>
      </c>
      <c r="D5" s="124">
        <f t="shared" si="0"/>
        <v>48099733.329999998</v>
      </c>
      <c r="E5" s="125">
        <v>44551</v>
      </c>
      <c r="F5" s="125">
        <v>44561</v>
      </c>
      <c r="G5" s="123" t="s">
        <v>784</v>
      </c>
      <c r="H5" s="126">
        <v>6.8000000000000005E-2</v>
      </c>
      <c r="I5" s="123" t="s">
        <v>785</v>
      </c>
      <c r="J5" s="123" t="s">
        <v>339</v>
      </c>
      <c r="K5" s="123" t="s">
        <v>350</v>
      </c>
      <c r="L5" s="117" t="s">
        <v>60</v>
      </c>
      <c r="M5" s="117" t="s">
        <v>786</v>
      </c>
      <c r="N5" s="117" t="s">
        <v>794</v>
      </c>
    </row>
    <row r="6" spans="1:14" hidden="1" x14ac:dyDescent="0.3">
      <c r="A6" s="123" t="s">
        <v>783</v>
      </c>
      <c r="B6" s="124">
        <v>10000000</v>
      </c>
      <c r="C6" s="124">
        <v>15277.78</v>
      </c>
      <c r="D6" s="124">
        <f t="shared" si="0"/>
        <v>10015277.779999999</v>
      </c>
      <c r="E6" s="125">
        <v>44551</v>
      </c>
      <c r="F6" s="125">
        <v>44561</v>
      </c>
      <c r="G6" s="123" t="s">
        <v>784</v>
      </c>
      <c r="H6" s="126">
        <v>0.05</v>
      </c>
      <c r="I6" s="123" t="s">
        <v>785</v>
      </c>
      <c r="J6" s="123" t="s">
        <v>354</v>
      </c>
      <c r="K6" s="123" t="s">
        <v>353</v>
      </c>
      <c r="L6" s="117" t="s">
        <v>60</v>
      </c>
      <c r="M6" s="117" t="s">
        <v>786</v>
      </c>
      <c r="N6" s="117" t="s">
        <v>787</v>
      </c>
    </row>
    <row r="7" spans="1:14" hidden="1" x14ac:dyDescent="0.3">
      <c r="A7" s="123" t="s">
        <v>838</v>
      </c>
      <c r="B7" s="124">
        <v>40000000</v>
      </c>
      <c r="C7" s="124">
        <v>73333.33</v>
      </c>
      <c r="D7" s="124">
        <f t="shared" si="0"/>
        <v>40073333.329999998</v>
      </c>
      <c r="E7" s="125">
        <v>44551</v>
      </c>
      <c r="F7" s="125">
        <v>44561</v>
      </c>
      <c r="G7" s="123" t="s">
        <v>784</v>
      </c>
      <c r="H7" s="126">
        <v>0.06</v>
      </c>
      <c r="I7" s="123" t="s">
        <v>785</v>
      </c>
      <c r="J7" s="123" t="s">
        <v>354</v>
      </c>
      <c r="K7" s="123" t="s">
        <v>353</v>
      </c>
      <c r="L7" s="117" t="s">
        <v>60</v>
      </c>
      <c r="M7" s="117" t="s">
        <v>786</v>
      </c>
      <c r="N7" s="117" t="s">
        <v>787</v>
      </c>
    </row>
    <row r="8" spans="1:14" hidden="1" x14ac:dyDescent="0.3">
      <c r="A8" s="123" t="s">
        <v>792</v>
      </c>
      <c r="B8" s="124">
        <v>30000000</v>
      </c>
      <c r="C8" s="124">
        <v>59583.33</v>
      </c>
      <c r="D8" s="124">
        <f t="shared" si="0"/>
        <v>30059583.329999998</v>
      </c>
      <c r="E8" s="125">
        <v>44551</v>
      </c>
      <c r="F8" s="125">
        <v>44561</v>
      </c>
      <c r="G8" s="123" t="s">
        <v>784</v>
      </c>
      <c r="H8" s="126">
        <v>6.5000000000000002E-2</v>
      </c>
      <c r="I8" s="123" t="s">
        <v>785</v>
      </c>
      <c r="J8" s="123" t="s">
        <v>354</v>
      </c>
      <c r="K8" s="123" t="s">
        <v>372</v>
      </c>
      <c r="L8" s="117" t="s">
        <v>60</v>
      </c>
      <c r="M8" s="117" t="s">
        <v>786</v>
      </c>
      <c r="N8" s="117" t="s">
        <v>787</v>
      </c>
    </row>
    <row r="9" spans="1:14" hidden="1" x14ac:dyDescent="0.3">
      <c r="A9" s="123" t="s">
        <v>801</v>
      </c>
      <c r="B9" s="124">
        <v>40000000</v>
      </c>
      <c r="C9" s="124">
        <v>73333.33</v>
      </c>
      <c r="D9" s="124">
        <f t="shared" si="0"/>
        <v>40073333.329999998</v>
      </c>
      <c r="E9" s="125">
        <v>44551</v>
      </c>
      <c r="F9" s="125">
        <v>44561</v>
      </c>
      <c r="G9" s="123" t="s">
        <v>784</v>
      </c>
      <c r="H9" s="126">
        <v>0.06</v>
      </c>
      <c r="I9" s="123" t="s">
        <v>785</v>
      </c>
      <c r="J9" s="123" t="s">
        <v>354</v>
      </c>
      <c r="K9" s="123" t="s">
        <v>372</v>
      </c>
      <c r="L9" s="117" t="s">
        <v>60</v>
      </c>
      <c r="M9" s="117" t="s">
        <v>786</v>
      </c>
      <c r="N9" s="117" t="s">
        <v>787</v>
      </c>
    </row>
    <row r="10" spans="1:14" hidden="1" x14ac:dyDescent="0.3">
      <c r="A10" s="123" t="s">
        <v>792</v>
      </c>
      <c r="B10" s="124">
        <v>5000000</v>
      </c>
      <c r="C10" s="124">
        <v>7425</v>
      </c>
      <c r="D10" s="124">
        <f t="shared" si="0"/>
        <v>5007425</v>
      </c>
      <c r="E10" s="125">
        <v>44551</v>
      </c>
      <c r="F10" s="125">
        <v>44561</v>
      </c>
      <c r="G10" s="123" t="s">
        <v>784</v>
      </c>
      <c r="H10" s="126">
        <v>4.8599999999999997E-2</v>
      </c>
      <c r="I10" s="123" t="s">
        <v>785</v>
      </c>
      <c r="J10" s="123" t="s">
        <v>354</v>
      </c>
      <c r="K10" s="123" t="s">
        <v>795</v>
      </c>
      <c r="L10" s="117" t="s">
        <v>60</v>
      </c>
      <c r="M10" s="117" t="s">
        <v>786</v>
      </c>
      <c r="N10" s="117" t="s">
        <v>787</v>
      </c>
    </row>
    <row r="11" spans="1:14" hidden="1" x14ac:dyDescent="0.3">
      <c r="A11" s="123" t="s">
        <v>792</v>
      </c>
      <c r="B11" s="124">
        <v>5000000</v>
      </c>
      <c r="C11" s="124">
        <v>7638.89</v>
      </c>
      <c r="D11" s="124">
        <f t="shared" si="0"/>
        <v>5007638.8899999997</v>
      </c>
      <c r="E11" s="125">
        <v>44551</v>
      </c>
      <c r="F11" s="125">
        <v>44561</v>
      </c>
      <c r="G11" s="123" t="s">
        <v>784</v>
      </c>
      <c r="H11" s="126">
        <v>0.05</v>
      </c>
      <c r="I11" s="123" t="s">
        <v>785</v>
      </c>
      <c r="J11" s="123" t="s">
        <v>354</v>
      </c>
      <c r="K11" s="123" t="s">
        <v>795</v>
      </c>
      <c r="L11" s="117" t="s">
        <v>60</v>
      </c>
      <c r="M11" s="117" t="s">
        <v>786</v>
      </c>
      <c r="N11" s="117" t="s">
        <v>787</v>
      </c>
    </row>
    <row r="12" spans="1:14" hidden="1" x14ac:dyDescent="0.3">
      <c r="A12" s="123" t="s">
        <v>903</v>
      </c>
      <c r="B12" s="124">
        <v>180000000</v>
      </c>
      <c r="C12" s="124">
        <v>310750</v>
      </c>
      <c r="D12" s="124">
        <f t="shared" si="0"/>
        <v>180310750</v>
      </c>
      <c r="E12" s="125">
        <v>44551</v>
      </c>
      <c r="F12" s="125">
        <v>44915</v>
      </c>
      <c r="G12" s="123" t="s">
        <v>784</v>
      </c>
      <c r="H12" s="126">
        <v>5.6500000000000002E-2</v>
      </c>
      <c r="I12" s="123" t="s">
        <v>785</v>
      </c>
      <c r="J12" s="123" t="s">
        <v>650</v>
      </c>
      <c r="K12" s="123" t="s">
        <v>334</v>
      </c>
      <c r="L12" s="117" t="s">
        <v>60</v>
      </c>
      <c r="M12" s="117" t="s">
        <v>786</v>
      </c>
      <c r="N12" s="117" t="s">
        <v>794</v>
      </c>
    </row>
    <row r="13" spans="1:14" hidden="1" x14ac:dyDescent="0.3">
      <c r="A13" s="123" t="s">
        <v>967</v>
      </c>
      <c r="B13" s="124">
        <v>25000000</v>
      </c>
      <c r="C13" s="124">
        <v>49652.78</v>
      </c>
      <c r="D13" s="124">
        <f t="shared" si="0"/>
        <v>25049652.780000001</v>
      </c>
      <c r="E13" s="125">
        <v>44523</v>
      </c>
      <c r="F13" s="125">
        <v>44875</v>
      </c>
      <c r="G13" s="123" t="s">
        <v>784</v>
      </c>
      <c r="H13" s="126">
        <v>6.5000000000000002E-2</v>
      </c>
      <c r="I13" s="123" t="s">
        <v>785</v>
      </c>
      <c r="J13" s="123" t="s">
        <v>968</v>
      </c>
      <c r="K13" s="123" t="s">
        <v>334</v>
      </c>
      <c r="L13" s="117" t="s">
        <v>60</v>
      </c>
      <c r="M13" s="117" t="s">
        <v>786</v>
      </c>
      <c r="N13" s="117" t="s">
        <v>789</v>
      </c>
    </row>
    <row r="14" spans="1:14" hidden="1" x14ac:dyDescent="0.3">
      <c r="A14" s="123" t="s">
        <v>838</v>
      </c>
      <c r="B14" s="124">
        <v>299000000</v>
      </c>
      <c r="C14" s="124">
        <v>548166.67000000004</v>
      </c>
      <c r="D14" s="124">
        <f t="shared" si="0"/>
        <v>299548166.67000002</v>
      </c>
      <c r="E14" s="125">
        <v>44540</v>
      </c>
      <c r="F14" s="125">
        <v>44904</v>
      </c>
      <c r="G14" s="123" t="s">
        <v>784</v>
      </c>
      <c r="H14" s="126">
        <v>0.06</v>
      </c>
      <c r="I14" s="123" t="s">
        <v>785</v>
      </c>
      <c r="J14" s="123" t="s">
        <v>802</v>
      </c>
      <c r="K14" s="123" t="s">
        <v>334</v>
      </c>
      <c r="L14" s="117" t="s">
        <v>60</v>
      </c>
      <c r="M14" s="117" t="s">
        <v>786</v>
      </c>
      <c r="N14" s="117" t="s">
        <v>787</v>
      </c>
    </row>
    <row r="15" spans="1:14" hidden="1" x14ac:dyDescent="0.3">
      <c r="A15" s="123" t="s">
        <v>969</v>
      </c>
      <c r="B15" s="124">
        <v>100000000</v>
      </c>
      <c r="C15" s="124">
        <v>198611.11</v>
      </c>
      <c r="D15" s="124">
        <f t="shared" si="0"/>
        <v>100198611.11</v>
      </c>
      <c r="E15" s="125">
        <v>44329</v>
      </c>
      <c r="F15" s="125">
        <v>44693</v>
      </c>
      <c r="G15" s="123" t="s">
        <v>784</v>
      </c>
      <c r="H15" s="126">
        <v>6.5000000000000002E-2</v>
      </c>
      <c r="I15" s="123" t="s">
        <v>785</v>
      </c>
      <c r="J15" s="123" t="s">
        <v>802</v>
      </c>
      <c r="K15" s="123" t="s">
        <v>334</v>
      </c>
      <c r="L15" s="117" t="s">
        <v>60</v>
      </c>
      <c r="M15" s="117" t="s">
        <v>786</v>
      </c>
      <c r="N15" s="117" t="s">
        <v>794</v>
      </c>
    </row>
    <row r="16" spans="1:14" hidden="1" x14ac:dyDescent="0.3">
      <c r="A16" s="123" t="s">
        <v>804</v>
      </c>
      <c r="B16" s="124">
        <v>100000000</v>
      </c>
      <c r="C16" s="124">
        <v>4450000</v>
      </c>
      <c r="D16" s="124">
        <f t="shared" si="0"/>
        <v>104450000</v>
      </c>
      <c r="E16" s="125">
        <v>44295</v>
      </c>
      <c r="F16" s="125">
        <v>44660</v>
      </c>
      <c r="G16" s="123" t="s">
        <v>784</v>
      </c>
      <c r="H16" s="126">
        <v>0.06</v>
      </c>
      <c r="I16" s="123" t="s">
        <v>785</v>
      </c>
      <c r="J16" s="123" t="s">
        <v>650</v>
      </c>
      <c r="K16" s="123" t="s">
        <v>334</v>
      </c>
      <c r="L16" s="117" t="s">
        <v>60</v>
      </c>
      <c r="M16" s="117" t="s">
        <v>805</v>
      </c>
    </row>
    <row r="17" spans="1:14" hidden="1" x14ac:dyDescent="0.3">
      <c r="A17" s="123" t="s">
        <v>804</v>
      </c>
      <c r="B17" s="124">
        <v>100000000</v>
      </c>
      <c r="C17" s="124">
        <v>2933333.33</v>
      </c>
      <c r="D17" s="124">
        <f t="shared" si="0"/>
        <v>102933333.33</v>
      </c>
      <c r="E17" s="125">
        <v>44386</v>
      </c>
      <c r="F17" s="125">
        <v>44660</v>
      </c>
      <c r="G17" s="123" t="s">
        <v>784</v>
      </c>
      <c r="H17" s="126">
        <v>0.06</v>
      </c>
      <c r="I17" s="123" t="s">
        <v>785</v>
      </c>
      <c r="J17" s="123" t="s">
        <v>650</v>
      </c>
      <c r="K17" s="123" t="s">
        <v>334</v>
      </c>
      <c r="L17" s="117" t="s">
        <v>60</v>
      </c>
      <c r="M17" s="117" t="s">
        <v>805</v>
      </c>
    </row>
    <row r="18" spans="1:14" hidden="1" x14ac:dyDescent="0.3">
      <c r="A18" s="123" t="s">
        <v>806</v>
      </c>
      <c r="B18" s="124">
        <v>19000000</v>
      </c>
      <c r="C18" s="124">
        <v>25233.39</v>
      </c>
      <c r="D18" s="124">
        <f t="shared" si="0"/>
        <v>19025233.390000001</v>
      </c>
      <c r="E18" s="125">
        <v>44262</v>
      </c>
      <c r="F18" s="125">
        <v>44626</v>
      </c>
      <c r="G18" s="123" t="s">
        <v>784</v>
      </c>
      <c r="H18" s="126">
        <v>4.3499999999999997E-2</v>
      </c>
      <c r="I18" s="123" t="s">
        <v>799</v>
      </c>
      <c r="J18" s="123" t="s">
        <v>807</v>
      </c>
      <c r="K18" s="123" t="s">
        <v>349</v>
      </c>
      <c r="L18" s="117" t="s">
        <v>60</v>
      </c>
      <c r="M18" s="117" t="s">
        <v>786</v>
      </c>
      <c r="N18" s="117" t="s">
        <v>808</v>
      </c>
    </row>
    <row r="19" spans="1:14" hidden="1" x14ac:dyDescent="0.3">
      <c r="A19" s="123" t="s">
        <v>806</v>
      </c>
      <c r="B19" s="124">
        <v>47500000</v>
      </c>
      <c r="C19" s="124">
        <v>63135.42</v>
      </c>
      <c r="D19" s="124">
        <f t="shared" si="0"/>
        <v>47563135.420000002</v>
      </c>
      <c r="E19" s="125">
        <v>44262</v>
      </c>
      <c r="F19" s="125">
        <v>44626</v>
      </c>
      <c r="G19" s="123" t="s">
        <v>784</v>
      </c>
      <c r="H19" s="126">
        <v>4.3499999999999997E-2</v>
      </c>
      <c r="I19" s="123" t="s">
        <v>799</v>
      </c>
      <c r="J19" s="123" t="s">
        <v>809</v>
      </c>
      <c r="K19" s="123" t="s">
        <v>349</v>
      </c>
      <c r="L19" s="117" t="s">
        <v>60</v>
      </c>
      <c r="M19" s="117" t="s">
        <v>786</v>
      </c>
      <c r="N19" s="117" t="s">
        <v>808</v>
      </c>
    </row>
    <row r="20" spans="1:14" hidden="1" x14ac:dyDescent="0.3">
      <c r="A20" s="123" t="s">
        <v>806</v>
      </c>
      <c r="B20" s="124">
        <v>47500000</v>
      </c>
      <c r="C20" s="124">
        <v>63135.42</v>
      </c>
      <c r="D20" s="124">
        <f t="shared" si="0"/>
        <v>47563135.420000002</v>
      </c>
      <c r="E20" s="125">
        <v>44262</v>
      </c>
      <c r="F20" s="125">
        <v>44626</v>
      </c>
      <c r="G20" s="123" t="s">
        <v>784</v>
      </c>
      <c r="H20" s="126">
        <v>4.3499999999999997E-2</v>
      </c>
      <c r="I20" s="123" t="s">
        <v>799</v>
      </c>
      <c r="J20" s="123" t="s">
        <v>810</v>
      </c>
      <c r="K20" s="123" t="s">
        <v>349</v>
      </c>
      <c r="L20" s="117" t="s">
        <v>60</v>
      </c>
      <c r="M20" s="117" t="s">
        <v>786</v>
      </c>
      <c r="N20" s="117" t="s">
        <v>808</v>
      </c>
    </row>
    <row r="21" spans="1:14" hidden="1" x14ac:dyDescent="0.3">
      <c r="A21" s="123" t="s">
        <v>806</v>
      </c>
      <c r="B21" s="124">
        <v>95000000</v>
      </c>
      <c r="C21" s="124">
        <v>126270.83</v>
      </c>
      <c r="D21" s="124">
        <f t="shared" si="0"/>
        <v>95126270.829999998</v>
      </c>
      <c r="E21" s="125">
        <v>44317</v>
      </c>
      <c r="F21" s="125">
        <v>44680</v>
      </c>
      <c r="G21" s="123" t="s">
        <v>784</v>
      </c>
      <c r="H21" s="126">
        <v>4.3499999999999997E-2</v>
      </c>
      <c r="I21" s="123" t="s">
        <v>799</v>
      </c>
      <c r="J21" s="123" t="s">
        <v>811</v>
      </c>
      <c r="K21" s="123" t="s">
        <v>349</v>
      </c>
      <c r="L21" s="117" t="s">
        <v>60</v>
      </c>
      <c r="M21" s="117" t="s">
        <v>786</v>
      </c>
      <c r="N21" s="117" t="s">
        <v>808</v>
      </c>
    </row>
    <row r="22" spans="1:14" hidden="1" x14ac:dyDescent="0.3">
      <c r="A22" s="123" t="s">
        <v>806</v>
      </c>
      <c r="B22" s="124">
        <v>47500000</v>
      </c>
      <c r="C22" s="124">
        <v>63135.42</v>
      </c>
      <c r="D22" s="124">
        <f t="shared" si="0"/>
        <v>47563135.420000002</v>
      </c>
      <c r="E22" s="125">
        <v>44325</v>
      </c>
      <c r="F22" s="125">
        <v>44687</v>
      </c>
      <c r="G22" s="123" t="s">
        <v>784</v>
      </c>
      <c r="H22" s="126">
        <v>4.3499999999999997E-2</v>
      </c>
      <c r="I22" s="123" t="s">
        <v>799</v>
      </c>
      <c r="J22" s="123" t="s">
        <v>812</v>
      </c>
      <c r="K22" s="123" t="s">
        <v>349</v>
      </c>
      <c r="L22" s="117" t="s">
        <v>60</v>
      </c>
      <c r="M22" s="117" t="s">
        <v>786</v>
      </c>
      <c r="N22" s="117" t="s">
        <v>808</v>
      </c>
    </row>
    <row r="23" spans="1:14" hidden="1" x14ac:dyDescent="0.3">
      <c r="A23" s="123" t="s">
        <v>816</v>
      </c>
      <c r="B23" s="124">
        <v>49000000</v>
      </c>
      <c r="C23" s="124">
        <v>65131.18</v>
      </c>
      <c r="D23" s="124">
        <f t="shared" si="0"/>
        <v>49065131.18</v>
      </c>
      <c r="E23" s="125">
        <v>44316</v>
      </c>
      <c r="F23" s="125">
        <v>44680</v>
      </c>
      <c r="G23" s="123" t="s">
        <v>784</v>
      </c>
      <c r="H23" s="126">
        <v>4.3499999999999997E-2</v>
      </c>
      <c r="I23" s="123" t="s">
        <v>799</v>
      </c>
      <c r="J23" s="123" t="s">
        <v>817</v>
      </c>
      <c r="K23" s="123" t="s">
        <v>349</v>
      </c>
      <c r="L23" s="117" t="s">
        <v>60</v>
      </c>
      <c r="M23" s="117" t="s">
        <v>786</v>
      </c>
      <c r="N23" s="117" t="s">
        <v>808</v>
      </c>
    </row>
    <row r="24" spans="1:14" hidden="1" x14ac:dyDescent="0.3">
      <c r="A24" s="123" t="s">
        <v>970</v>
      </c>
      <c r="B24" s="127">
        <v>3297042.25</v>
      </c>
      <c r="C24" s="127">
        <v>3709.1725312499998</v>
      </c>
      <c r="D24" s="124">
        <f t="shared" si="0"/>
        <v>3300751.4225312499</v>
      </c>
      <c r="E24" s="125">
        <v>44462</v>
      </c>
      <c r="F24" s="125">
        <v>44767</v>
      </c>
      <c r="G24" s="123" t="s">
        <v>784</v>
      </c>
      <c r="H24" s="126">
        <v>4.0500000000000001E-2</v>
      </c>
      <c r="I24" s="123" t="s">
        <v>835</v>
      </c>
      <c r="J24" s="123"/>
      <c r="K24" s="123" t="s">
        <v>971</v>
      </c>
      <c r="L24" s="117" t="s">
        <v>60</v>
      </c>
      <c r="M24" s="117" t="s">
        <v>786</v>
      </c>
      <c r="N24" s="117" t="s">
        <v>833</v>
      </c>
    </row>
    <row r="25" spans="1:14" hidden="1" x14ac:dyDescent="0.3">
      <c r="A25" s="123" t="s">
        <v>972</v>
      </c>
      <c r="B25" s="127">
        <v>28882109</v>
      </c>
      <c r="C25" s="127">
        <v>32492.372625</v>
      </c>
      <c r="D25" s="124">
        <f t="shared" si="0"/>
        <v>28914601.372625001</v>
      </c>
      <c r="E25" s="125">
        <v>44484</v>
      </c>
      <c r="F25" s="125">
        <v>44849</v>
      </c>
      <c r="G25" s="123" t="s">
        <v>784</v>
      </c>
      <c r="H25" s="126">
        <v>4.0500000000000001E-2</v>
      </c>
      <c r="I25" s="123" t="s">
        <v>835</v>
      </c>
      <c r="J25" s="123"/>
      <c r="K25" s="123" t="s">
        <v>971</v>
      </c>
      <c r="L25" s="117" t="s">
        <v>60</v>
      </c>
      <c r="M25" s="117" t="s">
        <v>786</v>
      </c>
      <c r="N25" s="117" t="s">
        <v>833</v>
      </c>
    </row>
    <row r="26" spans="1:14" hidden="1" x14ac:dyDescent="0.3">
      <c r="A26" s="123" t="s">
        <v>831</v>
      </c>
      <c r="B26" s="127">
        <v>18387891</v>
      </c>
      <c r="C26" s="127">
        <v>20686.377375</v>
      </c>
      <c r="D26" s="124">
        <f t="shared" si="0"/>
        <v>18408577.377374999</v>
      </c>
      <c r="E26" s="125">
        <v>44498</v>
      </c>
      <c r="F26" s="125">
        <v>44859</v>
      </c>
      <c r="G26" s="123" t="s">
        <v>784</v>
      </c>
      <c r="H26" s="126">
        <v>4.0500000000000001E-2</v>
      </c>
      <c r="I26" s="123" t="s">
        <v>835</v>
      </c>
      <c r="J26" s="123"/>
      <c r="K26" s="123" t="s">
        <v>971</v>
      </c>
      <c r="L26" s="117" t="s">
        <v>60</v>
      </c>
      <c r="M26" s="117" t="s">
        <v>786</v>
      </c>
      <c r="N26" s="117" t="s">
        <v>833</v>
      </c>
    </row>
    <row r="27" spans="1:14" hidden="1" x14ac:dyDescent="0.3">
      <c r="A27" s="123" t="s">
        <v>831</v>
      </c>
      <c r="B27" s="127">
        <v>5786866.6100000003</v>
      </c>
      <c r="C27" s="127">
        <v>6510.2249362499997</v>
      </c>
      <c r="D27" s="124">
        <f t="shared" si="0"/>
        <v>5793376.83493625</v>
      </c>
      <c r="E27" s="125">
        <v>44558</v>
      </c>
      <c r="F27" s="125">
        <v>44920</v>
      </c>
      <c r="G27" s="123" t="s">
        <v>784</v>
      </c>
      <c r="H27" s="126">
        <v>4.0500000000000001E-2</v>
      </c>
      <c r="I27" s="123" t="s">
        <v>835</v>
      </c>
      <c r="J27" s="123"/>
      <c r="K27" s="123" t="s">
        <v>971</v>
      </c>
      <c r="L27" s="117" t="s">
        <v>60</v>
      </c>
      <c r="M27" s="117" t="s">
        <v>786</v>
      </c>
      <c r="N27" s="117" t="s">
        <v>833</v>
      </c>
    </row>
    <row r="28" spans="1:14" hidden="1" x14ac:dyDescent="0.3">
      <c r="A28" s="123" t="s">
        <v>973</v>
      </c>
      <c r="B28" s="127">
        <v>15229906.58</v>
      </c>
      <c r="C28" s="127">
        <v>17133.6449025</v>
      </c>
      <c r="D28" s="124">
        <f t="shared" si="0"/>
        <v>15247040.224902499</v>
      </c>
      <c r="E28" s="125">
        <v>44344</v>
      </c>
      <c r="F28" s="125">
        <v>44708</v>
      </c>
      <c r="G28" s="123" t="s">
        <v>784</v>
      </c>
      <c r="H28" s="126">
        <v>4.0500000000000001E-2</v>
      </c>
      <c r="I28" s="123" t="s">
        <v>835</v>
      </c>
      <c r="J28" s="123"/>
      <c r="K28" s="123" t="s">
        <v>971</v>
      </c>
      <c r="L28" s="117" t="s">
        <v>60</v>
      </c>
      <c r="M28" s="117" t="s">
        <v>786</v>
      </c>
      <c r="N28" s="117" t="s">
        <v>833</v>
      </c>
    </row>
    <row r="29" spans="1:14" hidden="1" x14ac:dyDescent="0.3">
      <c r="A29" s="123" t="s">
        <v>831</v>
      </c>
      <c r="B29" s="127">
        <v>13152226.83</v>
      </c>
      <c r="C29" s="127">
        <v>14796.25518375</v>
      </c>
      <c r="D29" s="124">
        <f t="shared" si="0"/>
        <v>13167023.085183751</v>
      </c>
      <c r="E29" s="125">
        <v>44498</v>
      </c>
      <c r="F29" s="125">
        <v>44859</v>
      </c>
      <c r="G29" s="123" t="s">
        <v>784</v>
      </c>
      <c r="H29" s="126">
        <v>4.0500000000000001E-2</v>
      </c>
      <c r="I29" s="123" t="s">
        <v>835</v>
      </c>
      <c r="J29" s="123"/>
      <c r="K29" s="123" t="s">
        <v>971</v>
      </c>
      <c r="L29" s="117" t="s">
        <v>60</v>
      </c>
      <c r="M29" s="117" t="s">
        <v>786</v>
      </c>
      <c r="N29" s="117" t="s">
        <v>833</v>
      </c>
    </row>
    <row r="30" spans="1:14" hidden="1" x14ac:dyDescent="0.3">
      <c r="A30" s="123" t="s">
        <v>974</v>
      </c>
      <c r="B30" s="127">
        <v>10000000</v>
      </c>
      <c r="C30" s="127">
        <v>11250</v>
      </c>
      <c r="D30" s="124">
        <f t="shared" si="0"/>
        <v>10011250</v>
      </c>
      <c r="E30" s="125">
        <v>44484</v>
      </c>
      <c r="F30" s="125">
        <v>44767</v>
      </c>
      <c r="G30" s="123" t="s">
        <v>784</v>
      </c>
      <c r="H30" s="126">
        <v>4.0500000000000001E-2</v>
      </c>
      <c r="I30" s="123" t="s">
        <v>835</v>
      </c>
      <c r="J30" s="123"/>
      <c r="K30" s="123" t="s">
        <v>971</v>
      </c>
      <c r="L30" s="117" t="s">
        <v>60</v>
      </c>
      <c r="M30" s="117" t="s">
        <v>786</v>
      </c>
      <c r="N30" s="117" t="s">
        <v>833</v>
      </c>
    </row>
    <row r="31" spans="1:14" hidden="1" x14ac:dyDescent="0.3">
      <c r="A31" s="123" t="s">
        <v>975</v>
      </c>
      <c r="B31" s="127">
        <v>1492815.19</v>
      </c>
      <c r="C31" s="127">
        <v>1679.4170887499999</v>
      </c>
      <c r="D31" s="124">
        <f t="shared" si="0"/>
        <v>1494494.60708875</v>
      </c>
      <c r="E31" s="125">
        <v>44560</v>
      </c>
      <c r="F31" s="125">
        <v>44909</v>
      </c>
      <c r="G31" s="123" t="s">
        <v>784</v>
      </c>
      <c r="H31" s="126">
        <v>4.0500000000000001E-2</v>
      </c>
      <c r="I31" s="123" t="s">
        <v>835</v>
      </c>
      <c r="J31" s="123"/>
      <c r="K31" s="123" t="s">
        <v>971</v>
      </c>
      <c r="L31" s="117" t="s">
        <v>60</v>
      </c>
      <c r="M31" s="117" t="s">
        <v>786</v>
      </c>
      <c r="N31" s="117" t="s">
        <v>833</v>
      </c>
    </row>
    <row r="32" spans="1:14" hidden="1" x14ac:dyDescent="0.3">
      <c r="A32" s="123" t="s">
        <v>976</v>
      </c>
      <c r="B32" s="127">
        <v>15658162.439999999</v>
      </c>
      <c r="C32" s="127">
        <v>17615.432744999998</v>
      </c>
      <c r="D32" s="124">
        <f t="shared" si="0"/>
        <v>15675777.872745</v>
      </c>
      <c r="E32" s="125">
        <v>44344</v>
      </c>
      <c r="F32" s="125">
        <v>44708</v>
      </c>
      <c r="G32" s="123" t="s">
        <v>784</v>
      </c>
      <c r="H32" s="126">
        <v>4.0500000000000001E-2</v>
      </c>
      <c r="I32" s="123" t="s">
        <v>835</v>
      </c>
      <c r="J32" s="123"/>
      <c r="K32" s="123" t="s">
        <v>971</v>
      </c>
      <c r="L32" s="117" t="s">
        <v>60</v>
      </c>
      <c r="M32" s="117" t="s">
        <v>786</v>
      </c>
      <c r="N32" s="117" t="s">
        <v>833</v>
      </c>
    </row>
    <row r="33" spans="1:14" hidden="1" x14ac:dyDescent="0.3">
      <c r="A33" s="123" t="s">
        <v>854</v>
      </c>
      <c r="B33" s="127">
        <v>5000000</v>
      </c>
      <c r="C33" s="127">
        <v>8750</v>
      </c>
      <c r="D33" s="124">
        <f t="shared" si="0"/>
        <v>5008750</v>
      </c>
      <c r="E33" s="125">
        <v>44298</v>
      </c>
      <c r="F33" s="125">
        <v>44662</v>
      </c>
      <c r="G33" s="123" t="s">
        <v>784</v>
      </c>
      <c r="H33" s="126">
        <v>6.3E-2</v>
      </c>
      <c r="I33" s="123" t="s">
        <v>835</v>
      </c>
      <c r="J33" s="123"/>
      <c r="K33" s="123" t="s">
        <v>971</v>
      </c>
      <c r="L33" s="117" t="s">
        <v>60</v>
      </c>
      <c r="M33" s="117" t="s">
        <v>786</v>
      </c>
      <c r="N33" s="117" t="s">
        <v>789</v>
      </c>
    </row>
    <row r="34" spans="1:14" hidden="1" x14ac:dyDescent="0.3">
      <c r="A34" s="123" t="s">
        <v>854</v>
      </c>
      <c r="B34" s="127">
        <v>5000000</v>
      </c>
      <c r="C34" s="127">
        <v>8750</v>
      </c>
      <c r="D34" s="124">
        <f t="shared" si="0"/>
        <v>5008750</v>
      </c>
      <c r="E34" s="125">
        <v>44298</v>
      </c>
      <c r="F34" s="125">
        <v>44662</v>
      </c>
      <c r="G34" s="123" t="s">
        <v>784</v>
      </c>
      <c r="H34" s="126">
        <v>6.3E-2</v>
      </c>
      <c r="I34" s="123" t="s">
        <v>835</v>
      </c>
      <c r="J34" s="123"/>
      <c r="K34" s="123" t="s">
        <v>971</v>
      </c>
      <c r="L34" s="117" t="s">
        <v>60</v>
      </c>
      <c r="M34" s="117" t="s">
        <v>786</v>
      </c>
      <c r="N34" s="117" t="s">
        <v>789</v>
      </c>
    </row>
    <row r="35" spans="1:14" hidden="1" x14ac:dyDescent="0.3">
      <c r="A35" s="123" t="s">
        <v>831</v>
      </c>
      <c r="B35" s="127">
        <v>7500000</v>
      </c>
      <c r="C35" s="127">
        <v>8541.6666666666697</v>
      </c>
      <c r="D35" s="124">
        <f t="shared" si="0"/>
        <v>7508541.666666667</v>
      </c>
      <c r="E35" s="125">
        <v>44519</v>
      </c>
      <c r="F35" s="125">
        <v>44782</v>
      </c>
      <c r="G35" s="123" t="s">
        <v>784</v>
      </c>
      <c r="H35" s="126">
        <v>4.1000000000000002E-2</v>
      </c>
      <c r="I35" s="123" t="s">
        <v>785</v>
      </c>
      <c r="J35" s="123" t="s">
        <v>354</v>
      </c>
      <c r="K35" s="123" t="s">
        <v>339</v>
      </c>
      <c r="L35" s="117" t="s">
        <v>60</v>
      </c>
      <c r="M35" s="117" t="s">
        <v>786</v>
      </c>
      <c r="N35" s="117" t="s">
        <v>833</v>
      </c>
    </row>
    <row r="36" spans="1:14" hidden="1" x14ac:dyDescent="0.3">
      <c r="A36" s="123" t="s">
        <v>831</v>
      </c>
      <c r="B36" s="127">
        <v>10000000</v>
      </c>
      <c r="C36" s="127">
        <v>11388.8888888889</v>
      </c>
      <c r="D36" s="124">
        <f t="shared" si="0"/>
        <v>10011388.888888888</v>
      </c>
      <c r="E36" s="125">
        <v>44524</v>
      </c>
      <c r="F36" s="125">
        <v>44782</v>
      </c>
      <c r="G36" s="123" t="s">
        <v>784</v>
      </c>
      <c r="H36" s="126">
        <v>4.1000000000000002E-2</v>
      </c>
      <c r="I36" s="123" t="s">
        <v>785</v>
      </c>
      <c r="J36" s="123" t="s">
        <v>354</v>
      </c>
      <c r="K36" s="123" t="s">
        <v>339</v>
      </c>
      <c r="L36" s="117" t="s">
        <v>60</v>
      </c>
      <c r="M36" s="117" t="s">
        <v>786</v>
      </c>
      <c r="N36" s="117" t="s">
        <v>833</v>
      </c>
    </row>
    <row r="37" spans="1:14" hidden="1" x14ac:dyDescent="0.3">
      <c r="A37" s="123" t="s">
        <v>831</v>
      </c>
      <c r="B37" s="127">
        <v>10000000</v>
      </c>
      <c r="C37" s="127">
        <v>11388.8888888889</v>
      </c>
      <c r="D37" s="124">
        <f t="shared" si="0"/>
        <v>10011388.888888888</v>
      </c>
      <c r="E37" s="125">
        <v>44510</v>
      </c>
      <c r="F37" s="125">
        <v>44782</v>
      </c>
      <c r="G37" s="123" t="s">
        <v>784</v>
      </c>
      <c r="H37" s="126">
        <v>4.1000000000000002E-2</v>
      </c>
      <c r="I37" s="123" t="s">
        <v>785</v>
      </c>
      <c r="J37" s="123" t="s">
        <v>354</v>
      </c>
      <c r="K37" s="123" t="s">
        <v>339</v>
      </c>
      <c r="L37" s="117" t="s">
        <v>60</v>
      </c>
      <c r="M37" s="117" t="s">
        <v>786</v>
      </c>
      <c r="N37" s="117" t="s">
        <v>833</v>
      </c>
    </row>
    <row r="38" spans="1:14" hidden="1" x14ac:dyDescent="0.3">
      <c r="A38" s="123" t="s">
        <v>831</v>
      </c>
      <c r="B38" s="127">
        <v>14500000</v>
      </c>
      <c r="C38" s="127">
        <v>16513.888888888901</v>
      </c>
      <c r="D38" s="124">
        <f t="shared" si="0"/>
        <v>14516513.888888888</v>
      </c>
      <c r="E38" s="125">
        <v>44372</v>
      </c>
      <c r="F38" s="125">
        <v>44616</v>
      </c>
      <c r="G38" s="123" t="s">
        <v>784</v>
      </c>
      <c r="H38" s="126">
        <v>4.1000000000000002E-2</v>
      </c>
      <c r="I38" s="123" t="s">
        <v>785</v>
      </c>
      <c r="J38" s="123" t="s">
        <v>354</v>
      </c>
      <c r="K38" s="123" t="s">
        <v>339</v>
      </c>
      <c r="L38" s="117" t="s">
        <v>60</v>
      </c>
      <c r="M38" s="117" t="s">
        <v>786</v>
      </c>
      <c r="N38" s="117" t="s">
        <v>833</v>
      </c>
    </row>
    <row r="39" spans="1:14" hidden="1" x14ac:dyDescent="0.3">
      <c r="A39" s="123" t="s">
        <v>831</v>
      </c>
      <c r="B39" s="127">
        <v>50000000</v>
      </c>
      <c r="C39" s="127">
        <v>56944.444444444402</v>
      </c>
      <c r="D39" s="124">
        <f t="shared" si="0"/>
        <v>50056944.444444448</v>
      </c>
      <c r="E39" s="125">
        <v>44376</v>
      </c>
      <c r="F39" s="125">
        <v>44620</v>
      </c>
      <c r="G39" s="123" t="s">
        <v>784</v>
      </c>
      <c r="H39" s="126">
        <v>4.1000000000000002E-2</v>
      </c>
      <c r="I39" s="123" t="s">
        <v>785</v>
      </c>
      <c r="J39" s="123" t="s">
        <v>354</v>
      </c>
      <c r="K39" s="123" t="s">
        <v>339</v>
      </c>
      <c r="L39" s="117" t="s">
        <v>60</v>
      </c>
      <c r="M39" s="117" t="s">
        <v>786</v>
      </c>
      <c r="N39" s="117" t="s">
        <v>833</v>
      </c>
    </row>
    <row r="40" spans="1:14" hidden="1" x14ac:dyDescent="0.3">
      <c r="A40" s="123" t="s">
        <v>831</v>
      </c>
      <c r="B40" s="127">
        <v>50000000</v>
      </c>
      <c r="C40" s="127">
        <v>56944.444444444402</v>
      </c>
      <c r="D40" s="124">
        <f t="shared" si="0"/>
        <v>50056944.444444448</v>
      </c>
      <c r="E40" s="125">
        <v>44377</v>
      </c>
      <c r="F40" s="125">
        <v>44680</v>
      </c>
      <c r="G40" s="123" t="s">
        <v>784</v>
      </c>
      <c r="H40" s="126">
        <v>4.1000000000000002E-2</v>
      </c>
      <c r="I40" s="123" t="s">
        <v>785</v>
      </c>
      <c r="J40" s="123" t="s">
        <v>354</v>
      </c>
      <c r="K40" s="123" t="s">
        <v>339</v>
      </c>
      <c r="L40" s="117" t="s">
        <v>60</v>
      </c>
      <c r="M40" s="117" t="s">
        <v>786</v>
      </c>
      <c r="N40" s="117" t="s">
        <v>833</v>
      </c>
    </row>
    <row r="41" spans="1:14" hidden="1" x14ac:dyDescent="0.3">
      <c r="A41" s="123" t="s">
        <v>831</v>
      </c>
      <c r="B41" s="127">
        <v>3000000</v>
      </c>
      <c r="C41" s="127">
        <v>3416.6666666666702</v>
      </c>
      <c r="D41" s="124">
        <f t="shared" si="0"/>
        <v>3003416.6666666665</v>
      </c>
      <c r="E41" s="125">
        <v>44529</v>
      </c>
      <c r="F41" s="125">
        <v>44782</v>
      </c>
      <c r="G41" s="123" t="s">
        <v>784</v>
      </c>
      <c r="H41" s="126">
        <v>4.1000000000000002E-2</v>
      </c>
      <c r="I41" s="123" t="s">
        <v>785</v>
      </c>
      <c r="J41" s="123" t="s">
        <v>354</v>
      </c>
      <c r="K41" s="123" t="s">
        <v>339</v>
      </c>
      <c r="L41" s="117" t="s">
        <v>60</v>
      </c>
      <c r="M41" s="117" t="s">
        <v>786</v>
      </c>
      <c r="N41" s="117" t="s">
        <v>833</v>
      </c>
    </row>
    <row r="42" spans="1:14" hidden="1" x14ac:dyDescent="0.3">
      <c r="A42" s="123" t="s">
        <v>831</v>
      </c>
      <c r="B42" s="127">
        <v>5000000</v>
      </c>
      <c r="C42" s="127">
        <v>5694.4444444444398</v>
      </c>
      <c r="D42" s="124">
        <f t="shared" si="0"/>
        <v>5005694.444444444</v>
      </c>
      <c r="E42" s="125">
        <v>44533</v>
      </c>
      <c r="F42" s="125">
        <v>44782</v>
      </c>
      <c r="G42" s="123" t="s">
        <v>784</v>
      </c>
      <c r="H42" s="126">
        <v>4.1000000000000002E-2</v>
      </c>
      <c r="I42" s="123" t="s">
        <v>785</v>
      </c>
      <c r="J42" s="123" t="s">
        <v>354</v>
      </c>
      <c r="K42" s="123" t="s">
        <v>339</v>
      </c>
      <c r="L42" s="117" t="s">
        <v>60</v>
      </c>
      <c r="M42" s="117" t="s">
        <v>786</v>
      </c>
      <c r="N42" s="117" t="s">
        <v>833</v>
      </c>
    </row>
    <row r="43" spans="1:14" hidden="1" x14ac:dyDescent="0.3">
      <c r="A43" s="123" t="s">
        <v>831</v>
      </c>
      <c r="B43" s="127">
        <v>4500000</v>
      </c>
      <c r="C43" s="127">
        <v>5062.5</v>
      </c>
      <c r="D43" s="124">
        <f t="shared" si="0"/>
        <v>4505062.5</v>
      </c>
      <c r="E43" s="125">
        <v>44551</v>
      </c>
      <c r="F43" s="125">
        <v>44782</v>
      </c>
      <c r="G43" s="123" t="s">
        <v>784</v>
      </c>
      <c r="H43" s="126">
        <v>4.0500000000000001E-2</v>
      </c>
      <c r="I43" s="123" t="s">
        <v>785</v>
      </c>
      <c r="J43" s="123" t="s">
        <v>354</v>
      </c>
      <c r="K43" s="123" t="s">
        <v>339</v>
      </c>
      <c r="L43" s="117" t="s">
        <v>60</v>
      </c>
      <c r="M43" s="117" t="s">
        <v>786</v>
      </c>
      <c r="N43" s="117" t="s">
        <v>833</v>
      </c>
    </row>
    <row r="44" spans="1:14" hidden="1" x14ac:dyDescent="0.3">
      <c r="A44" s="123" t="s">
        <v>831</v>
      </c>
      <c r="B44" s="127">
        <v>10000000</v>
      </c>
      <c r="C44" s="127">
        <v>11388.8888888889</v>
      </c>
      <c r="D44" s="124">
        <f t="shared" si="0"/>
        <v>10011388.888888888</v>
      </c>
      <c r="E44" s="125">
        <v>44540</v>
      </c>
      <c r="F44" s="125">
        <v>44782</v>
      </c>
      <c r="G44" s="123" t="s">
        <v>784</v>
      </c>
      <c r="H44" s="126">
        <v>4.1000000000000002E-2</v>
      </c>
      <c r="I44" s="123" t="s">
        <v>785</v>
      </c>
      <c r="J44" s="123" t="s">
        <v>354</v>
      </c>
      <c r="K44" s="123" t="s">
        <v>339</v>
      </c>
      <c r="L44" s="117" t="s">
        <v>60</v>
      </c>
      <c r="M44" s="117" t="s">
        <v>786</v>
      </c>
      <c r="N44" s="117" t="s">
        <v>833</v>
      </c>
    </row>
    <row r="45" spans="1:14" hidden="1" x14ac:dyDescent="0.3">
      <c r="A45" s="123" t="s">
        <v>831</v>
      </c>
      <c r="B45" s="127">
        <v>27000000</v>
      </c>
      <c r="C45" s="127">
        <v>30750</v>
      </c>
      <c r="D45" s="124">
        <f t="shared" si="0"/>
        <v>27030750</v>
      </c>
      <c r="E45" s="125">
        <v>44561</v>
      </c>
      <c r="F45" s="125">
        <v>44806</v>
      </c>
      <c r="G45" s="123" t="s">
        <v>784</v>
      </c>
      <c r="H45" s="126">
        <v>4.1000000000000002E-2</v>
      </c>
      <c r="I45" s="123" t="s">
        <v>785</v>
      </c>
      <c r="J45" s="123" t="s">
        <v>354</v>
      </c>
      <c r="K45" s="123" t="s">
        <v>339</v>
      </c>
      <c r="L45" s="117" t="s">
        <v>60</v>
      </c>
      <c r="M45" s="117" t="s">
        <v>786</v>
      </c>
      <c r="N45" s="117" t="s">
        <v>833</v>
      </c>
    </row>
    <row r="46" spans="1:14" hidden="1" x14ac:dyDescent="0.3">
      <c r="A46" s="123" t="s">
        <v>831</v>
      </c>
      <c r="B46" s="127">
        <v>3500000</v>
      </c>
      <c r="C46" s="127">
        <v>3937.5</v>
      </c>
      <c r="D46" s="124">
        <f t="shared" si="0"/>
        <v>3503937.5</v>
      </c>
      <c r="E46" s="125">
        <v>44551</v>
      </c>
      <c r="F46" s="125">
        <v>44806</v>
      </c>
      <c r="G46" s="123" t="s">
        <v>784</v>
      </c>
      <c r="H46" s="126">
        <v>4.0500000000000001E-2</v>
      </c>
      <c r="I46" s="123" t="s">
        <v>785</v>
      </c>
      <c r="J46" s="123" t="s">
        <v>354</v>
      </c>
      <c r="K46" s="123" t="s">
        <v>339</v>
      </c>
      <c r="L46" s="117" t="s">
        <v>60</v>
      </c>
      <c r="M46" s="117" t="s">
        <v>786</v>
      </c>
      <c r="N46" s="117" t="s">
        <v>833</v>
      </c>
    </row>
    <row r="47" spans="1:14" hidden="1" x14ac:dyDescent="0.3">
      <c r="A47" s="123" t="s">
        <v>831</v>
      </c>
      <c r="B47" s="127">
        <v>296156.78000000003</v>
      </c>
      <c r="C47" s="127">
        <v>333.1763775</v>
      </c>
      <c r="D47" s="124">
        <f t="shared" si="0"/>
        <v>296489.95637750003</v>
      </c>
      <c r="E47" s="125">
        <v>44389</v>
      </c>
      <c r="F47" s="125">
        <v>44708</v>
      </c>
      <c r="G47" s="123" t="s">
        <v>784</v>
      </c>
      <c r="H47" s="126">
        <v>4.0500000000000001E-2</v>
      </c>
      <c r="I47" s="123" t="s">
        <v>835</v>
      </c>
      <c r="J47" s="123"/>
      <c r="K47" s="123" t="s">
        <v>339</v>
      </c>
      <c r="L47" s="117" t="s">
        <v>60</v>
      </c>
      <c r="M47" s="117" t="s">
        <v>786</v>
      </c>
      <c r="N47" s="117" t="s">
        <v>833</v>
      </c>
    </row>
    <row r="48" spans="1:14" hidden="1" x14ac:dyDescent="0.3">
      <c r="A48" s="123" t="s">
        <v>831</v>
      </c>
      <c r="B48" s="127">
        <v>2300000</v>
      </c>
      <c r="C48" s="127">
        <v>2587.5</v>
      </c>
      <c r="D48" s="124">
        <f t="shared" si="0"/>
        <v>2302587.5</v>
      </c>
      <c r="E48" s="125">
        <v>44344</v>
      </c>
      <c r="F48" s="125">
        <v>44708</v>
      </c>
      <c r="G48" s="123" t="s">
        <v>784</v>
      </c>
      <c r="H48" s="126">
        <v>4.0500000000000001E-2</v>
      </c>
      <c r="I48" s="123" t="s">
        <v>835</v>
      </c>
      <c r="J48" s="123"/>
      <c r="K48" s="123" t="s">
        <v>339</v>
      </c>
      <c r="L48" s="117" t="s">
        <v>60</v>
      </c>
      <c r="M48" s="117" t="s">
        <v>786</v>
      </c>
      <c r="N48" s="117" t="s">
        <v>833</v>
      </c>
    </row>
    <row r="49" spans="1:14" hidden="1" x14ac:dyDescent="0.3">
      <c r="A49" s="123" t="s">
        <v>834</v>
      </c>
      <c r="B49" s="127">
        <v>2500000</v>
      </c>
      <c r="C49" s="127">
        <v>4166.6666666666697</v>
      </c>
      <c r="D49" s="124">
        <f t="shared" si="0"/>
        <v>2504166.6666666665</v>
      </c>
      <c r="E49" s="125">
        <v>44493</v>
      </c>
      <c r="F49" s="125">
        <v>44858</v>
      </c>
      <c r="G49" s="123" t="s">
        <v>784</v>
      </c>
      <c r="H49" s="126">
        <v>0.06</v>
      </c>
      <c r="I49" s="123" t="s">
        <v>835</v>
      </c>
      <c r="J49" s="123"/>
      <c r="K49" s="123" t="s">
        <v>977</v>
      </c>
      <c r="L49" s="117" t="s">
        <v>60</v>
      </c>
      <c r="M49" s="117" t="s">
        <v>786</v>
      </c>
      <c r="N49" s="117" t="s">
        <v>837</v>
      </c>
    </row>
    <row r="50" spans="1:14" hidden="1" x14ac:dyDescent="0.3">
      <c r="A50" s="123" t="s">
        <v>834</v>
      </c>
      <c r="B50" s="127">
        <v>2500000</v>
      </c>
      <c r="C50" s="127">
        <v>4166.6666666666697</v>
      </c>
      <c r="D50" s="124">
        <f t="shared" si="0"/>
        <v>2504166.6666666665</v>
      </c>
      <c r="E50" s="125">
        <v>44493</v>
      </c>
      <c r="F50" s="125">
        <v>44858</v>
      </c>
      <c r="G50" s="123" t="s">
        <v>784</v>
      </c>
      <c r="H50" s="126">
        <v>0.06</v>
      </c>
      <c r="I50" s="123" t="s">
        <v>835</v>
      </c>
      <c r="J50" s="123"/>
      <c r="K50" s="123" t="s">
        <v>977</v>
      </c>
      <c r="L50" s="117" t="s">
        <v>60</v>
      </c>
      <c r="M50" s="117" t="s">
        <v>786</v>
      </c>
      <c r="N50" s="117" t="s">
        <v>837</v>
      </c>
    </row>
    <row r="51" spans="1:14" hidden="1" x14ac:dyDescent="0.3">
      <c r="A51" s="123" t="s">
        <v>834</v>
      </c>
      <c r="B51" s="127">
        <v>2500000</v>
      </c>
      <c r="C51" s="127">
        <v>3819.4444444444398</v>
      </c>
      <c r="D51" s="124">
        <f t="shared" si="0"/>
        <v>2503819.4444444445</v>
      </c>
      <c r="E51" s="125">
        <v>44489</v>
      </c>
      <c r="F51" s="125">
        <v>44852</v>
      </c>
      <c r="G51" s="123" t="s">
        <v>784</v>
      </c>
      <c r="H51" s="126">
        <v>5.5E-2</v>
      </c>
      <c r="I51" s="123" t="s">
        <v>785</v>
      </c>
      <c r="J51" s="123" t="s">
        <v>978</v>
      </c>
      <c r="K51" s="123" t="s">
        <v>979</v>
      </c>
      <c r="L51" s="117" t="s">
        <v>60</v>
      </c>
      <c r="M51" s="117" t="s">
        <v>786</v>
      </c>
      <c r="N51" s="117" t="s">
        <v>837</v>
      </c>
    </row>
    <row r="52" spans="1:14" hidden="1" x14ac:dyDescent="0.3">
      <c r="A52" s="123" t="s">
        <v>834</v>
      </c>
      <c r="B52" s="127">
        <v>3500000</v>
      </c>
      <c r="C52" s="127">
        <v>5347.2222222222199</v>
      </c>
      <c r="D52" s="124">
        <f t="shared" si="0"/>
        <v>3505347.222222222</v>
      </c>
      <c r="E52" s="125">
        <v>44489</v>
      </c>
      <c r="F52" s="125">
        <v>44852</v>
      </c>
      <c r="G52" s="123" t="s">
        <v>784</v>
      </c>
      <c r="H52" s="126">
        <v>5.5E-2</v>
      </c>
      <c r="I52" s="123" t="s">
        <v>785</v>
      </c>
      <c r="J52" s="123"/>
      <c r="K52" s="123" t="s">
        <v>979</v>
      </c>
      <c r="L52" s="117" t="s">
        <v>60</v>
      </c>
      <c r="M52" s="117" t="s">
        <v>786</v>
      </c>
      <c r="N52" s="117" t="s">
        <v>837</v>
      </c>
    </row>
    <row r="53" spans="1:14" hidden="1" x14ac:dyDescent="0.3">
      <c r="A53" s="123" t="s">
        <v>834</v>
      </c>
      <c r="B53" s="127">
        <v>5000000</v>
      </c>
      <c r="C53" s="127">
        <v>8333.3333333333303</v>
      </c>
      <c r="D53" s="124">
        <f t="shared" si="0"/>
        <v>5008333.333333333</v>
      </c>
      <c r="E53" s="125">
        <v>44495</v>
      </c>
      <c r="F53" s="125">
        <v>44854</v>
      </c>
      <c r="G53" s="123" t="s">
        <v>784</v>
      </c>
      <c r="H53" s="126">
        <v>0.06</v>
      </c>
      <c r="I53" s="123" t="s">
        <v>842</v>
      </c>
      <c r="J53" s="123" t="s">
        <v>843</v>
      </c>
      <c r="K53" s="123" t="s">
        <v>980</v>
      </c>
      <c r="L53" s="117" t="s">
        <v>60</v>
      </c>
      <c r="M53" s="117" t="s">
        <v>786</v>
      </c>
      <c r="N53" s="117" t="s">
        <v>837</v>
      </c>
    </row>
    <row r="54" spans="1:14" hidden="1" x14ac:dyDescent="0.3">
      <c r="A54" s="123" t="s">
        <v>614</v>
      </c>
      <c r="B54" s="127">
        <v>50000000</v>
      </c>
      <c r="C54" s="127">
        <v>66666.666666666701</v>
      </c>
      <c r="D54" s="124">
        <f t="shared" si="0"/>
        <v>50066666.666666664</v>
      </c>
      <c r="E54" s="125">
        <v>44337</v>
      </c>
      <c r="F54" s="125">
        <v>44740</v>
      </c>
      <c r="G54" s="123" t="s">
        <v>784</v>
      </c>
      <c r="H54" s="126">
        <v>4.8000000000000001E-2</v>
      </c>
      <c r="I54" s="123" t="s">
        <v>785</v>
      </c>
      <c r="J54" s="123" t="s">
        <v>354</v>
      </c>
      <c r="K54" s="123" t="s">
        <v>339</v>
      </c>
      <c r="L54" s="117" t="s">
        <v>60</v>
      </c>
      <c r="M54" s="117" t="s">
        <v>786</v>
      </c>
      <c r="N54" s="117" t="s">
        <v>789</v>
      </c>
    </row>
    <row r="55" spans="1:14" hidden="1" x14ac:dyDescent="0.3">
      <c r="A55" s="123" t="s">
        <v>845</v>
      </c>
      <c r="B55" s="127">
        <v>20000000</v>
      </c>
      <c r="C55" s="127">
        <v>31666.666666666701</v>
      </c>
      <c r="D55" s="124">
        <f t="shared" si="0"/>
        <v>20031666.666666668</v>
      </c>
      <c r="E55" s="125">
        <v>44384</v>
      </c>
      <c r="F55" s="125">
        <v>44749</v>
      </c>
      <c r="G55" s="123" t="s">
        <v>784</v>
      </c>
      <c r="H55" s="126">
        <v>5.7000000000000002E-2</v>
      </c>
      <c r="I55" s="123" t="s">
        <v>842</v>
      </c>
      <c r="J55" s="123" t="s">
        <v>354</v>
      </c>
      <c r="K55" s="123" t="s">
        <v>339</v>
      </c>
      <c r="L55" s="117" t="s">
        <v>60</v>
      </c>
      <c r="M55" s="117" t="s">
        <v>786</v>
      </c>
      <c r="N55" s="117" t="s">
        <v>789</v>
      </c>
    </row>
    <row r="56" spans="1:14" hidden="1" x14ac:dyDescent="0.3">
      <c r="A56" s="123" t="s">
        <v>845</v>
      </c>
      <c r="B56" s="127">
        <v>20000000</v>
      </c>
      <c r="C56" s="127">
        <v>31666.666666666701</v>
      </c>
      <c r="D56" s="124">
        <f t="shared" si="0"/>
        <v>20031666.666666668</v>
      </c>
      <c r="E56" s="125">
        <v>44389</v>
      </c>
      <c r="F56" s="125">
        <v>44754</v>
      </c>
      <c r="G56" s="123" t="s">
        <v>784</v>
      </c>
      <c r="H56" s="126">
        <v>5.7000000000000002E-2</v>
      </c>
      <c r="I56" s="123" t="s">
        <v>842</v>
      </c>
      <c r="J56" s="123" t="s">
        <v>354</v>
      </c>
      <c r="K56" s="123" t="s">
        <v>339</v>
      </c>
      <c r="L56" s="117" t="s">
        <v>60</v>
      </c>
      <c r="M56" s="117" t="s">
        <v>786</v>
      </c>
      <c r="N56" s="117" t="s">
        <v>789</v>
      </c>
    </row>
    <row r="57" spans="1:14" hidden="1" x14ac:dyDescent="0.3">
      <c r="A57" s="123" t="s">
        <v>846</v>
      </c>
      <c r="B57" s="127">
        <v>25000000</v>
      </c>
      <c r="C57" s="127">
        <v>37986.111111111102</v>
      </c>
      <c r="D57" s="124">
        <f t="shared" si="0"/>
        <v>25037986.111111112</v>
      </c>
      <c r="E57" s="125">
        <v>44344</v>
      </c>
      <c r="F57" s="125">
        <v>44709</v>
      </c>
      <c r="G57" s="123" t="s">
        <v>784</v>
      </c>
      <c r="H57" s="126">
        <v>5.4699999999999999E-2</v>
      </c>
      <c r="I57" s="123" t="s">
        <v>785</v>
      </c>
      <c r="J57" s="123" t="s">
        <v>354</v>
      </c>
      <c r="K57" s="123" t="s">
        <v>339</v>
      </c>
      <c r="L57" s="117" t="s">
        <v>60</v>
      </c>
      <c r="M57" s="117" t="s">
        <v>786</v>
      </c>
      <c r="N57" s="117" t="s">
        <v>794</v>
      </c>
    </row>
    <row r="58" spans="1:14" hidden="1" x14ac:dyDescent="0.3">
      <c r="A58" s="123" t="s">
        <v>849</v>
      </c>
      <c r="B58" s="127">
        <v>200000000</v>
      </c>
      <c r="C58" s="127">
        <v>283333.33333333302</v>
      </c>
      <c r="D58" s="124">
        <f t="shared" si="0"/>
        <v>200283333.33333334</v>
      </c>
      <c r="E58" s="125">
        <v>44523</v>
      </c>
      <c r="F58" s="125">
        <v>44888</v>
      </c>
      <c r="G58" s="123" t="s">
        <v>784</v>
      </c>
      <c r="H58" s="126">
        <v>5.0999999999999997E-2</v>
      </c>
      <c r="I58" s="123" t="s">
        <v>785</v>
      </c>
      <c r="J58" s="123" t="s">
        <v>354</v>
      </c>
      <c r="K58" s="123" t="s">
        <v>339</v>
      </c>
      <c r="L58" s="117" t="s">
        <v>60</v>
      </c>
      <c r="M58" s="117" t="s">
        <v>786</v>
      </c>
      <c r="N58" s="117" t="s">
        <v>794</v>
      </c>
    </row>
    <row r="59" spans="1:14" hidden="1" x14ac:dyDescent="0.3">
      <c r="A59" s="123" t="s">
        <v>981</v>
      </c>
      <c r="B59" s="127">
        <v>13000000</v>
      </c>
      <c r="C59" s="127">
        <v>22777.083333333299</v>
      </c>
      <c r="D59" s="124">
        <f t="shared" si="0"/>
        <v>13022777.083333334</v>
      </c>
      <c r="E59" s="125">
        <v>44544</v>
      </c>
      <c r="F59" s="125">
        <v>44909</v>
      </c>
      <c r="G59" s="123" t="s">
        <v>784</v>
      </c>
      <c r="H59" s="126">
        <v>6.3075000000000006E-2</v>
      </c>
      <c r="I59" s="123" t="s">
        <v>842</v>
      </c>
      <c r="J59" s="123" t="s">
        <v>982</v>
      </c>
      <c r="K59" s="123" t="s">
        <v>983</v>
      </c>
      <c r="L59" s="117" t="s">
        <v>60</v>
      </c>
      <c r="M59" s="117" t="s">
        <v>786</v>
      </c>
      <c r="N59" s="117" t="s">
        <v>787</v>
      </c>
    </row>
    <row r="60" spans="1:14" hidden="1" x14ac:dyDescent="0.3">
      <c r="A60" s="123" t="s">
        <v>854</v>
      </c>
      <c r="B60" s="127">
        <v>5000000</v>
      </c>
      <c r="C60" s="127">
        <v>8750</v>
      </c>
      <c r="D60" s="124">
        <f t="shared" si="0"/>
        <v>5008750</v>
      </c>
      <c r="E60" s="125">
        <v>44295</v>
      </c>
      <c r="F60" s="125">
        <v>44659</v>
      </c>
      <c r="G60" s="123" t="s">
        <v>784</v>
      </c>
      <c r="H60" s="126">
        <v>6.3E-2</v>
      </c>
      <c r="I60" s="123" t="s">
        <v>785</v>
      </c>
      <c r="J60" s="123" t="s">
        <v>354</v>
      </c>
      <c r="K60" s="123" t="s">
        <v>983</v>
      </c>
      <c r="L60" s="117" t="s">
        <v>60</v>
      </c>
      <c r="M60" s="117" t="s">
        <v>786</v>
      </c>
      <c r="N60" s="117" t="s">
        <v>789</v>
      </c>
    </row>
    <row r="61" spans="1:14" hidden="1" x14ac:dyDescent="0.3">
      <c r="A61" s="123" t="s">
        <v>854</v>
      </c>
      <c r="B61" s="127">
        <v>5000000</v>
      </c>
      <c r="C61" s="127">
        <v>8750</v>
      </c>
      <c r="D61" s="124">
        <f t="shared" si="0"/>
        <v>5008750</v>
      </c>
      <c r="E61" s="125">
        <v>44295</v>
      </c>
      <c r="F61" s="125">
        <v>44659</v>
      </c>
      <c r="G61" s="123" t="s">
        <v>784</v>
      </c>
      <c r="H61" s="126">
        <v>6.3E-2</v>
      </c>
      <c r="I61" s="123" t="s">
        <v>785</v>
      </c>
      <c r="J61" s="123" t="s">
        <v>354</v>
      </c>
      <c r="K61" s="123" t="s">
        <v>983</v>
      </c>
      <c r="L61" s="117" t="s">
        <v>60</v>
      </c>
      <c r="M61" s="117" t="s">
        <v>786</v>
      </c>
      <c r="N61" s="117" t="s">
        <v>789</v>
      </c>
    </row>
    <row r="62" spans="1:14" hidden="1" x14ac:dyDescent="0.3">
      <c r="A62" s="123" t="s">
        <v>852</v>
      </c>
      <c r="B62" s="127">
        <v>100000000</v>
      </c>
      <c r="C62" s="127">
        <v>120833.33333333299</v>
      </c>
      <c r="D62" s="124">
        <f t="shared" si="0"/>
        <v>100120833.33333333</v>
      </c>
      <c r="E62" s="125">
        <v>44526</v>
      </c>
      <c r="F62" s="125">
        <v>44891</v>
      </c>
      <c r="G62" s="123" t="s">
        <v>784</v>
      </c>
      <c r="H62" s="126">
        <v>4.3499999999999997E-2</v>
      </c>
      <c r="I62" s="123" t="s">
        <v>799</v>
      </c>
      <c r="J62" s="123" t="s">
        <v>860</v>
      </c>
      <c r="K62" s="123" t="s">
        <v>984</v>
      </c>
      <c r="L62" s="117" t="s">
        <v>60</v>
      </c>
      <c r="M62" s="117" t="s">
        <v>786</v>
      </c>
      <c r="N62" s="117" t="s">
        <v>794</v>
      </c>
    </row>
    <row r="63" spans="1:14" hidden="1" x14ac:dyDescent="0.3">
      <c r="A63" s="123" t="s">
        <v>981</v>
      </c>
      <c r="B63" s="127">
        <v>9500000</v>
      </c>
      <c r="C63" s="127">
        <v>11479.166666666701</v>
      </c>
      <c r="D63" s="124">
        <f t="shared" si="0"/>
        <v>9511479.166666666</v>
      </c>
      <c r="E63" s="125">
        <v>44427</v>
      </c>
      <c r="F63" s="125">
        <v>44786</v>
      </c>
      <c r="G63" s="123" t="s">
        <v>784</v>
      </c>
      <c r="H63" s="126">
        <v>4.3499999999999997E-2</v>
      </c>
      <c r="I63" s="123" t="s">
        <v>799</v>
      </c>
      <c r="J63" s="123" t="s">
        <v>860</v>
      </c>
      <c r="K63" s="123" t="s">
        <v>985</v>
      </c>
      <c r="L63" s="117" t="s">
        <v>60</v>
      </c>
      <c r="M63" s="117" t="s">
        <v>786</v>
      </c>
      <c r="N63" s="117" t="s">
        <v>787</v>
      </c>
    </row>
    <row r="64" spans="1:14" hidden="1" x14ac:dyDescent="0.3">
      <c r="A64" s="123" t="s">
        <v>981</v>
      </c>
      <c r="B64" s="127">
        <v>9500000</v>
      </c>
      <c r="C64" s="127">
        <v>11479.166666666701</v>
      </c>
      <c r="D64" s="124">
        <f t="shared" si="0"/>
        <v>9511479.166666666</v>
      </c>
      <c r="E64" s="125">
        <v>44427</v>
      </c>
      <c r="F64" s="125">
        <v>44786</v>
      </c>
      <c r="G64" s="123" t="s">
        <v>784</v>
      </c>
      <c r="H64" s="126">
        <v>4.3499999999999997E-2</v>
      </c>
      <c r="I64" s="123" t="s">
        <v>799</v>
      </c>
      <c r="J64" s="123" t="s">
        <v>860</v>
      </c>
      <c r="K64" s="123" t="s">
        <v>986</v>
      </c>
      <c r="L64" s="117" t="s">
        <v>60</v>
      </c>
      <c r="M64" s="117" t="s">
        <v>786</v>
      </c>
      <c r="N64" s="117" t="s">
        <v>787</v>
      </c>
    </row>
    <row r="65" spans="1:14" hidden="1" x14ac:dyDescent="0.3">
      <c r="A65" s="123" t="s">
        <v>981</v>
      </c>
      <c r="B65" s="127">
        <v>9500000</v>
      </c>
      <c r="C65" s="127">
        <v>11479.166666666701</v>
      </c>
      <c r="D65" s="124">
        <f t="shared" si="0"/>
        <v>9511479.166666666</v>
      </c>
      <c r="E65" s="125">
        <v>44427</v>
      </c>
      <c r="F65" s="125">
        <v>44786</v>
      </c>
      <c r="G65" s="123" t="s">
        <v>784</v>
      </c>
      <c r="H65" s="126">
        <v>4.3499999999999997E-2</v>
      </c>
      <c r="I65" s="123" t="s">
        <v>799</v>
      </c>
      <c r="J65" s="123" t="s">
        <v>860</v>
      </c>
      <c r="K65" s="123" t="s">
        <v>984</v>
      </c>
      <c r="L65" s="117" t="s">
        <v>60</v>
      </c>
      <c r="M65" s="117" t="s">
        <v>786</v>
      </c>
      <c r="N65" s="117" t="s">
        <v>787</v>
      </c>
    </row>
    <row r="66" spans="1:14" hidden="1" x14ac:dyDescent="0.3">
      <c r="A66" s="123" t="s">
        <v>856</v>
      </c>
      <c r="B66" s="127">
        <v>9000000</v>
      </c>
      <c r="C66" s="127">
        <v>10250</v>
      </c>
      <c r="D66" s="124">
        <f t="shared" ref="D66:D74" si="1">B66+C66</f>
        <v>9010250</v>
      </c>
      <c r="E66" s="125">
        <v>44501</v>
      </c>
      <c r="F66" s="125">
        <v>44865</v>
      </c>
      <c r="G66" s="123" t="s">
        <v>784</v>
      </c>
      <c r="H66" s="126">
        <v>4.1000000000000002E-2</v>
      </c>
      <c r="I66" s="123" t="s">
        <v>785</v>
      </c>
      <c r="J66" s="123" t="s">
        <v>857</v>
      </c>
      <c r="K66" s="123" t="s">
        <v>987</v>
      </c>
      <c r="L66" s="117" t="s">
        <v>60</v>
      </c>
      <c r="M66" s="117" t="s">
        <v>786</v>
      </c>
      <c r="N66" s="117" t="s">
        <v>794</v>
      </c>
    </row>
    <row r="67" spans="1:14" hidden="1" x14ac:dyDescent="0.3">
      <c r="A67" s="123" t="s">
        <v>856</v>
      </c>
      <c r="B67" s="127">
        <v>6000000</v>
      </c>
      <c r="C67" s="127">
        <v>7250</v>
      </c>
      <c r="D67" s="124">
        <f t="shared" si="1"/>
        <v>6007250</v>
      </c>
      <c r="E67" s="125">
        <v>44349</v>
      </c>
      <c r="F67" s="125">
        <v>44713</v>
      </c>
      <c r="G67" s="123" t="s">
        <v>784</v>
      </c>
      <c r="H67" s="126">
        <v>4.3499999999999997E-2</v>
      </c>
      <c r="I67" s="123" t="s">
        <v>785</v>
      </c>
      <c r="J67" s="123" t="s">
        <v>988</v>
      </c>
      <c r="K67" s="123" t="s">
        <v>989</v>
      </c>
      <c r="L67" s="117" t="s">
        <v>60</v>
      </c>
      <c r="M67" s="117" t="s">
        <v>786</v>
      </c>
      <c r="N67" s="117" t="s">
        <v>794</v>
      </c>
    </row>
    <row r="68" spans="1:14" hidden="1" x14ac:dyDescent="0.3">
      <c r="A68" s="123" t="s">
        <v>856</v>
      </c>
      <c r="B68" s="127">
        <v>7000000</v>
      </c>
      <c r="C68" s="127">
        <v>7972.2222222222199</v>
      </c>
      <c r="D68" s="124">
        <f t="shared" si="1"/>
        <v>7007972.222222222</v>
      </c>
      <c r="E68" s="125">
        <v>44547</v>
      </c>
      <c r="F68" s="125">
        <v>44910</v>
      </c>
      <c r="G68" s="123" t="s">
        <v>784</v>
      </c>
      <c r="H68" s="126">
        <v>4.1000000000000002E-2</v>
      </c>
      <c r="I68" s="123" t="s">
        <v>785</v>
      </c>
      <c r="J68" s="123" t="s">
        <v>857</v>
      </c>
      <c r="K68" s="123" t="s">
        <v>985</v>
      </c>
      <c r="L68" s="117" t="s">
        <v>60</v>
      </c>
      <c r="M68" s="117" t="s">
        <v>786</v>
      </c>
      <c r="N68" s="117" t="s">
        <v>794</v>
      </c>
    </row>
    <row r="69" spans="1:14" hidden="1" x14ac:dyDescent="0.3">
      <c r="A69" s="123" t="s">
        <v>856</v>
      </c>
      <c r="B69" s="127">
        <v>7000000</v>
      </c>
      <c r="C69" s="127">
        <v>7972.2222222222199</v>
      </c>
      <c r="D69" s="124">
        <f t="shared" si="1"/>
        <v>7007972.222222222</v>
      </c>
      <c r="E69" s="125">
        <v>44547</v>
      </c>
      <c r="F69" s="125">
        <v>44910</v>
      </c>
      <c r="G69" s="123" t="s">
        <v>784</v>
      </c>
      <c r="H69" s="126">
        <v>4.1000000000000002E-2</v>
      </c>
      <c r="I69" s="123" t="s">
        <v>785</v>
      </c>
      <c r="J69" s="123" t="s">
        <v>857</v>
      </c>
      <c r="K69" s="123" t="s">
        <v>986</v>
      </c>
      <c r="L69" s="117" t="s">
        <v>60</v>
      </c>
      <c r="M69" s="117" t="s">
        <v>786</v>
      </c>
      <c r="N69" s="117" t="s">
        <v>794</v>
      </c>
    </row>
    <row r="70" spans="1:14" hidden="1" x14ac:dyDescent="0.3">
      <c r="A70" s="123" t="s">
        <v>856</v>
      </c>
      <c r="B70" s="127">
        <v>7500000</v>
      </c>
      <c r="C70" s="127">
        <v>8541.6666666666697</v>
      </c>
      <c r="D70" s="124">
        <f t="shared" si="1"/>
        <v>7508541.666666667</v>
      </c>
      <c r="E70" s="125">
        <v>44517</v>
      </c>
      <c r="F70" s="125">
        <v>44881</v>
      </c>
      <c r="G70" s="123" t="s">
        <v>784</v>
      </c>
      <c r="H70" s="126">
        <v>4.1000000000000002E-2</v>
      </c>
      <c r="I70" s="123" t="s">
        <v>785</v>
      </c>
      <c r="J70" s="123" t="s">
        <v>857</v>
      </c>
      <c r="K70" s="123" t="s">
        <v>990</v>
      </c>
      <c r="L70" s="117" t="s">
        <v>60</v>
      </c>
      <c r="M70" s="117" t="s">
        <v>786</v>
      </c>
      <c r="N70" s="117" t="s">
        <v>794</v>
      </c>
    </row>
    <row r="71" spans="1:14" hidden="1" x14ac:dyDescent="0.3">
      <c r="A71" s="123" t="s">
        <v>856</v>
      </c>
      <c r="B71" s="127">
        <v>7500000</v>
      </c>
      <c r="C71" s="127">
        <v>8541.6666666666697</v>
      </c>
      <c r="D71" s="124">
        <f t="shared" si="1"/>
        <v>7508541.666666667</v>
      </c>
      <c r="E71" s="125">
        <v>44517</v>
      </c>
      <c r="F71" s="125">
        <v>44881</v>
      </c>
      <c r="G71" s="123" t="s">
        <v>784</v>
      </c>
      <c r="H71" s="126">
        <v>4.1000000000000002E-2</v>
      </c>
      <c r="I71" s="123" t="s">
        <v>785</v>
      </c>
      <c r="J71" s="123" t="s">
        <v>857</v>
      </c>
      <c r="K71" s="123" t="s">
        <v>984</v>
      </c>
      <c r="L71" s="117" t="s">
        <v>60</v>
      </c>
      <c r="M71" s="117" t="s">
        <v>786</v>
      </c>
      <c r="N71" s="117" t="s">
        <v>794</v>
      </c>
    </row>
    <row r="72" spans="1:14" hidden="1" x14ac:dyDescent="0.3">
      <c r="A72" s="123" t="s">
        <v>856</v>
      </c>
      <c r="B72" s="127">
        <v>7000000</v>
      </c>
      <c r="C72" s="127">
        <v>8458.3333333333303</v>
      </c>
      <c r="D72" s="124">
        <f t="shared" si="1"/>
        <v>7008458.333333333</v>
      </c>
      <c r="E72" s="125">
        <v>44349</v>
      </c>
      <c r="F72" s="125">
        <v>44713</v>
      </c>
      <c r="G72" s="123" t="s">
        <v>784</v>
      </c>
      <c r="H72" s="126">
        <v>4.3499999999999997E-2</v>
      </c>
      <c r="I72" s="123" t="s">
        <v>785</v>
      </c>
      <c r="J72" s="123" t="s">
        <v>988</v>
      </c>
      <c r="K72" s="123" t="s">
        <v>991</v>
      </c>
      <c r="L72" s="117" t="s">
        <v>60</v>
      </c>
      <c r="M72" s="117" t="s">
        <v>786</v>
      </c>
      <c r="N72" s="117" t="s">
        <v>794</v>
      </c>
    </row>
    <row r="73" spans="1:14" hidden="1" x14ac:dyDescent="0.3">
      <c r="A73" s="123" t="s">
        <v>792</v>
      </c>
      <c r="B73" s="127">
        <v>10000000</v>
      </c>
      <c r="C73" s="127">
        <v>13888.8888888889</v>
      </c>
      <c r="D73" s="124">
        <f t="shared" si="1"/>
        <v>10013888.888888888</v>
      </c>
      <c r="E73" s="125">
        <v>44482</v>
      </c>
      <c r="F73" s="125">
        <v>44846</v>
      </c>
      <c r="G73" s="123" t="s">
        <v>784</v>
      </c>
      <c r="H73" s="126">
        <v>0.05</v>
      </c>
      <c r="I73" s="123" t="s">
        <v>842</v>
      </c>
      <c r="J73" s="123" t="s">
        <v>855</v>
      </c>
      <c r="K73" s="123" t="s">
        <v>655</v>
      </c>
      <c r="L73" s="117" t="s">
        <v>60</v>
      </c>
      <c r="M73" s="117" t="s">
        <v>786</v>
      </c>
      <c r="N73" s="117" t="s">
        <v>787</v>
      </c>
    </row>
    <row r="74" spans="1:14" hidden="1" x14ac:dyDescent="0.3">
      <c r="A74" s="123" t="s">
        <v>856</v>
      </c>
      <c r="B74" s="127">
        <v>10000000</v>
      </c>
      <c r="C74" s="127">
        <v>12083.333333333299</v>
      </c>
      <c r="D74" s="124">
        <f t="shared" si="1"/>
        <v>10012083.333333334</v>
      </c>
      <c r="E74" s="125">
        <v>44286</v>
      </c>
      <c r="F74" s="125">
        <v>44650</v>
      </c>
      <c r="G74" s="123" t="s">
        <v>784</v>
      </c>
      <c r="H74" s="126">
        <v>4.3499999999999997E-2</v>
      </c>
      <c r="I74" s="123" t="s">
        <v>785</v>
      </c>
      <c r="J74" s="123" t="s">
        <v>857</v>
      </c>
      <c r="K74" s="123" t="s">
        <v>655</v>
      </c>
      <c r="L74" s="117" t="s">
        <v>60</v>
      </c>
      <c r="M74" s="117" t="s">
        <v>786</v>
      </c>
      <c r="N74" s="117" t="s">
        <v>794</v>
      </c>
    </row>
    <row r="75" spans="1:14" hidden="1" x14ac:dyDescent="0.3">
      <c r="A75" s="128" t="s">
        <v>899</v>
      </c>
      <c r="D75" s="129">
        <v>174000000</v>
      </c>
      <c r="E75" s="130">
        <v>42744</v>
      </c>
      <c r="F75" s="130">
        <v>46387</v>
      </c>
      <c r="G75" s="123" t="s">
        <v>784</v>
      </c>
      <c r="H75" s="131">
        <v>5.1450000000000003E-2</v>
      </c>
      <c r="I75" s="140" t="s">
        <v>992</v>
      </c>
      <c r="J75" s="141" t="s">
        <v>348</v>
      </c>
      <c r="K75" s="135" t="s">
        <v>334</v>
      </c>
      <c r="L75" s="117" t="s">
        <v>77</v>
      </c>
      <c r="M75" s="117" t="s">
        <v>786</v>
      </c>
      <c r="N75" s="117" t="s">
        <v>794</v>
      </c>
    </row>
    <row r="76" spans="1:14" hidden="1" x14ac:dyDescent="0.3">
      <c r="A76" s="128" t="s">
        <v>899</v>
      </c>
      <c r="D76" s="129">
        <v>60000000</v>
      </c>
      <c r="E76" s="130">
        <v>43144</v>
      </c>
      <c r="F76" s="130">
        <v>46749</v>
      </c>
      <c r="G76" s="123" t="s">
        <v>784</v>
      </c>
      <c r="H76" s="132">
        <v>5.8799999999999998E-2</v>
      </c>
      <c r="I76" s="140" t="s">
        <v>799</v>
      </c>
      <c r="J76" s="141" t="s">
        <v>993</v>
      </c>
      <c r="K76" s="135" t="s">
        <v>334</v>
      </c>
      <c r="L76" s="117" t="s">
        <v>77</v>
      </c>
      <c r="M76" s="117" t="s">
        <v>786</v>
      </c>
      <c r="N76" s="117" t="s">
        <v>794</v>
      </c>
    </row>
    <row r="77" spans="1:14" hidden="1" x14ac:dyDescent="0.3">
      <c r="A77" s="128" t="s">
        <v>899</v>
      </c>
      <c r="D77" s="129">
        <v>50000000</v>
      </c>
      <c r="E77" s="130">
        <v>43172</v>
      </c>
      <c r="F77" s="130">
        <v>46749</v>
      </c>
      <c r="G77" s="123" t="s">
        <v>784</v>
      </c>
      <c r="H77" s="132">
        <v>5.8799999999999998E-2</v>
      </c>
      <c r="I77" s="140" t="s">
        <v>799</v>
      </c>
      <c r="J77" s="443" t="s">
        <v>994</v>
      </c>
      <c r="K77" s="135" t="s">
        <v>334</v>
      </c>
      <c r="L77" s="117" t="s">
        <v>77</v>
      </c>
      <c r="M77" s="117" t="s">
        <v>786</v>
      </c>
      <c r="N77" s="117" t="s">
        <v>794</v>
      </c>
    </row>
    <row r="78" spans="1:14" hidden="1" x14ac:dyDescent="0.3">
      <c r="A78" s="128" t="s">
        <v>899</v>
      </c>
      <c r="D78" s="129">
        <v>71000000</v>
      </c>
      <c r="E78" s="130">
        <v>43283</v>
      </c>
      <c r="F78" s="130">
        <v>46749</v>
      </c>
      <c r="G78" s="123" t="s">
        <v>784</v>
      </c>
      <c r="H78" s="132">
        <v>5.8799999999999998E-2</v>
      </c>
      <c r="I78" s="140" t="s">
        <v>799</v>
      </c>
      <c r="J78" s="443"/>
      <c r="K78" s="135" t="s">
        <v>334</v>
      </c>
      <c r="L78" s="117" t="s">
        <v>77</v>
      </c>
      <c r="M78" s="117" t="s">
        <v>786</v>
      </c>
      <c r="N78" s="117" t="s">
        <v>794</v>
      </c>
    </row>
    <row r="79" spans="1:14" hidden="1" x14ac:dyDescent="0.3">
      <c r="A79" s="128" t="s">
        <v>899</v>
      </c>
      <c r="D79" s="129">
        <v>12625000</v>
      </c>
      <c r="E79" s="130">
        <v>43287</v>
      </c>
      <c r="F79" s="130">
        <v>46749</v>
      </c>
      <c r="G79" s="123" t="s">
        <v>784</v>
      </c>
      <c r="H79" s="132">
        <v>5.8799999999999998E-2</v>
      </c>
      <c r="I79" s="140" t="s">
        <v>799</v>
      </c>
      <c r="J79" s="443"/>
      <c r="K79" s="135" t="s">
        <v>334</v>
      </c>
      <c r="L79" s="117" t="s">
        <v>77</v>
      </c>
      <c r="M79" s="117" t="s">
        <v>786</v>
      </c>
      <c r="N79" s="117" t="s">
        <v>794</v>
      </c>
    </row>
    <row r="80" spans="1:14" hidden="1" x14ac:dyDescent="0.3">
      <c r="A80" s="128" t="s">
        <v>899</v>
      </c>
      <c r="D80" s="129">
        <v>165375000</v>
      </c>
      <c r="E80" s="130">
        <v>43300</v>
      </c>
      <c r="F80" s="130">
        <v>46749</v>
      </c>
      <c r="G80" s="123" t="s">
        <v>784</v>
      </c>
      <c r="H80" s="132">
        <v>5.8799999999999998E-2</v>
      </c>
      <c r="I80" s="140" t="s">
        <v>799</v>
      </c>
      <c r="J80" s="443"/>
      <c r="K80" s="135" t="s">
        <v>334</v>
      </c>
      <c r="L80" s="117" t="s">
        <v>77</v>
      </c>
      <c r="M80" s="117" t="s">
        <v>786</v>
      </c>
      <c r="N80" s="117" t="s">
        <v>794</v>
      </c>
    </row>
    <row r="81" spans="1:14" hidden="1" x14ac:dyDescent="0.3">
      <c r="A81" s="128" t="s">
        <v>899</v>
      </c>
      <c r="D81" s="129">
        <v>500000000</v>
      </c>
      <c r="E81" s="130">
        <v>43472</v>
      </c>
      <c r="F81" s="130">
        <v>46749</v>
      </c>
      <c r="G81" s="123" t="s">
        <v>784</v>
      </c>
      <c r="H81" s="132">
        <v>5.8799999999999998E-2</v>
      </c>
      <c r="I81" s="140" t="s">
        <v>799</v>
      </c>
      <c r="J81" s="443"/>
      <c r="K81" s="135" t="s">
        <v>334</v>
      </c>
      <c r="L81" s="117" t="s">
        <v>77</v>
      </c>
      <c r="M81" s="117" t="s">
        <v>786</v>
      </c>
      <c r="N81" s="117" t="s">
        <v>794</v>
      </c>
    </row>
    <row r="82" spans="1:14" hidden="1" x14ac:dyDescent="0.3">
      <c r="A82" s="128" t="s">
        <v>899</v>
      </c>
      <c r="D82" s="133">
        <v>120000000</v>
      </c>
      <c r="E82" s="130">
        <v>44160</v>
      </c>
      <c r="F82" s="130">
        <v>46749</v>
      </c>
      <c r="G82" s="123" t="s">
        <v>784</v>
      </c>
      <c r="H82" s="132">
        <v>5.8799999999999998E-2</v>
      </c>
      <c r="I82" s="140" t="s">
        <v>799</v>
      </c>
      <c r="J82" s="443"/>
      <c r="K82" s="135" t="s">
        <v>334</v>
      </c>
      <c r="L82" s="117" t="s">
        <v>77</v>
      </c>
      <c r="M82" s="117" t="s">
        <v>786</v>
      </c>
      <c r="N82" s="117" t="s">
        <v>794</v>
      </c>
    </row>
    <row r="83" spans="1:14" hidden="1" x14ac:dyDescent="0.3">
      <c r="A83" s="128" t="s">
        <v>899</v>
      </c>
      <c r="D83" s="133">
        <v>80000000</v>
      </c>
      <c r="E83" s="130">
        <v>44165</v>
      </c>
      <c r="F83" s="130">
        <v>46749</v>
      </c>
      <c r="G83" s="123" t="s">
        <v>784</v>
      </c>
      <c r="H83" s="132">
        <v>5.8799999999999998E-2</v>
      </c>
      <c r="I83" s="140" t="s">
        <v>799</v>
      </c>
      <c r="J83" s="443"/>
      <c r="K83" s="135" t="s">
        <v>334</v>
      </c>
      <c r="L83" s="117" t="s">
        <v>77</v>
      </c>
      <c r="M83" s="117" t="s">
        <v>786</v>
      </c>
      <c r="N83" s="117" t="s">
        <v>794</v>
      </c>
    </row>
    <row r="84" spans="1:14" hidden="1" x14ac:dyDescent="0.3">
      <c r="A84" s="128" t="s">
        <v>901</v>
      </c>
      <c r="D84" s="133">
        <v>-34106929.149999999</v>
      </c>
      <c r="E84" s="130"/>
      <c r="F84" s="130">
        <v>46749</v>
      </c>
      <c r="G84" s="123" t="s">
        <v>784</v>
      </c>
      <c r="H84" s="132"/>
      <c r="I84" s="140" t="s">
        <v>799</v>
      </c>
      <c r="J84" s="128"/>
      <c r="K84" s="135" t="s">
        <v>334</v>
      </c>
      <c r="L84" s="117" t="s">
        <v>77</v>
      </c>
      <c r="M84" s="117" t="s">
        <v>786</v>
      </c>
      <c r="N84" s="117" t="s">
        <v>794</v>
      </c>
    </row>
    <row r="85" spans="1:14" hidden="1" x14ac:dyDescent="0.3">
      <c r="A85" s="128" t="s">
        <v>838</v>
      </c>
      <c r="D85" s="133">
        <v>50000000</v>
      </c>
      <c r="E85" s="130">
        <v>44295</v>
      </c>
      <c r="F85" s="130">
        <v>45989</v>
      </c>
      <c r="G85" s="123" t="s">
        <v>784</v>
      </c>
      <c r="H85" s="132">
        <v>6.4000000000000001E-2</v>
      </c>
      <c r="I85" s="140" t="s">
        <v>992</v>
      </c>
      <c r="J85" s="128" t="s">
        <v>902</v>
      </c>
      <c r="K85" s="135" t="s">
        <v>334</v>
      </c>
      <c r="L85" s="117" t="s">
        <v>77</v>
      </c>
      <c r="M85" s="117" t="s">
        <v>786</v>
      </c>
      <c r="N85" s="117" t="s">
        <v>787</v>
      </c>
    </row>
    <row r="86" spans="1:14" hidden="1" x14ac:dyDescent="0.3">
      <c r="A86" s="128" t="s">
        <v>838</v>
      </c>
      <c r="D86" s="129">
        <v>100000000</v>
      </c>
      <c r="E86" s="130">
        <v>44347</v>
      </c>
      <c r="F86" s="130">
        <v>45989</v>
      </c>
      <c r="G86" s="123" t="s">
        <v>784</v>
      </c>
      <c r="H86" s="132">
        <v>6.4000000000000001E-2</v>
      </c>
      <c r="I86" s="140" t="s">
        <v>992</v>
      </c>
      <c r="J86" s="141" t="s">
        <v>902</v>
      </c>
      <c r="K86" s="135" t="s">
        <v>334</v>
      </c>
      <c r="L86" s="117" t="s">
        <v>77</v>
      </c>
      <c r="M86" s="117" t="s">
        <v>786</v>
      </c>
      <c r="N86" s="117" t="s">
        <v>787</v>
      </c>
    </row>
    <row r="87" spans="1:14" hidden="1" x14ac:dyDescent="0.3">
      <c r="A87" s="128" t="s">
        <v>838</v>
      </c>
      <c r="D87" s="129">
        <v>350000000</v>
      </c>
      <c r="E87" s="130">
        <v>44377</v>
      </c>
      <c r="F87" s="130">
        <v>45989</v>
      </c>
      <c r="G87" s="123" t="s">
        <v>784</v>
      </c>
      <c r="H87" s="132">
        <v>6.4000000000000001E-2</v>
      </c>
      <c r="I87" s="140" t="s">
        <v>992</v>
      </c>
      <c r="J87" s="141" t="s">
        <v>902</v>
      </c>
      <c r="K87" s="135" t="s">
        <v>334</v>
      </c>
      <c r="L87" s="117" t="s">
        <v>77</v>
      </c>
      <c r="M87" s="117" t="s">
        <v>786</v>
      </c>
      <c r="N87" s="117" t="s">
        <v>787</v>
      </c>
    </row>
    <row r="88" spans="1:14" hidden="1" x14ac:dyDescent="0.3">
      <c r="A88" s="128" t="s">
        <v>931</v>
      </c>
      <c r="D88" s="129">
        <v>161726000</v>
      </c>
      <c r="E88" s="130">
        <v>44228</v>
      </c>
      <c r="F88" s="130">
        <v>45316</v>
      </c>
      <c r="G88" s="123" t="s">
        <v>784</v>
      </c>
      <c r="H88" s="132">
        <v>4.65E-2</v>
      </c>
      <c r="I88" s="140" t="s">
        <v>799</v>
      </c>
      <c r="J88" s="141" t="s">
        <v>22</v>
      </c>
      <c r="K88" s="135" t="s">
        <v>334</v>
      </c>
      <c r="L88" s="117" t="s">
        <v>77</v>
      </c>
      <c r="M88" s="117" t="s">
        <v>786</v>
      </c>
      <c r="N88" s="117" t="s">
        <v>808</v>
      </c>
    </row>
    <row r="89" spans="1:14" hidden="1" x14ac:dyDescent="0.3">
      <c r="A89" s="128" t="s">
        <v>931</v>
      </c>
      <c r="D89" s="129">
        <v>100000000</v>
      </c>
      <c r="E89" s="130">
        <v>44323</v>
      </c>
      <c r="F89" s="130">
        <v>45316</v>
      </c>
      <c r="G89" s="123" t="s">
        <v>784</v>
      </c>
      <c r="H89" s="132">
        <v>4.65E-2</v>
      </c>
      <c r="I89" s="140" t="s">
        <v>799</v>
      </c>
      <c r="J89" s="141" t="s">
        <v>22</v>
      </c>
      <c r="K89" s="135" t="s">
        <v>334</v>
      </c>
      <c r="L89" s="117" t="s">
        <v>77</v>
      </c>
      <c r="M89" s="117" t="s">
        <v>786</v>
      </c>
      <c r="N89" s="117" t="s">
        <v>808</v>
      </c>
    </row>
    <row r="90" spans="1:14" hidden="1" x14ac:dyDescent="0.3">
      <c r="A90" s="128" t="s">
        <v>931</v>
      </c>
      <c r="D90" s="129">
        <v>85000000</v>
      </c>
      <c r="E90" s="130">
        <v>44427</v>
      </c>
      <c r="F90" s="130">
        <v>45316</v>
      </c>
      <c r="G90" s="123" t="s">
        <v>784</v>
      </c>
      <c r="H90" s="132">
        <v>4.65E-2</v>
      </c>
      <c r="I90" s="140" t="s">
        <v>799</v>
      </c>
      <c r="J90" s="141" t="s">
        <v>22</v>
      </c>
      <c r="K90" s="135" t="s">
        <v>334</v>
      </c>
      <c r="L90" s="117" t="s">
        <v>77</v>
      </c>
      <c r="M90" s="117" t="s">
        <v>786</v>
      </c>
      <c r="N90" s="117" t="s">
        <v>808</v>
      </c>
    </row>
    <row r="91" spans="1:14" hidden="1" x14ac:dyDescent="0.3">
      <c r="A91" s="128" t="s">
        <v>783</v>
      </c>
      <c r="D91" s="129">
        <v>100000000</v>
      </c>
      <c r="E91" s="130">
        <v>44228</v>
      </c>
      <c r="F91" s="130">
        <v>45285</v>
      </c>
      <c r="G91" s="123" t="s">
        <v>784</v>
      </c>
      <c r="H91" s="132">
        <v>5.0999999999999997E-2</v>
      </c>
      <c r="I91" s="140" t="s">
        <v>799</v>
      </c>
      <c r="J91" s="444" t="s">
        <v>932</v>
      </c>
      <c r="K91" s="135" t="s">
        <v>334</v>
      </c>
      <c r="L91" s="117" t="s">
        <v>77</v>
      </c>
      <c r="M91" s="117" t="s">
        <v>786</v>
      </c>
      <c r="N91" s="117" t="s">
        <v>787</v>
      </c>
    </row>
    <row r="92" spans="1:14" hidden="1" x14ac:dyDescent="0.3">
      <c r="A92" s="128" t="s">
        <v>783</v>
      </c>
      <c r="D92" s="129">
        <v>200000000</v>
      </c>
      <c r="E92" s="130">
        <v>44364</v>
      </c>
      <c r="F92" s="130">
        <v>45285</v>
      </c>
      <c r="G92" s="123" t="s">
        <v>784</v>
      </c>
      <c r="H92" s="132">
        <v>5.0999999999999997E-2</v>
      </c>
      <c r="I92" s="140" t="s">
        <v>799</v>
      </c>
      <c r="J92" s="444"/>
      <c r="K92" s="135" t="s">
        <v>334</v>
      </c>
      <c r="L92" s="117" t="s">
        <v>77</v>
      </c>
      <c r="M92" s="117" t="s">
        <v>786</v>
      </c>
      <c r="N92" s="117" t="s">
        <v>787</v>
      </c>
    </row>
    <row r="93" spans="1:14" hidden="1" x14ac:dyDescent="0.3">
      <c r="A93" s="128" t="s">
        <v>783</v>
      </c>
      <c r="D93" s="129">
        <v>100000000</v>
      </c>
      <c r="E93" s="130">
        <v>44559</v>
      </c>
      <c r="F93" s="130">
        <v>45285</v>
      </c>
      <c r="G93" s="123" t="s">
        <v>784</v>
      </c>
      <c r="H93" s="132">
        <v>5.0999999999999997E-2</v>
      </c>
      <c r="I93" s="140" t="s">
        <v>799</v>
      </c>
      <c r="J93" s="444"/>
      <c r="K93" s="135" t="s">
        <v>334</v>
      </c>
      <c r="L93" s="117" t="s">
        <v>77</v>
      </c>
      <c r="M93" s="117" t="s">
        <v>786</v>
      </c>
      <c r="N93" s="117" t="s">
        <v>787</v>
      </c>
    </row>
    <row r="94" spans="1:14" hidden="1" x14ac:dyDescent="0.3">
      <c r="A94" s="128" t="s">
        <v>903</v>
      </c>
      <c r="D94" s="129">
        <v>115000000</v>
      </c>
      <c r="E94" s="130">
        <v>42955</v>
      </c>
      <c r="F94" s="130">
        <v>45838</v>
      </c>
      <c r="G94" s="123" t="s">
        <v>784</v>
      </c>
      <c r="H94" s="132">
        <v>5.8799999999999998E-2</v>
      </c>
      <c r="I94" s="140" t="s">
        <v>992</v>
      </c>
      <c r="J94" s="141" t="s">
        <v>995</v>
      </c>
      <c r="K94" s="135" t="s">
        <v>334</v>
      </c>
      <c r="L94" s="117" t="s">
        <v>77</v>
      </c>
      <c r="M94" s="117" t="s">
        <v>786</v>
      </c>
      <c r="N94" s="117" t="s">
        <v>794</v>
      </c>
    </row>
    <row r="95" spans="1:14" hidden="1" x14ac:dyDescent="0.3">
      <c r="A95" s="128" t="s">
        <v>904</v>
      </c>
      <c r="D95" s="129">
        <v>90000000</v>
      </c>
      <c r="E95" s="130">
        <v>43224</v>
      </c>
      <c r="F95" s="130">
        <v>46387</v>
      </c>
      <c r="G95" s="123" t="s">
        <v>784</v>
      </c>
      <c r="H95" s="132">
        <v>5.3900000000000003E-2</v>
      </c>
      <c r="I95" s="140" t="s">
        <v>992</v>
      </c>
      <c r="J95" s="141" t="s">
        <v>996</v>
      </c>
      <c r="K95" s="135" t="s">
        <v>334</v>
      </c>
      <c r="L95" s="117" t="s">
        <v>77</v>
      </c>
      <c r="M95" s="117" t="s">
        <v>786</v>
      </c>
      <c r="N95" s="117" t="s">
        <v>808</v>
      </c>
    </row>
    <row r="96" spans="1:14" hidden="1" x14ac:dyDescent="0.3">
      <c r="A96" s="128" t="s">
        <v>904</v>
      </c>
      <c r="D96" s="129">
        <v>100000000</v>
      </c>
      <c r="E96" s="130">
        <v>43251</v>
      </c>
      <c r="F96" s="130">
        <v>46387</v>
      </c>
      <c r="G96" s="123" t="s">
        <v>784</v>
      </c>
      <c r="H96" s="132">
        <v>5.3900000000000003E-2</v>
      </c>
      <c r="I96" s="140" t="s">
        <v>992</v>
      </c>
      <c r="J96" s="141" t="s">
        <v>996</v>
      </c>
      <c r="K96" s="135" t="s">
        <v>334</v>
      </c>
      <c r="L96" s="117" t="s">
        <v>77</v>
      </c>
      <c r="M96" s="117" t="s">
        <v>786</v>
      </c>
      <c r="N96" s="117" t="s">
        <v>808</v>
      </c>
    </row>
    <row r="97" spans="1:14" hidden="1" x14ac:dyDescent="0.3">
      <c r="A97" s="128" t="s">
        <v>904</v>
      </c>
      <c r="D97" s="129">
        <v>120000000</v>
      </c>
      <c r="E97" s="130">
        <v>43264</v>
      </c>
      <c r="F97" s="130">
        <v>46387</v>
      </c>
      <c r="G97" s="123" t="s">
        <v>784</v>
      </c>
      <c r="H97" s="132">
        <v>5.3900000000000003E-2</v>
      </c>
      <c r="I97" s="140" t="s">
        <v>992</v>
      </c>
      <c r="J97" s="141" t="s">
        <v>996</v>
      </c>
      <c r="K97" s="135" t="s">
        <v>334</v>
      </c>
      <c r="L97" s="117" t="s">
        <v>77</v>
      </c>
      <c r="M97" s="117" t="s">
        <v>786</v>
      </c>
      <c r="N97" s="117" t="s">
        <v>808</v>
      </c>
    </row>
    <row r="98" spans="1:14" hidden="1" x14ac:dyDescent="0.3">
      <c r="A98" s="128" t="s">
        <v>904</v>
      </c>
      <c r="D98" s="129">
        <v>60000000</v>
      </c>
      <c r="E98" s="130">
        <v>44561</v>
      </c>
      <c r="F98" s="130">
        <v>51132</v>
      </c>
      <c r="G98" s="123" t="s">
        <v>784</v>
      </c>
      <c r="H98" s="132">
        <v>3.7999999999999999E-2</v>
      </c>
      <c r="I98" s="140" t="s">
        <v>992</v>
      </c>
      <c r="J98" s="141" t="s">
        <v>996</v>
      </c>
      <c r="K98" s="135" t="s">
        <v>334</v>
      </c>
      <c r="L98" s="117" t="s">
        <v>77</v>
      </c>
      <c r="M98" s="117" t="s">
        <v>786</v>
      </c>
      <c r="N98" s="117" t="s">
        <v>808</v>
      </c>
    </row>
    <row r="99" spans="1:14" hidden="1" x14ac:dyDescent="0.3">
      <c r="A99" s="128" t="s">
        <v>905</v>
      </c>
      <c r="D99" s="129">
        <v>-14347838.18</v>
      </c>
      <c r="E99" s="130"/>
      <c r="F99" s="130">
        <v>51132</v>
      </c>
      <c r="G99" s="123" t="s">
        <v>784</v>
      </c>
      <c r="H99" s="132"/>
      <c r="I99" s="140" t="s">
        <v>992</v>
      </c>
      <c r="J99" s="141"/>
      <c r="K99" s="135" t="s">
        <v>334</v>
      </c>
      <c r="L99" s="117" t="s">
        <v>77</v>
      </c>
      <c r="M99" s="117" t="s">
        <v>786</v>
      </c>
      <c r="N99" s="117" t="s">
        <v>808</v>
      </c>
    </row>
    <row r="100" spans="1:14" hidden="1" x14ac:dyDescent="0.3">
      <c r="A100" s="128" t="s">
        <v>831</v>
      </c>
      <c r="D100" s="129">
        <v>350000000</v>
      </c>
      <c r="E100" s="130">
        <v>43819</v>
      </c>
      <c r="F100" s="130">
        <v>46738</v>
      </c>
      <c r="G100" s="123" t="s">
        <v>784</v>
      </c>
      <c r="H100" s="132">
        <v>5.2400000000000002E-2</v>
      </c>
      <c r="I100" s="140" t="s">
        <v>992</v>
      </c>
      <c r="J100" s="141" t="s">
        <v>674</v>
      </c>
      <c r="K100" s="135" t="s">
        <v>334</v>
      </c>
      <c r="L100" s="117" t="s">
        <v>77</v>
      </c>
      <c r="M100" s="117" t="s">
        <v>786</v>
      </c>
      <c r="N100" s="117" t="s">
        <v>833</v>
      </c>
    </row>
    <row r="101" spans="1:14" hidden="1" x14ac:dyDescent="0.3">
      <c r="A101" s="128" t="s">
        <v>831</v>
      </c>
      <c r="D101" s="129">
        <v>150000000</v>
      </c>
      <c r="E101" s="130">
        <v>43865</v>
      </c>
      <c r="F101" s="130">
        <v>46738</v>
      </c>
      <c r="G101" s="123" t="s">
        <v>784</v>
      </c>
      <c r="H101" s="132">
        <v>5.1900000000000002E-2</v>
      </c>
      <c r="I101" s="140" t="s">
        <v>992</v>
      </c>
      <c r="J101" s="141" t="s">
        <v>674</v>
      </c>
      <c r="K101" s="135" t="s">
        <v>334</v>
      </c>
      <c r="L101" s="117" t="s">
        <v>77</v>
      </c>
      <c r="M101" s="117" t="s">
        <v>786</v>
      </c>
      <c r="N101" s="117" t="s">
        <v>833</v>
      </c>
    </row>
    <row r="102" spans="1:14" hidden="1" x14ac:dyDescent="0.3">
      <c r="A102" s="128" t="s">
        <v>831</v>
      </c>
      <c r="D102" s="129">
        <v>200000000</v>
      </c>
      <c r="E102" s="130">
        <v>43951</v>
      </c>
      <c r="F102" s="130">
        <v>46738</v>
      </c>
      <c r="G102" s="123" t="s">
        <v>784</v>
      </c>
      <c r="H102" s="132">
        <v>5.2400000000000002E-2</v>
      </c>
      <c r="I102" s="140" t="s">
        <v>992</v>
      </c>
      <c r="J102" s="141" t="s">
        <v>674</v>
      </c>
      <c r="K102" s="135" t="s">
        <v>334</v>
      </c>
      <c r="L102" s="117" t="s">
        <v>77</v>
      </c>
      <c r="M102" s="117" t="s">
        <v>786</v>
      </c>
      <c r="N102" s="117" t="s">
        <v>833</v>
      </c>
    </row>
    <row r="103" spans="1:14" hidden="1" x14ac:dyDescent="0.3">
      <c r="A103" s="128" t="s">
        <v>831</v>
      </c>
      <c r="D103" s="129">
        <v>100000000</v>
      </c>
      <c r="E103" s="130">
        <v>44162</v>
      </c>
      <c r="F103" s="130">
        <v>46738</v>
      </c>
      <c r="G103" s="123" t="s">
        <v>784</v>
      </c>
      <c r="H103" s="134">
        <v>5.2400000000000002E-2</v>
      </c>
      <c r="I103" s="140" t="s">
        <v>992</v>
      </c>
      <c r="J103" s="141" t="s">
        <v>674</v>
      </c>
      <c r="K103" s="135" t="s">
        <v>334</v>
      </c>
      <c r="L103" s="117" t="s">
        <v>77</v>
      </c>
      <c r="M103" s="117" t="s">
        <v>786</v>
      </c>
      <c r="N103" s="117" t="s">
        <v>833</v>
      </c>
    </row>
    <row r="104" spans="1:14" hidden="1" x14ac:dyDescent="0.3">
      <c r="A104" s="128" t="s">
        <v>831</v>
      </c>
      <c r="D104" s="129">
        <v>100000000</v>
      </c>
      <c r="E104" s="130">
        <v>44204</v>
      </c>
      <c r="F104" s="130">
        <v>46738</v>
      </c>
      <c r="G104" s="123" t="s">
        <v>784</v>
      </c>
      <c r="H104" s="134">
        <v>5.2400000000000002E-2</v>
      </c>
      <c r="I104" s="140" t="s">
        <v>992</v>
      </c>
      <c r="J104" s="141" t="s">
        <v>674</v>
      </c>
      <c r="K104" s="135" t="s">
        <v>334</v>
      </c>
      <c r="L104" s="117" t="s">
        <v>77</v>
      </c>
      <c r="M104" s="117" t="s">
        <v>786</v>
      </c>
      <c r="N104" s="117" t="s">
        <v>833</v>
      </c>
    </row>
    <row r="105" spans="1:14" hidden="1" x14ac:dyDescent="0.3">
      <c r="A105" s="128" t="s">
        <v>831</v>
      </c>
      <c r="D105" s="129">
        <v>150000000</v>
      </c>
      <c r="E105" s="130">
        <v>44453</v>
      </c>
      <c r="F105" s="130">
        <v>46639</v>
      </c>
      <c r="G105" s="123" t="s">
        <v>784</v>
      </c>
      <c r="H105" s="134">
        <v>4.9000000000000002E-2</v>
      </c>
      <c r="I105" s="140" t="s">
        <v>992</v>
      </c>
      <c r="J105" s="141" t="s">
        <v>674</v>
      </c>
      <c r="K105" s="135" t="s">
        <v>334</v>
      </c>
      <c r="L105" s="117" t="s">
        <v>77</v>
      </c>
      <c r="M105" s="117" t="s">
        <v>786</v>
      </c>
      <c r="N105" s="117" t="s">
        <v>833</v>
      </c>
    </row>
    <row r="106" spans="1:14" ht="25.5" hidden="1" x14ac:dyDescent="0.3">
      <c r="A106" s="128" t="s">
        <v>796</v>
      </c>
      <c r="D106" s="129">
        <v>135000000</v>
      </c>
      <c r="E106" s="130">
        <v>44403</v>
      </c>
      <c r="F106" s="130">
        <v>45499</v>
      </c>
      <c r="G106" s="123" t="s">
        <v>784</v>
      </c>
      <c r="H106" s="134">
        <v>5.8000000000000003E-2</v>
      </c>
      <c r="I106" s="140" t="s">
        <v>992</v>
      </c>
      <c r="J106" s="141" t="s">
        <v>908</v>
      </c>
      <c r="K106" s="135" t="s">
        <v>334</v>
      </c>
      <c r="L106" s="117" t="s">
        <v>77</v>
      </c>
      <c r="M106" s="117" t="s">
        <v>786</v>
      </c>
      <c r="N106" s="117" t="s">
        <v>794</v>
      </c>
    </row>
    <row r="107" spans="1:14" hidden="1" x14ac:dyDescent="0.3">
      <c r="A107" s="135" t="s">
        <v>909</v>
      </c>
      <c r="D107" s="129">
        <v>108000000</v>
      </c>
      <c r="E107" s="130">
        <v>44132</v>
      </c>
      <c r="F107" s="130">
        <v>47107</v>
      </c>
      <c r="G107" s="123" t="s">
        <v>784</v>
      </c>
      <c r="H107" s="132">
        <v>5.5E-2</v>
      </c>
      <c r="I107" s="140" t="s">
        <v>992</v>
      </c>
      <c r="J107" s="141" t="s">
        <v>650</v>
      </c>
      <c r="K107" s="135" t="s">
        <v>334</v>
      </c>
      <c r="L107" s="117" t="s">
        <v>77</v>
      </c>
      <c r="M107" s="117" t="s">
        <v>786</v>
      </c>
      <c r="N107" s="117" t="s">
        <v>794</v>
      </c>
    </row>
    <row r="108" spans="1:14" hidden="1" x14ac:dyDescent="0.3">
      <c r="A108" s="135" t="s">
        <v>909</v>
      </c>
      <c r="D108" s="129">
        <v>112000000</v>
      </c>
      <c r="E108" s="130">
        <v>44491</v>
      </c>
      <c r="F108" s="130">
        <v>47107</v>
      </c>
      <c r="G108" s="123" t="s">
        <v>784</v>
      </c>
      <c r="H108" s="132">
        <v>5.5E-2</v>
      </c>
      <c r="I108" s="140" t="s">
        <v>992</v>
      </c>
      <c r="J108" s="141" t="s">
        <v>650</v>
      </c>
      <c r="K108" s="135" t="s">
        <v>334</v>
      </c>
      <c r="L108" s="117" t="s">
        <v>77</v>
      </c>
      <c r="M108" s="117" t="s">
        <v>786</v>
      </c>
      <c r="N108" s="117" t="s">
        <v>794</v>
      </c>
    </row>
    <row r="109" spans="1:14" hidden="1" x14ac:dyDescent="0.3">
      <c r="A109" s="135" t="s">
        <v>828</v>
      </c>
      <c r="D109" s="129">
        <v>50000000</v>
      </c>
      <c r="E109" s="130">
        <v>44221</v>
      </c>
      <c r="F109" s="130">
        <v>46738</v>
      </c>
      <c r="G109" s="123" t="s">
        <v>784</v>
      </c>
      <c r="H109" s="132">
        <v>6.8000000000000005E-2</v>
      </c>
      <c r="I109" s="140" t="s">
        <v>992</v>
      </c>
      <c r="J109" s="141" t="s">
        <v>649</v>
      </c>
      <c r="K109" s="135" t="s">
        <v>349</v>
      </c>
      <c r="L109" s="117" t="s">
        <v>77</v>
      </c>
      <c r="M109" s="117" t="s">
        <v>786</v>
      </c>
      <c r="N109" s="117" t="s">
        <v>789</v>
      </c>
    </row>
    <row r="110" spans="1:14" hidden="1" x14ac:dyDescent="0.3">
      <c r="A110" s="135" t="s">
        <v>828</v>
      </c>
      <c r="D110" s="129">
        <v>100000000</v>
      </c>
      <c r="E110" s="130">
        <v>44309</v>
      </c>
      <c r="F110" s="130">
        <v>46738</v>
      </c>
      <c r="G110" s="123" t="s">
        <v>784</v>
      </c>
      <c r="H110" s="132">
        <v>6.8000000000000005E-2</v>
      </c>
      <c r="I110" s="140" t="s">
        <v>992</v>
      </c>
      <c r="J110" s="141" t="s">
        <v>649</v>
      </c>
      <c r="K110" s="135" t="s">
        <v>349</v>
      </c>
      <c r="L110" s="117" t="s">
        <v>77</v>
      </c>
      <c r="M110" s="117" t="s">
        <v>786</v>
      </c>
      <c r="N110" s="117" t="s">
        <v>789</v>
      </c>
    </row>
    <row r="111" spans="1:14" hidden="1" x14ac:dyDescent="0.3">
      <c r="A111" s="135" t="s">
        <v>828</v>
      </c>
      <c r="D111" s="129">
        <v>100000000</v>
      </c>
      <c r="E111" s="130">
        <v>44314</v>
      </c>
      <c r="F111" s="130">
        <v>46738</v>
      </c>
      <c r="G111" s="123" t="s">
        <v>784</v>
      </c>
      <c r="H111" s="132">
        <v>6.8000000000000005E-2</v>
      </c>
      <c r="I111" s="140" t="s">
        <v>992</v>
      </c>
      <c r="J111" s="141" t="s">
        <v>649</v>
      </c>
      <c r="K111" s="135" t="s">
        <v>349</v>
      </c>
      <c r="L111" s="117" t="s">
        <v>77</v>
      </c>
      <c r="M111" s="117" t="s">
        <v>786</v>
      </c>
      <c r="N111" s="117" t="s">
        <v>789</v>
      </c>
    </row>
    <row r="112" spans="1:14" hidden="1" x14ac:dyDescent="0.3">
      <c r="A112" s="135" t="s">
        <v>910</v>
      </c>
      <c r="D112" s="129">
        <v>9850000</v>
      </c>
      <c r="E112" s="130">
        <v>44285</v>
      </c>
      <c r="F112" s="130">
        <v>50915</v>
      </c>
      <c r="G112" s="123" t="s">
        <v>784</v>
      </c>
      <c r="H112" s="132">
        <v>5.1999999999999998E-2</v>
      </c>
      <c r="I112" s="140" t="s">
        <v>992</v>
      </c>
      <c r="J112" s="141" t="s">
        <v>649</v>
      </c>
      <c r="K112" s="135" t="s">
        <v>349</v>
      </c>
      <c r="L112" s="117" t="s">
        <v>77</v>
      </c>
      <c r="M112" s="117" t="s">
        <v>786</v>
      </c>
      <c r="N112" s="117" t="s">
        <v>794</v>
      </c>
    </row>
    <row r="113" spans="1:14" hidden="1" x14ac:dyDescent="0.3">
      <c r="A113" s="135" t="s">
        <v>910</v>
      </c>
      <c r="D113" s="129">
        <v>14600000</v>
      </c>
      <c r="E113" s="130">
        <v>44378</v>
      </c>
      <c r="F113" s="130">
        <v>50915</v>
      </c>
      <c r="G113" s="123" t="s">
        <v>784</v>
      </c>
      <c r="H113" s="136">
        <v>5.1999999999999998E-2</v>
      </c>
      <c r="I113" s="140" t="s">
        <v>992</v>
      </c>
      <c r="J113" s="141" t="s">
        <v>649</v>
      </c>
      <c r="K113" s="135" t="s">
        <v>349</v>
      </c>
      <c r="L113" s="117" t="s">
        <v>77</v>
      </c>
      <c r="M113" s="117" t="s">
        <v>786</v>
      </c>
      <c r="N113" s="117" t="s">
        <v>794</v>
      </c>
    </row>
    <row r="114" spans="1:14" hidden="1" x14ac:dyDescent="0.3">
      <c r="A114" s="128" t="s">
        <v>910</v>
      </c>
      <c r="D114" s="129">
        <v>35000000</v>
      </c>
      <c r="E114" s="130">
        <v>44531</v>
      </c>
      <c r="F114" s="130">
        <v>50915</v>
      </c>
      <c r="G114" s="123" t="s">
        <v>784</v>
      </c>
      <c r="H114" s="132">
        <v>5.1999999999999998E-2</v>
      </c>
      <c r="I114" s="140" t="s">
        <v>992</v>
      </c>
      <c r="J114" s="141" t="s">
        <v>649</v>
      </c>
      <c r="K114" s="135" t="s">
        <v>349</v>
      </c>
      <c r="L114" s="117" t="s">
        <v>77</v>
      </c>
      <c r="M114" s="117" t="s">
        <v>786</v>
      </c>
      <c r="N114" s="117" t="s">
        <v>794</v>
      </c>
    </row>
    <row r="115" spans="1:14" hidden="1" x14ac:dyDescent="0.3">
      <c r="A115" s="128" t="s">
        <v>911</v>
      </c>
      <c r="D115" s="129">
        <v>29100000</v>
      </c>
      <c r="E115" s="130">
        <v>44285</v>
      </c>
      <c r="F115" s="130">
        <v>50915</v>
      </c>
      <c r="G115" s="123" t="s">
        <v>784</v>
      </c>
      <c r="H115" s="132">
        <v>5.1999999999999998E-2</v>
      </c>
      <c r="I115" s="140" t="s">
        <v>992</v>
      </c>
      <c r="J115" s="141" t="s">
        <v>649</v>
      </c>
      <c r="K115" s="135" t="s">
        <v>349</v>
      </c>
      <c r="L115" s="117" t="s">
        <v>77</v>
      </c>
      <c r="M115" s="117" t="s">
        <v>786</v>
      </c>
      <c r="N115" s="117" t="s">
        <v>808</v>
      </c>
    </row>
    <row r="116" spans="1:14" hidden="1" x14ac:dyDescent="0.3">
      <c r="A116" s="128" t="s">
        <v>911</v>
      </c>
      <c r="D116" s="129">
        <v>42486000</v>
      </c>
      <c r="E116" s="130">
        <v>44399</v>
      </c>
      <c r="F116" s="130">
        <v>50915</v>
      </c>
      <c r="G116" s="123" t="s">
        <v>784</v>
      </c>
      <c r="H116" s="136">
        <v>5.1999999999999998E-2</v>
      </c>
      <c r="I116" s="140" t="s">
        <v>992</v>
      </c>
      <c r="J116" s="141" t="s">
        <v>649</v>
      </c>
      <c r="K116" s="135" t="s">
        <v>349</v>
      </c>
      <c r="L116" s="117" t="s">
        <v>77</v>
      </c>
      <c r="M116" s="117" t="s">
        <v>786</v>
      </c>
      <c r="N116" s="117" t="s">
        <v>808</v>
      </c>
    </row>
    <row r="117" spans="1:14" hidden="1" x14ac:dyDescent="0.3">
      <c r="A117" s="128" t="s">
        <v>911</v>
      </c>
      <c r="D117" s="129">
        <v>105000000</v>
      </c>
      <c r="E117" s="130">
        <v>44529</v>
      </c>
      <c r="F117" s="130">
        <v>50915</v>
      </c>
      <c r="G117" s="123" t="s">
        <v>784</v>
      </c>
      <c r="H117" s="136">
        <v>5.1999999999999998E-2</v>
      </c>
      <c r="I117" s="140" t="s">
        <v>992</v>
      </c>
      <c r="J117" s="141" t="s">
        <v>649</v>
      </c>
      <c r="K117" s="135" t="s">
        <v>349</v>
      </c>
      <c r="L117" s="117" t="s">
        <v>77</v>
      </c>
      <c r="M117" s="117" t="s">
        <v>786</v>
      </c>
      <c r="N117" s="117" t="s">
        <v>808</v>
      </c>
    </row>
    <row r="118" spans="1:14" hidden="1" x14ac:dyDescent="0.3">
      <c r="A118" s="135" t="s">
        <v>909</v>
      </c>
      <c r="D118" s="129">
        <v>128000000</v>
      </c>
      <c r="E118" s="130">
        <v>44011</v>
      </c>
      <c r="F118" s="130">
        <v>47108</v>
      </c>
      <c r="G118" s="123" t="s">
        <v>784</v>
      </c>
      <c r="H118" s="136">
        <v>5.1999999999999998E-2</v>
      </c>
      <c r="I118" s="142" t="s">
        <v>992</v>
      </c>
      <c r="J118" s="142" t="s">
        <v>354</v>
      </c>
      <c r="K118" s="143" t="s">
        <v>360</v>
      </c>
      <c r="L118" s="117" t="s">
        <v>77</v>
      </c>
      <c r="M118" s="117" t="s">
        <v>786</v>
      </c>
      <c r="N118" s="117" t="s">
        <v>794</v>
      </c>
    </row>
    <row r="119" spans="1:14" hidden="1" x14ac:dyDescent="0.3">
      <c r="A119" s="135" t="s">
        <v>444</v>
      </c>
      <c r="D119" s="129">
        <v>300000000</v>
      </c>
      <c r="E119" s="130">
        <v>44195</v>
      </c>
      <c r="F119" s="130">
        <v>46019</v>
      </c>
      <c r="G119" s="123" t="s">
        <v>784</v>
      </c>
      <c r="H119" s="136">
        <v>7.0000000000000007E-2</v>
      </c>
      <c r="I119" s="142" t="s">
        <v>992</v>
      </c>
      <c r="J119" s="142" t="s">
        <v>802</v>
      </c>
      <c r="K119" s="143" t="s">
        <v>382</v>
      </c>
      <c r="L119" s="117" t="s">
        <v>77</v>
      </c>
      <c r="M119" s="117" t="s">
        <v>786</v>
      </c>
      <c r="N119" s="117" t="s">
        <v>789</v>
      </c>
    </row>
    <row r="120" spans="1:14" hidden="1" x14ac:dyDescent="0.3">
      <c r="A120" s="135" t="s">
        <v>801</v>
      </c>
      <c r="D120" s="129">
        <v>110000000</v>
      </c>
      <c r="E120" s="130">
        <v>44519</v>
      </c>
      <c r="F120" s="130">
        <v>46007</v>
      </c>
      <c r="G120" s="123" t="s">
        <v>784</v>
      </c>
      <c r="H120" s="136">
        <v>6.5000000000000002E-2</v>
      </c>
      <c r="I120" s="142" t="s">
        <v>992</v>
      </c>
      <c r="J120" s="142" t="s">
        <v>354</v>
      </c>
      <c r="K120" s="143" t="s">
        <v>355</v>
      </c>
      <c r="L120" s="117" t="s">
        <v>77</v>
      </c>
      <c r="M120" s="117" t="s">
        <v>786</v>
      </c>
      <c r="N120" s="117" t="s">
        <v>787</v>
      </c>
    </row>
    <row r="121" spans="1:14" hidden="1" x14ac:dyDescent="0.3">
      <c r="A121" s="135" t="s">
        <v>997</v>
      </c>
      <c r="D121" s="129">
        <v>7500000</v>
      </c>
      <c r="E121" s="130">
        <v>44551</v>
      </c>
      <c r="F121" s="130">
        <v>44561</v>
      </c>
      <c r="G121" s="123" t="s">
        <v>784</v>
      </c>
      <c r="H121" s="136">
        <v>6.3E-2</v>
      </c>
      <c r="I121" s="142" t="s">
        <v>992</v>
      </c>
      <c r="J121" s="142" t="s">
        <v>354</v>
      </c>
      <c r="K121" s="143" t="s">
        <v>372</v>
      </c>
      <c r="L121" s="117" t="s">
        <v>77</v>
      </c>
      <c r="M121" s="117" t="s">
        <v>786</v>
      </c>
      <c r="N121" s="117" t="s">
        <v>794</v>
      </c>
    </row>
    <row r="122" spans="1:14" hidden="1" x14ac:dyDescent="0.3">
      <c r="A122" s="135" t="s">
        <v>614</v>
      </c>
      <c r="D122" s="129">
        <v>20000000</v>
      </c>
      <c r="E122" s="130">
        <v>44371</v>
      </c>
      <c r="F122" s="130">
        <v>46193</v>
      </c>
      <c r="G122" s="123" t="s">
        <v>784</v>
      </c>
      <c r="H122" s="136">
        <v>4.4999999999999998E-2</v>
      </c>
      <c r="I122" s="142" t="s">
        <v>992</v>
      </c>
      <c r="J122" s="142"/>
      <c r="K122" s="143" t="s">
        <v>339</v>
      </c>
      <c r="L122" s="117" t="s">
        <v>77</v>
      </c>
      <c r="M122" s="117" t="s">
        <v>786</v>
      </c>
      <c r="N122" s="117" t="s">
        <v>789</v>
      </c>
    </row>
    <row r="123" spans="1:14" hidden="1" x14ac:dyDescent="0.3">
      <c r="A123" s="135" t="s">
        <v>614</v>
      </c>
      <c r="D123" s="129">
        <v>50000000</v>
      </c>
      <c r="E123" s="130">
        <v>44337</v>
      </c>
      <c r="F123" s="130">
        <v>45066</v>
      </c>
      <c r="G123" s="123" t="s">
        <v>784</v>
      </c>
      <c r="H123" s="136">
        <v>4.8000000000000001E-2</v>
      </c>
      <c r="I123" s="142" t="s">
        <v>842</v>
      </c>
      <c r="J123" s="142" t="s">
        <v>998</v>
      </c>
      <c r="K123" s="143" t="s">
        <v>339</v>
      </c>
      <c r="L123" s="117" t="s">
        <v>77</v>
      </c>
      <c r="M123" s="117" t="s">
        <v>786</v>
      </c>
      <c r="N123" s="117" t="s">
        <v>789</v>
      </c>
    </row>
    <row r="124" spans="1:14" hidden="1" x14ac:dyDescent="0.3">
      <c r="A124" s="135" t="s">
        <v>899</v>
      </c>
      <c r="B124" s="129">
        <v>42000000</v>
      </c>
      <c r="C124" s="129">
        <v>309790.83</v>
      </c>
      <c r="D124" s="129">
        <f t="shared" ref="D124:D150" si="2">B124+C124</f>
        <v>42309790.829999998</v>
      </c>
      <c r="E124" s="130">
        <v>42744</v>
      </c>
      <c r="F124" s="130">
        <v>46387</v>
      </c>
      <c r="G124" s="123" t="s">
        <v>784</v>
      </c>
      <c r="H124" s="137">
        <v>5.1450000000000003E-2</v>
      </c>
      <c r="I124" s="142" t="s">
        <v>992</v>
      </c>
      <c r="J124" s="142" t="s">
        <v>999</v>
      </c>
      <c r="K124" s="135" t="s">
        <v>334</v>
      </c>
      <c r="L124" s="117" t="s">
        <v>929</v>
      </c>
      <c r="M124" s="117" t="s">
        <v>786</v>
      </c>
      <c r="N124" s="117" t="s">
        <v>794</v>
      </c>
    </row>
    <row r="125" spans="1:14" hidden="1" x14ac:dyDescent="0.3">
      <c r="A125" s="128" t="s">
        <v>899</v>
      </c>
      <c r="B125" s="129">
        <v>220000000</v>
      </c>
      <c r="C125" s="129">
        <v>2252080.85</v>
      </c>
      <c r="D125" s="129">
        <f t="shared" si="2"/>
        <v>222252080.84999999</v>
      </c>
      <c r="E125" s="130">
        <v>43144</v>
      </c>
      <c r="F125" s="130">
        <v>46749</v>
      </c>
      <c r="G125" s="123" t="s">
        <v>784</v>
      </c>
      <c r="H125" s="138">
        <v>5.8799999999999998E-2</v>
      </c>
      <c r="I125" s="142" t="s">
        <v>799</v>
      </c>
      <c r="J125" s="142" t="s">
        <v>994</v>
      </c>
      <c r="K125" s="135" t="s">
        <v>334</v>
      </c>
      <c r="L125" s="117" t="s">
        <v>929</v>
      </c>
      <c r="M125" s="117" t="s">
        <v>786</v>
      </c>
      <c r="N125" s="117" t="s">
        <v>794</v>
      </c>
    </row>
    <row r="126" spans="1:14" hidden="1" x14ac:dyDescent="0.3">
      <c r="A126" s="128" t="s">
        <v>838</v>
      </c>
      <c r="B126" s="129"/>
      <c r="C126" s="129">
        <v>977777.76</v>
      </c>
      <c r="D126" s="129">
        <f t="shared" si="2"/>
        <v>977777.76</v>
      </c>
      <c r="E126" s="130">
        <v>44295</v>
      </c>
      <c r="F126" s="130">
        <v>45989</v>
      </c>
      <c r="G126" s="123" t="s">
        <v>784</v>
      </c>
      <c r="H126" s="138">
        <v>6.4000000000000001E-2</v>
      </c>
      <c r="I126" s="142" t="s">
        <v>992</v>
      </c>
      <c r="J126" s="142" t="s">
        <v>902</v>
      </c>
      <c r="K126" s="135" t="s">
        <v>334</v>
      </c>
      <c r="L126" s="117" t="s">
        <v>929</v>
      </c>
      <c r="M126" s="117" t="s">
        <v>786</v>
      </c>
      <c r="N126" s="117" t="s">
        <v>787</v>
      </c>
    </row>
    <row r="127" spans="1:14" hidden="1" x14ac:dyDescent="0.3">
      <c r="A127" s="135" t="s">
        <v>931</v>
      </c>
      <c r="B127" s="129">
        <v>300000000</v>
      </c>
      <c r="C127" s="139">
        <v>918889.85</v>
      </c>
      <c r="D127" s="129">
        <f t="shared" si="2"/>
        <v>300918889.85000002</v>
      </c>
      <c r="E127" s="130">
        <v>44230</v>
      </c>
      <c r="F127" s="130">
        <v>45316</v>
      </c>
      <c r="G127" s="123" t="s">
        <v>784</v>
      </c>
      <c r="H127" s="138">
        <v>4.65E-2</v>
      </c>
      <c r="I127" s="142" t="s">
        <v>799</v>
      </c>
      <c r="J127" s="141" t="s">
        <v>22</v>
      </c>
      <c r="K127" s="135" t="s">
        <v>334</v>
      </c>
      <c r="L127" s="117" t="s">
        <v>929</v>
      </c>
      <c r="M127" s="117" t="s">
        <v>786</v>
      </c>
      <c r="N127" s="117" t="s">
        <v>808</v>
      </c>
    </row>
    <row r="128" spans="1:14" ht="25.5" hidden="1" x14ac:dyDescent="0.3">
      <c r="A128" s="128" t="s">
        <v>783</v>
      </c>
      <c r="B128" s="129">
        <v>400000000</v>
      </c>
      <c r="C128" s="139">
        <v>770000</v>
      </c>
      <c r="D128" s="129">
        <f t="shared" si="2"/>
        <v>400770000</v>
      </c>
      <c r="E128" s="130">
        <v>43845</v>
      </c>
      <c r="F128" s="130">
        <v>44920</v>
      </c>
      <c r="G128" s="123" t="s">
        <v>784</v>
      </c>
      <c r="H128" s="138">
        <v>6.3E-2</v>
      </c>
      <c r="I128" s="142" t="s">
        <v>799</v>
      </c>
      <c r="J128" s="141" t="s">
        <v>932</v>
      </c>
      <c r="K128" s="135" t="s">
        <v>334</v>
      </c>
      <c r="L128" s="117" t="s">
        <v>929</v>
      </c>
      <c r="M128" s="117" t="s">
        <v>786</v>
      </c>
      <c r="N128" s="117" t="s">
        <v>787</v>
      </c>
    </row>
    <row r="129" spans="1:14" hidden="1" x14ac:dyDescent="0.3">
      <c r="A129" s="135" t="s">
        <v>783</v>
      </c>
      <c r="B129" s="129">
        <v>400000000</v>
      </c>
      <c r="C129" s="129">
        <v>1090000.01</v>
      </c>
      <c r="D129" s="129">
        <f t="shared" si="2"/>
        <v>401090000.00999999</v>
      </c>
      <c r="E129" s="130">
        <v>44197</v>
      </c>
      <c r="F129" s="130">
        <v>45285</v>
      </c>
      <c r="G129" s="123" t="s">
        <v>784</v>
      </c>
      <c r="H129" s="138">
        <v>5.0999999999999997E-2</v>
      </c>
      <c r="I129" s="142" t="s">
        <v>799</v>
      </c>
      <c r="J129" s="142"/>
      <c r="K129" s="143" t="s">
        <v>334</v>
      </c>
      <c r="L129" s="117" t="s">
        <v>929</v>
      </c>
      <c r="M129" s="117" t="s">
        <v>786</v>
      </c>
      <c r="N129" s="117" t="s">
        <v>787</v>
      </c>
    </row>
    <row r="130" spans="1:14" hidden="1" x14ac:dyDescent="0.3">
      <c r="A130" s="144" t="s">
        <v>903</v>
      </c>
      <c r="B130" s="129">
        <v>46000000</v>
      </c>
      <c r="C130" s="129">
        <v>262966.67</v>
      </c>
      <c r="D130" s="129">
        <f t="shared" si="2"/>
        <v>46262966.670000002</v>
      </c>
      <c r="E130" s="130">
        <v>42955</v>
      </c>
      <c r="F130" s="130">
        <v>45838</v>
      </c>
      <c r="G130" s="123" t="s">
        <v>784</v>
      </c>
      <c r="H130" s="138">
        <v>5.8799999999999998E-2</v>
      </c>
      <c r="I130" s="142" t="s">
        <v>992</v>
      </c>
      <c r="J130" s="142" t="s">
        <v>995</v>
      </c>
      <c r="K130" s="143" t="s">
        <v>334</v>
      </c>
      <c r="L130" s="117" t="s">
        <v>929</v>
      </c>
      <c r="M130" s="117" t="s">
        <v>786</v>
      </c>
      <c r="N130" s="117" t="s">
        <v>794</v>
      </c>
    </row>
    <row r="131" spans="1:14" hidden="1" x14ac:dyDescent="0.3">
      <c r="A131" s="145" t="s">
        <v>904</v>
      </c>
      <c r="B131" s="129">
        <v>70000000</v>
      </c>
      <c r="C131" s="129">
        <v>115286.15</v>
      </c>
      <c r="D131" s="129">
        <f t="shared" si="2"/>
        <v>70115286.150000006</v>
      </c>
      <c r="E131" s="130">
        <v>43207</v>
      </c>
      <c r="F131" s="130">
        <v>46387</v>
      </c>
      <c r="G131" s="123" t="s">
        <v>784</v>
      </c>
      <c r="H131" s="138">
        <v>5.3900000000000003E-2</v>
      </c>
      <c r="I131" s="142" t="s">
        <v>992</v>
      </c>
      <c r="J131" s="142" t="s">
        <v>996</v>
      </c>
      <c r="K131" s="143" t="s">
        <v>334</v>
      </c>
      <c r="L131" s="117" t="s">
        <v>929</v>
      </c>
      <c r="M131" s="117" t="s">
        <v>786</v>
      </c>
      <c r="N131" s="117" t="s">
        <v>808</v>
      </c>
    </row>
    <row r="132" spans="1:14" hidden="1" x14ac:dyDescent="0.3">
      <c r="A132" s="145" t="s">
        <v>904</v>
      </c>
      <c r="B132" s="129">
        <v>10000000</v>
      </c>
      <c r="C132" s="129">
        <v>527022.21</v>
      </c>
      <c r="D132" s="129">
        <f t="shared" si="2"/>
        <v>10527022.210000001</v>
      </c>
      <c r="E132" s="130">
        <v>43224</v>
      </c>
      <c r="F132" s="146">
        <v>46387</v>
      </c>
      <c r="G132" s="123" t="s">
        <v>784</v>
      </c>
      <c r="H132" s="138">
        <v>5.3900000000000003E-2</v>
      </c>
      <c r="I132" s="142" t="s">
        <v>992</v>
      </c>
      <c r="J132" s="142" t="s">
        <v>996</v>
      </c>
      <c r="K132" s="143" t="s">
        <v>334</v>
      </c>
      <c r="L132" s="117" t="s">
        <v>929</v>
      </c>
      <c r="M132" s="117" t="s">
        <v>786</v>
      </c>
      <c r="N132" s="117" t="s">
        <v>808</v>
      </c>
    </row>
    <row r="133" spans="1:14" hidden="1" x14ac:dyDescent="0.3">
      <c r="A133" s="144" t="s">
        <v>831</v>
      </c>
      <c r="B133" s="129">
        <v>100000000</v>
      </c>
      <c r="C133" s="129">
        <v>1823402.77</v>
      </c>
      <c r="D133" s="129">
        <f t="shared" si="2"/>
        <v>101823402.77</v>
      </c>
      <c r="E133" s="130">
        <v>43819</v>
      </c>
      <c r="F133" s="130">
        <v>46738</v>
      </c>
      <c r="G133" s="123" t="s">
        <v>784</v>
      </c>
      <c r="H133" s="138">
        <v>5.2400000000000002E-2</v>
      </c>
      <c r="I133" s="142" t="s">
        <v>992</v>
      </c>
      <c r="J133" s="142" t="s">
        <v>674</v>
      </c>
      <c r="K133" s="143" t="s">
        <v>334</v>
      </c>
      <c r="L133" s="117" t="s">
        <v>929</v>
      </c>
      <c r="M133" s="117" t="s">
        <v>786</v>
      </c>
      <c r="N133" s="117" t="s">
        <v>833</v>
      </c>
    </row>
    <row r="134" spans="1:14" ht="25.5" hidden="1" x14ac:dyDescent="0.3">
      <c r="A134" s="135" t="s">
        <v>796</v>
      </c>
      <c r="B134" s="129">
        <v>15000000</v>
      </c>
      <c r="C134" s="129">
        <v>265833.33</v>
      </c>
      <c r="D134" s="129">
        <f t="shared" si="2"/>
        <v>15265833.33</v>
      </c>
      <c r="E134" s="130">
        <v>44403</v>
      </c>
      <c r="F134" s="130">
        <v>45499</v>
      </c>
      <c r="G134" s="123" t="s">
        <v>784</v>
      </c>
      <c r="H134" s="132">
        <v>5.8000000000000003E-2</v>
      </c>
      <c r="I134" s="142" t="s">
        <v>992</v>
      </c>
      <c r="J134" s="141" t="s">
        <v>908</v>
      </c>
      <c r="K134" s="135" t="s">
        <v>334</v>
      </c>
      <c r="L134" s="117" t="s">
        <v>929</v>
      </c>
      <c r="M134" s="117" t="s">
        <v>786</v>
      </c>
      <c r="N134" s="117" t="s">
        <v>794</v>
      </c>
    </row>
    <row r="135" spans="1:14" hidden="1" x14ac:dyDescent="0.3">
      <c r="A135" s="135" t="s">
        <v>909</v>
      </c>
      <c r="B135" s="129">
        <v>4000000</v>
      </c>
      <c r="C135" s="129">
        <v>188222.22</v>
      </c>
      <c r="D135" s="129">
        <f t="shared" si="2"/>
        <v>4188222.22</v>
      </c>
      <c r="E135" s="130">
        <v>44132</v>
      </c>
      <c r="F135" s="130">
        <v>47107</v>
      </c>
      <c r="G135" s="123" t="s">
        <v>784</v>
      </c>
      <c r="H135" s="132">
        <v>5.5E-2</v>
      </c>
      <c r="I135" s="142" t="s">
        <v>992</v>
      </c>
      <c r="J135" s="141" t="s">
        <v>348</v>
      </c>
      <c r="K135" s="135" t="s">
        <v>334</v>
      </c>
      <c r="L135" s="117" t="s">
        <v>929</v>
      </c>
      <c r="M135" s="117" t="s">
        <v>786</v>
      </c>
      <c r="N135" s="117" t="s">
        <v>794</v>
      </c>
    </row>
    <row r="136" spans="1:14" hidden="1" x14ac:dyDescent="0.3">
      <c r="A136" s="128" t="s">
        <v>909</v>
      </c>
      <c r="B136" s="129">
        <v>4000000</v>
      </c>
      <c r="C136" s="129">
        <v>194944.44</v>
      </c>
      <c r="D136" s="129">
        <f t="shared" si="2"/>
        <v>4194944.4400000004</v>
      </c>
      <c r="E136" s="130">
        <v>44491</v>
      </c>
      <c r="F136" s="130">
        <v>47107</v>
      </c>
      <c r="G136" s="123" t="s">
        <v>784</v>
      </c>
      <c r="H136" s="138">
        <v>5.5E-2</v>
      </c>
      <c r="I136" s="142" t="s">
        <v>992</v>
      </c>
      <c r="J136" s="141" t="s">
        <v>348</v>
      </c>
      <c r="K136" s="135" t="s">
        <v>334</v>
      </c>
      <c r="L136" s="117" t="s">
        <v>929</v>
      </c>
      <c r="M136" s="117" t="s">
        <v>786</v>
      </c>
      <c r="N136" s="117" t="s">
        <v>794</v>
      </c>
    </row>
    <row r="137" spans="1:14" hidden="1" x14ac:dyDescent="0.3">
      <c r="A137" s="128" t="s">
        <v>1000</v>
      </c>
      <c r="B137" s="129">
        <v>2000000</v>
      </c>
      <c r="C137" s="129">
        <v>5799.44</v>
      </c>
      <c r="D137" s="129">
        <f t="shared" si="2"/>
        <v>2005799.44</v>
      </c>
      <c r="E137" s="130">
        <v>43826</v>
      </c>
      <c r="F137" s="130">
        <v>44543</v>
      </c>
      <c r="G137" s="123" t="s">
        <v>784</v>
      </c>
      <c r="H137" s="138">
        <v>9.4899999999999998E-2</v>
      </c>
      <c r="I137" s="142" t="s">
        <v>992</v>
      </c>
      <c r="J137" s="141" t="s">
        <v>650</v>
      </c>
      <c r="K137" s="135" t="s">
        <v>334</v>
      </c>
      <c r="L137" s="117" t="s">
        <v>929</v>
      </c>
      <c r="M137" s="117" t="s">
        <v>1001</v>
      </c>
    </row>
    <row r="138" spans="1:14" hidden="1" x14ac:dyDescent="0.3">
      <c r="A138" s="128" t="s">
        <v>1000</v>
      </c>
      <c r="B138" s="129">
        <v>12000000</v>
      </c>
      <c r="C138" s="129">
        <v>34796.67</v>
      </c>
      <c r="D138" s="129">
        <f t="shared" si="2"/>
        <v>12034796.67</v>
      </c>
      <c r="E138" s="130">
        <v>43846</v>
      </c>
      <c r="F138" s="130">
        <v>44577</v>
      </c>
      <c r="G138" s="123" t="s">
        <v>784</v>
      </c>
      <c r="H138" s="138">
        <v>9.4899999999999998E-2</v>
      </c>
      <c r="I138" s="142" t="s">
        <v>992</v>
      </c>
      <c r="J138" s="141" t="s">
        <v>650</v>
      </c>
      <c r="K138" s="135" t="s">
        <v>334</v>
      </c>
      <c r="L138" s="117" t="s">
        <v>929</v>
      </c>
      <c r="M138" s="117" t="s">
        <v>1001</v>
      </c>
    </row>
    <row r="139" spans="1:14" hidden="1" x14ac:dyDescent="0.3">
      <c r="A139" s="128" t="s">
        <v>1000</v>
      </c>
      <c r="B139" s="129">
        <v>100000000</v>
      </c>
      <c r="C139" s="129">
        <v>289972.21999999997</v>
      </c>
      <c r="D139" s="129">
        <f t="shared" si="2"/>
        <v>100289972.22</v>
      </c>
      <c r="E139" s="130">
        <v>43900</v>
      </c>
      <c r="F139" s="130">
        <v>44630</v>
      </c>
      <c r="G139" s="123" t="s">
        <v>784</v>
      </c>
      <c r="H139" s="138">
        <v>9.4899999999999998E-2</v>
      </c>
      <c r="I139" s="142" t="s">
        <v>992</v>
      </c>
      <c r="J139" s="141" t="s">
        <v>650</v>
      </c>
      <c r="K139" s="135" t="s">
        <v>334</v>
      </c>
      <c r="L139" s="117" t="s">
        <v>929</v>
      </c>
      <c r="M139" s="117" t="s">
        <v>1001</v>
      </c>
    </row>
    <row r="140" spans="1:14" hidden="1" x14ac:dyDescent="0.3">
      <c r="A140" s="128" t="s">
        <v>1002</v>
      </c>
      <c r="B140" s="129">
        <v>99510000</v>
      </c>
      <c r="C140" s="129">
        <v>266742.08</v>
      </c>
      <c r="D140" s="129">
        <f t="shared" si="2"/>
        <v>99776742.079999998</v>
      </c>
      <c r="E140" s="130">
        <v>43912</v>
      </c>
      <c r="F140" s="130">
        <v>44642</v>
      </c>
      <c r="G140" s="123" t="s">
        <v>784</v>
      </c>
      <c r="H140" s="138">
        <v>9.6500000000000002E-2</v>
      </c>
      <c r="I140" s="142" t="s">
        <v>992</v>
      </c>
      <c r="J140" s="141" t="s">
        <v>650</v>
      </c>
      <c r="K140" s="135" t="s">
        <v>334</v>
      </c>
      <c r="L140" s="117" t="s">
        <v>929</v>
      </c>
      <c r="M140" s="117" t="s">
        <v>1001</v>
      </c>
    </row>
    <row r="141" spans="1:14" hidden="1" x14ac:dyDescent="0.3">
      <c r="A141" s="128" t="s">
        <v>828</v>
      </c>
      <c r="B141" s="129">
        <v>50000000</v>
      </c>
      <c r="C141" s="129">
        <v>623311.05000000005</v>
      </c>
      <c r="D141" s="129">
        <f t="shared" si="2"/>
        <v>50623311.049999997</v>
      </c>
      <c r="E141" s="130">
        <v>44221</v>
      </c>
      <c r="F141" s="130">
        <v>46738</v>
      </c>
      <c r="G141" s="123" t="s">
        <v>784</v>
      </c>
      <c r="H141" s="138">
        <v>6.8000000000000005E-2</v>
      </c>
      <c r="I141" s="142" t="s">
        <v>992</v>
      </c>
      <c r="J141" s="141" t="s">
        <v>649</v>
      </c>
      <c r="K141" s="135" t="s">
        <v>349</v>
      </c>
      <c r="L141" s="117" t="s">
        <v>929</v>
      </c>
      <c r="M141" s="117" t="s">
        <v>786</v>
      </c>
      <c r="N141" s="117" t="s">
        <v>789</v>
      </c>
    </row>
    <row r="142" spans="1:14" hidden="1" x14ac:dyDescent="0.3">
      <c r="A142" s="128" t="s">
        <v>910</v>
      </c>
      <c r="B142" s="129">
        <v>150000</v>
      </c>
      <c r="C142" s="129">
        <v>190562.23</v>
      </c>
      <c r="D142" s="129">
        <f t="shared" si="2"/>
        <v>340562.23</v>
      </c>
      <c r="E142" s="130">
        <v>44285</v>
      </c>
      <c r="F142" s="130">
        <v>50915</v>
      </c>
      <c r="G142" s="123" t="s">
        <v>784</v>
      </c>
      <c r="H142" s="138">
        <v>5.1999999999999998E-2</v>
      </c>
      <c r="I142" s="142" t="s">
        <v>992</v>
      </c>
      <c r="J142" s="141" t="s">
        <v>649</v>
      </c>
      <c r="K142" s="135" t="s">
        <v>349</v>
      </c>
      <c r="L142" s="117" t="s">
        <v>929</v>
      </c>
      <c r="M142" s="117" t="s">
        <v>786</v>
      </c>
      <c r="N142" s="117" t="s">
        <v>794</v>
      </c>
    </row>
    <row r="143" spans="1:14" hidden="1" x14ac:dyDescent="0.3">
      <c r="A143" s="128" t="s">
        <v>911</v>
      </c>
      <c r="B143" s="129">
        <v>900000</v>
      </c>
      <c r="C143" s="129">
        <v>47666.67</v>
      </c>
      <c r="D143" s="129">
        <f t="shared" si="2"/>
        <v>947666.67</v>
      </c>
      <c r="E143" s="130">
        <v>44285</v>
      </c>
      <c r="F143" s="130">
        <v>50915</v>
      </c>
      <c r="G143" s="123" t="s">
        <v>784</v>
      </c>
      <c r="H143" s="138">
        <v>5.1999999999999998E-2</v>
      </c>
      <c r="I143" s="142" t="s">
        <v>992</v>
      </c>
      <c r="J143" s="141" t="s">
        <v>649</v>
      </c>
      <c r="K143" s="135" t="s">
        <v>349</v>
      </c>
      <c r="L143" s="117" t="s">
        <v>929</v>
      </c>
      <c r="M143" s="117" t="s">
        <v>786</v>
      </c>
      <c r="N143" s="117" t="s">
        <v>808</v>
      </c>
    </row>
    <row r="144" spans="1:14" hidden="1" x14ac:dyDescent="0.3">
      <c r="A144" s="128" t="s">
        <v>911</v>
      </c>
      <c r="B144" s="129">
        <v>1314000</v>
      </c>
      <c r="C144" s="129">
        <v>236426.66</v>
      </c>
      <c r="D144" s="129">
        <f t="shared" si="2"/>
        <v>1550426.66</v>
      </c>
      <c r="E144" s="130">
        <v>44399</v>
      </c>
      <c r="F144" s="130">
        <v>50915</v>
      </c>
      <c r="G144" s="123" t="s">
        <v>784</v>
      </c>
      <c r="H144" s="138">
        <v>5.1999999999999998E-2</v>
      </c>
      <c r="I144" s="142" t="s">
        <v>992</v>
      </c>
      <c r="J144" s="141" t="s">
        <v>649</v>
      </c>
      <c r="K144" s="135" t="s">
        <v>349</v>
      </c>
      <c r="L144" s="117" t="s">
        <v>929</v>
      </c>
      <c r="M144" s="117" t="s">
        <v>786</v>
      </c>
      <c r="N144" s="117" t="s">
        <v>808</v>
      </c>
    </row>
    <row r="145" spans="1:14" hidden="1" x14ac:dyDescent="0.3">
      <c r="A145" s="128" t="s">
        <v>909</v>
      </c>
      <c r="B145" s="129">
        <v>4000000</v>
      </c>
      <c r="C145" s="129">
        <v>209733.33</v>
      </c>
      <c r="D145" s="129">
        <f t="shared" si="2"/>
        <v>4209733.33</v>
      </c>
      <c r="E145" s="130">
        <v>44011</v>
      </c>
      <c r="F145" s="130">
        <v>47108</v>
      </c>
      <c r="G145" s="123" t="s">
        <v>784</v>
      </c>
      <c r="H145" s="138">
        <v>5.1999999999999998E-2</v>
      </c>
      <c r="I145" s="142" t="s">
        <v>992</v>
      </c>
      <c r="J145" s="141" t="s">
        <v>354</v>
      </c>
      <c r="K145" s="135" t="s">
        <v>360</v>
      </c>
      <c r="L145" s="117" t="s">
        <v>929</v>
      </c>
      <c r="M145" s="117" t="s">
        <v>786</v>
      </c>
      <c r="N145" s="117" t="s">
        <v>794</v>
      </c>
    </row>
    <row r="146" spans="1:14" ht="15" hidden="1" customHeight="1" x14ac:dyDescent="0.3">
      <c r="A146" s="128" t="s">
        <v>1003</v>
      </c>
      <c r="B146" s="129">
        <v>10000000</v>
      </c>
      <c r="C146" s="129">
        <v>41083.339999999997</v>
      </c>
      <c r="D146" s="129">
        <f t="shared" si="2"/>
        <v>10041083.34</v>
      </c>
      <c r="E146" s="130">
        <v>44561</v>
      </c>
      <c r="F146" s="130">
        <v>45636</v>
      </c>
      <c r="G146" s="123" t="s">
        <v>784</v>
      </c>
      <c r="H146" s="138">
        <v>4.9000000000000002E-2</v>
      </c>
      <c r="I146" s="142" t="s">
        <v>842</v>
      </c>
      <c r="J146" s="141" t="s">
        <v>1004</v>
      </c>
      <c r="K146" s="135" t="s">
        <v>355</v>
      </c>
      <c r="L146" s="117" t="s">
        <v>929</v>
      </c>
      <c r="M146" s="117" t="s">
        <v>786</v>
      </c>
      <c r="N146" s="117" t="s">
        <v>808</v>
      </c>
    </row>
    <row r="147" spans="1:14" hidden="1" x14ac:dyDescent="0.3">
      <c r="A147" s="128" t="s">
        <v>997</v>
      </c>
      <c r="B147" s="129">
        <v>3000000</v>
      </c>
      <c r="C147" s="129">
        <v>20212.5</v>
      </c>
      <c r="D147" s="129">
        <f t="shared" si="2"/>
        <v>3020212.5</v>
      </c>
      <c r="E147" s="130">
        <v>44551</v>
      </c>
      <c r="F147" s="130">
        <v>44561</v>
      </c>
      <c r="G147" s="123" t="s">
        <v>784</v>
      </c>
      <c r="H147" s="138">
        <v>6.3E-2</v>
      </c>
      <c r="I147" s="142" t="s">
        <v>992</v>
      </c>
      <c r="J147" s="142" t="s">
        <v>354</v>
      </c>
      <c r="K147" s="135" t="s">
        <v>372</v>
      </c>
      <c r="L147" s="117" t="s">
        <v>929</v>
      </c>
      <c r="M147" s="117" t="s">
        <v>786</v>
      </c>
      <c r="N147" s="117" t="s">
        <v>794</v>
      </c>
    </row>
    <row r="148" spans="1:14" hidden="1" x14ac:dyDescent="0.3">
      <c r="A148" s="128" t="s">
        <v>444</v>
      </c>
      <c r="B148" s="129">
        <v>0</v>
      </c>
      <c r="C148" s="129">
        <v>583333.25</v>
      </c>
      <c r="D148" s="129">
        <f t="shared" si="2"/>
        <v>583333.25</v>
      </c>
      <c r="E148" s="130">
        <v>44195</v>
      </c>
      <c r="F148" s="130">
        <v>46019</v>
      </c>
      <c r="G148" s="123" t="s">
        <v>784</v>
      </c>
      <c r="H148" s="138">
        <v>7.0000000000000007E-2</v>
      </c>
      <c r="I148" s="142" t="s">
        <v>992</v>
      </c>
      <c r="J148" s="142" t="s">
        <v>802</v>
      </c>
      <c r="K148" s="135" t="s">
        <v>382</v>
      </c>
      <c r="L148" s="117" t="s">
        <v>929</v>
      </c>
      <c r="M148" s="117" t="s">
        <v>786</v>
      </c>
      <c r="N148" s="117" t="s">
        <v>789</v>
      </c>
    </row>
    <row r="149" spans="1:14" hidden="1" x14ac:dyDescent="0.3">
      <c r="A149" s="128" t="s">
        <v>614</v>
      </c>
      <c r="B149" s="129"/>
      <c r="C149" s="129">
        <v>25000</v>
      </c>
      <c r="D149" s="129">
        <f t="shared" si="2"/>
        <v>25000</v>
      </c>
      <c r="E149" s="130">
        <v>44371</v>
      </c>
      <c r="F149" s="130">
        <v>46193</v>
      </c>
      <c r="G149" s="123" t="s">
        <v>784</v>
      </c>
      <c r="H149" s="138">
        <v>4.4999999999999998E-2</v>
      </c>
      <c r="I149" s="142" t="s">
        <v>992</v>
      </c>
      <c r="J149" s="142"/>
      <c r="K149" s="135" t="s">
        <v>344</v>
      </c>
      <c r="L149" s="117" t="s">
        <v>929</v>
      </c>
      <c r="M149" s="117" t="s">
        <v>786</v>
      </c>
      <c r="N149" s="117" t="s">
        <v>789</v>
      </c>
    </row>
    <row r="150" spans="1:14" hidden="1" x14ac:dyDescent="0.3">
      <c r="A150" s="128" t="s">
        <v>614</v>
      </c>
      <c r="B150" s="129"/>
      <c r="C150" s="129">
        <v>66666.67</v>
      </c>
      <c r="D150" s="129">
        <f t="shared" si="2"/>
        <v>66666.67</v>
      </c>
      <c r="E150" s="130">
        <v>44337</v>
      </c>
      <c r="F150" s="130">
        <v>45066</v>
      </c>
      <c r="G150" s="123" t="s">
        <v>784</v>
      </c>
      <c r="H150" s="138">
        <v>4.8000000000000001E-2</v>
      </c>
      <c r="I150" s="142" t="s">
        <v>842</v>
      </c>
      <c r="J150" s="142" t="s">
        <v>998</v>
      </c>
      <c r="K150" s="135" t="s">
        <v>344</v>
      </c>
      <c r="L150" s="117" t="s">
        <v>929</v>
      </c>
      <c r="M150" s="117" t="s">
        <v>786</v>
      </c>
      <c r="N150" s="117" t="s">
        <v>789</v>
      </c>
    </row>
    <row r="151" spans="1:14" hidden="1" x14ac:dyDescent="0.3">
      <c r="A151" s="147" t="s">
        <v>1005</v>
      </c>
      <c r="D151" s="118">
        <v>39679675.400000103</v>
      </c>
      <c r="E151" s="148">
        <v>43448</v>
      </c>
      <c r="F151" s="148">
        <v>45274</v>
      </c>
      <c r="L151" s="117" t="s">
        <v>78</v>
      </c>
      <c r="M151" s="117" t="s">
        <v>1006</v>
      </c>
    </row>
    <row r="152" spans="1:14" hidden="1" x14ac:dyDescent="0.3">
      <c r="A152" s="147" t="s">
        <v>892</v>
      </c>
      <c r="D152" s="118">
        <v>447977244.32999998</v>
      </c>
      <c r="E152" s="148">
        <v>43938</v>
      </c>
      <c r="F152" s="148">
        <v>45033</v>
      </c>
      <c r="L152" s="117" t="s">
        <v>78</v>
      </c>
      <c r="M152" s="117" t="s">
        <v>1007</v>
      </c>
    </row>
    <row r="153" spans="1:14" hidden="1" x14ac:dyDescent="0.3">
      <c r="A153" s="147" t="s">
        <v>872</v>
      </c>
      <c r="D153" s="118">
        <v>948998813.02999997</v>
      </c>
      <c r="E153" s="148">
        <v>43948</v>
      </c>
      <c r="F153" s="148">
        <v>46504</v>
      </c>
      <c r="L153" s="117" t="s">
        <v>78</v>
      </c>
      <c r="M153" s="117" t="s">
        <v>1008</v>
      </c>
    </row>
    <row r="154" spans="1:14" hidden="1" x14ac:dyDescent="0.3">
      <c r="A154" s="147" t="s">
        <v>874</v>
      </c>
      <c r="D154" s="118">
        <v>202543083.19999999</v>
      </c>
      <c r="E154" s="148">
        <v>43948</v>
      </c>
      <c r="F154" s="148">
        <v>46504</v>
      </c>
      <c r="L154" s="117" t="s">
        <v>78</v>
      </c>
      <c r="M154" s="117" t="s">
        <v>1008</v>
      </c>
    </row>
    <row r="155" spans="1:14" hidden="1" x14ac:dyDescent="0.3">
      <c r="A155" s="147" t="s">
        <v>875</v>
      </c>
      <c r="D155" s="118">
        <v>1043243512.61</v>
      </c>
      <c r="E155" s="148">
        <v>43979</v>
      </c>
      <c r="F155" s="148">
        <v>45805</v>
      </c>
      <c r="L155" s="117" t="s">
        <v>78</v>
      </c>
      <c r="M155" s="117" t="s">
        <v>1006</v>
      </c>
    </row>
    <row r="156" spans="1:14" x14ac:dyDescent="0.3">
      <c r="A156" s="147" t="s">
        <v>1009</v>
      </c>
      <c r="D156" s="118">
        <v>299980976.64999998</v>
      </c>
      <c r="E156" s="149">
        <v>44062</v>
      </c>
      <c r="F156" s="150">
        <v>45157</v>
      </c>
      <c r="L156" s="117" t="s">
        <v>78</v>
      </c>
      <c r="M156" s="117" t="s">
        <v>878</v>
      </c>
    </row>
    <row r="157" spans="1:14" x14ac:dyDescent="0.3">
      <c r="A157" s="147" t="s">
        <v>1010</v>
      </c>
      <c r="D157" s="118">
        <v>199987372.53</v>
      </c>
      <c r="E157" s="149">
        <v>44088</v>
      </c>
      <c r="F157" s="150">
        <v>45183</v>
      </c>
      <c r="L157" s="117" t="s">
        <v>78</v>
      </c>
      <c r="M157" s="117" t="s">
        <v>878</v>
      </c>
    </row>
    <row r="158" spans="1:14" hidden="1" x14ac:dyDescent="0.3">
      <c r="A158" s="147" t="s">
        <v>876</v>
      </c>
      <c r="D158" s="118">
        <v>943574985.62</v>
      </c>
      <c r="E158" s="148">
        <v>44082</v>
      </c>
      <c r="F158" s="148">
        <v>45908</v>
      </c>
      <c r="L158" s="117" t="s">
        <v>78</v>
      </c>
      <c r="M158" s="117" t="s">
        <v>1006</v>
      </c>
    </row>
    <row r="159" spans="1:14" x14ac:dyDescent="0.3">
      <c r="A159" s="147" t="s">
        <v>877</v>
      </c>
      <c r="D159" s="118">
        <v>174052553.18000001</v>
      </c>
      <c r="E159" s="151">
        <v>44406</v>
      </c>
      <c r="F159" s="150">
        <v>45502</v>
      </c>
      <c r="L159" s="117" t="s">
        <v>78</v>
      </c>
      <c r="M159" s="117" t="s">
        <v>878</v>
      </c>
    </row>
    <row r="160" spans="1:14" hidden="1" x14ac:dyDescent="0.3">
      <c r="A160" s="147" t="s">
        <v>879</v>
      </c>
      <c r="D160" s="118">
        <v>439040598.67000002</v>
      </c>
      <c r="E160" s="148">
        <v>44453</v>
      </c>
      <c r="F160" s="148">
        <v>46279</v>
      </c>
      <c r="L160" s="117" t="s">
        <v>78</v>
      </c>
      <c r="M160" s="117" t="s">
        <v>1006</v>
      </c>
    </row>
    <row r="161" spans="1:13" hidden="1" x14ac:dyDescent="0.3">
      <c r="A161" s="147" t="s">
        <v>880</v>
      </c>
      <c r="D161" s="118">
        <v>289463013.44</v>
      </c>
      <c r="E161" s="148">
        <v>44533</v>
      </c>
      <c r="F161" s="148">
        <v>45629</v>
      </c>
      <c r="L161" s="117" t="s">
        <v>78</v>
      </c>
      <c r="M161" s="117" t="s">
        <v>1006</v>
      </c>
    </row>
    <row r="162" spans="1:13" hidden="1" x14ac:dyDescent="0.3">
      <c r="A162" s="147" t="s">
        <v>1011</v>
      </c>
      <c r="D162" s="118">
        <v>644923245.45000005</v>
      </c>
      <c r="E162" s="148">
        <v>44538</v>
      </c>
      <c r="F162" s="148">
        <v>45634</v>
      </c>
      <c r="L162" s="117" t="s">
        <v>78</v>
      </c>
      <c r="M162" s="117" t="s">
        <v>1006</v>
      </c>
    </row>
    <row r="163" spans="1:13" hidden="1" x14ac:dyDescent="0.3">
      <c r="A163" s="147" t="s">
        <v>894</v>
      </c>
      <c r="D163" s="118">
        <v>7470000</v>
      </c>
      <c r="E163" s="149">
        <v>43829</v>
      </c>
      <c r="F163" s="150">
        <v>44925</v>
      </c>
      <c r="L163" s="117" t="s">
        <v>78</v>
      </c>
      <c r="M163" s="117" t="s">
        <v>895</v>
      </c>
    </row>
    <row r="164" spans="1:13" hidden="1" x14ac:dyDescent="0.3">
      <c r="A164" s="147" t="s">
        <v>896</v>
      </c>
      <c r="D164" s="118">
        <v>29730000</v>
      </c>
      <c r="E164" s="149" t="s">
        <v>1012</v>
      </c>
      <c r="F164" s="150">
        <v>45290</v>
      </c>
      <c r="L164" s="117" t="s">
        <v>78</v>
      </c>
      <c r="M164" s="117" t="s">
        <v>895</v>
      </c>
    </row>
    <row r="165" spans="1:13" hidden="1" x14ac:dyDescent="0.3">
      <c r="A165" s="147" t="s">
        <v>897</v>
      </c>
      <c r="D165" s="118">
        <v>29680000</v>
      </c>
      <c r="E165" s="149" t="s">
        <v>1013</v>
      </c>
      <c r="F165" s="150">
        <v>45290</v>
      </c>
      <c r="L165" s="117" t="s">
        <v>78</v>
      </c>
      <c r="M165" s="117" t="s">
        <v>895</v>
      </c>
    </row>
    <row r="166" spans="1:13" hidden="1" x14ac:dyDescent="0.3">
      <c r="A166" s="152" t="s">
        <v>1014</v>
      </c>
      <c r="D166" s="118">
        <v>39315241.630000003</v>
      </c>
      <c r="E166" s="150">
        <v>43817</v>
      </c>
      <c r="F166" s="150">
        <v>45644</v>
      </c>
      <c r="L166" s="117" t="s">
        <v>79</v>
      </c>
      <c r="M166" s="117" t="s">
        <v>961</v>
      </c>
    </row>
    <row r="167" spans="1:13" hidden="1" x14ac:dyDescent="0.3">
      <c r="A167" s="152" t="s">
        <v>956</v>
      </c>
      <c r="D167" s="118">
        <v>124998693.02</v>
      </c>
      <c r="E167" s="150">
        <v>44217</v>
      </c>
      <c r="F167" s="150">
        <v>45312</v>
      </c>
      <c r="L167" s="117" t="s">
        <v>79</v>
      </c>
      <c r="M167" s="117" t="s">
        <v>961</v>
      </c>
    </row>
    <row r="168" spans="1:13" hidden="1" x14ac:dyDescent="0.3">
      <c r="A168" s="152" t="s">
        <v>955</v>
      </c>
      <c r="D168" s="118">
        <v>68621511.040000007</v>
      </c>
      <c r="E168" s="150">
        <v>44231</v>
      </c>
      <c r="F168" s="150">
        <v>45326</v>
      </c>
      <c r="L168" s="117" t="s">
        <v>79</v>
      </c>
      <c r="M168" s="117" t="s">
        <v>961</v>
      </c>
    </row>
    <row r="169" spans="1:13" hidden="1" x14ac:dyDescent="0.3">
      <c r="A169" s="152" t="s">
        <v>951</v>
      </c>
      <c r="D169" s="118">
        <v>58196277.689999998</v>
      </c>
      <c r="E169" s="150">
        <v>44194</v>
      </c>
      <c r="F169" s="150">
        <v>45289</v>
      </c>
      <c r="L169" s="117" t="s">
        <v>79</v>
      </c>
      <c r="M169" s="117" t="s">
        <v>961</v>
      </c>
    </row>
    <row r="170" spans="1:13" hidden="1" x14ac:dyDescent="0.3">
      <c r="A170" s="152" t="s">
        <v>1015</v>
      </c>
      <c r="D170" s="118">
        <v>1.84809323400259E-9</v>
      </c>
      <c r="E170" s="150">
        <v>42875</v>
      </c>
      <c r="F170" s="150">
        <v>44612</v>
      </c>
      <c r="L170" s="117" t="s">
        <v>79</v>
      </c>
      <c r="M170" s="117" t="s">
        <v>961</v>
      </c>
    </row>
    <row r="171" spans="1:13" hidden="1" x14ac:dyDescent="0.3">
      <c r="A171" s="152" t="s">
        <v>933</v>
      </c>
      <c r="D171" s="118">
        <v>49922405.43</v>
      </c>
      <c r="E171" s="150">
        <v>43493</v>
      </c>
      <c r="F171" s="150">
        <v>45319</v>
      </c>
      <c r="L171" s="117" t="s">
        <v>79</v>
      </c>
      <c r="M171" s="117" t="s">
        <v>961</v>
      </c>
    </row>
    <row r="172" spans="1:13" hidden="1" x14ac:dyDescent="0.3">
      <c r="A172" s="152" t="s">
        <v>935</v>
      </c>
      <c r="D172" s="118">
        <v>26970698.780000001</v>
      </c>
      <c r="E172" s="150">
        <v>43844</v>
      </c>
      <c r="F172" s="150">
        <v>45671</v>
      </c>
      <c r="L172" s="117" t="s">
        <v>79</v>
      </c>
      <c r="M172" s="117" t="s">
        <v>961</v>
      </c>
    </row>
    <row r="173" spans="1:13" hidden="1" x14ac:dyDescent="0.3">
      <c r="A173" s="152" t="s">
        <v>935</v>
      </c>
      <c r="D173" s="118">
        <v>53741686.840000004</v>
      </c>
      <c r="E173" s="150">
        <v>43490</v>
      </c>
      <c r="F173" s="150">
        <v>45316</v>
      </c>
      <c r="L173" s="117" t="s">
        <v>79</v>
      </c>
      <c r="M173" s="117" t="s">
        <v>961</v>
      </c>
    </row>
    <row r="174" spans="1:13" hidden="1" x14ac:dyDescent="0.3">
      <c r="A174" s="152" t="s">
        <v>936</v>
      </c>
      <c r="D174" s="118">
        <v>70763514.469999999</v>
      </c>
      <c r="E174" s="150">
        <v>43495</v>
      </c>
      <c r="F174" s="150">
        <v>45321</v>
      </c>
      <c r="L174" s="117" t="s">
        <v>79</v>
      </c>
      <c r="M174" s="117" t="s">
        <v>961</v>
      </c>
    </row>
    <row r="175" spans="1:13" hidden="1" x14ac:dyDescent="0.3">
      <c r="A175" s="152" t="s">
        <v>936</v>
      </c>
      <c r="D175" s="118">
        <v>55262564.25</v>
      </c>
      <c r="E175" s="150">
        <v>43851</v>
      </c>
      <c r="F175" s="150">
        <v>45678</v>
      </c>
      <c r="L175" s="117" t="s">
        <v>79</v>
      </c>
      <c r="M175" s="117" t="s">
        <v>961</v>
      </c>
    </row>
    <row r="176" spans="1:13" hidden="1" x14ac:dyDescent="0.3">
      <c r="A176" s="152" t="s">
        <v>1016</v>
      </c>
      <c r="D176" s="118">
        <v>7.5669959187507598E-10</v>
      </c>
      <c r="E176" s="150">
        <v>43734</v>
      </c>
      <c r="F176" s="150">
        <v>44830</v>
      </c>
      <c r="L176" s="117" t="s">
        <v>79</v>
      </c>
      <c r="M176" s="117" t="s">
        <v>961</v>
      </c>
    </row>
    <row r="177" spans="1:13" hidden="1" x14ac:dyDescent="0.3">
      <c r="A177" s="152" t="s">
        <v>937</v>
      </c>
      <c r="D177" s="118">
        <v>52383922.409999996</v>
      </c>
      <c r="E177" s="150">
        <v>43760</v>
      </c>
      <c r="F177" s="150">
        <v>45587</v>
      </c>
      <c r="L177" s="117" t="s">
        <v>79</v>
      </c>
      <c r="M177" s="117" t="s">
        <v>961</v>
      </c>
    </row>
    <row r="178" spans="1:13" hidden="1" x14ac:dyDescent="0.3">
      <c r="A178" s="152" t="s">
        <v>962</v>
      </c>
      <c r="D178" s="118">
        <v>26890576.899999999</v>
      </c>
      <c r="E178" s="150">
        <v>43775</v>
      </c>
      <c r="F178" s="150">
        <v>45236</v>
      </c>
      <c r="L178" s="117" t="s">
        <v>79</v>
      </c>
      <c r="M178" s="117" t="s">
        <v>961</v>
      </c>
    </row>
    <row r="179" spans="1:13" hidden="1" x14ac:dyDescent="0.3">
      <c r="A179" s="152" t="s">
        <v>963</v>
      </c>
      <c r="D179" s="118">
        <v>21590413.600000001</v>
      </c>
      <c r="E179" s="150">
        <v>43776</v>
      </c>
      <c r="F179" s="150">
        <v>45237</v>
      </c>
      <c r="L179" s="117" t="s">
        <v>79</v>
      </c>
      <c r="M179" s="117" t="s">
        <v>961</v>
      </c>
    </row>
    <row r="180" spans="1:13" hidden="1" x14ac:dyDescent="0.3">
      <c r="A180" s="152" t="s">
        <v>964</v>
      </c>
      <c r="D180" s="118">
        <v>26514699.18</v>
      </c>
      <c r="E180" s="150">
        <v>43795</v>
      </c>
      <c r="F180" s="150">
        <v>45256</v>
      </c>
      <c r="L180" s="117" t="s">
        <v>79</v>
      </c>
      <c r="M180" s="117" t="s">
        <v>961</v>
      </c>
    </row>
    <row r="181" spans="1:13" hidden="1" x14ac:dyDescent="0.3">
      <c r="A181" s="152" t="s">
        <v>938</v>
      </c>
      <c r="D181" s="118">
        <v>38549885.509999998</v>
      </c>
      <c r="E181" s="150">
        <v>43805</v>
      </c>
      <c r="F181" s="150">
        <v>45632</v>
      </c>
      <c r="L181" s="117" t="s">
        <v>79</v>
      </c>
      <c r="M181" s="117" t="s">
        <v>961</v>
      </c>
    </row>
    <row r="182" spans="1:13" hidden="1" x14ac:dyDescent="0.3">
      <c r="A182" s="152" t="s">
        <v>1017</v>
      </c>
      <c r="D182" s="118">
        <v>1.5133991837501499E-9</v>
      </c>
      <c r="E182" s="150">
        <v>43829</v>
      </c>
      <c r="F182" s="150">
        <v>44925</v>
      </c>
      <c r="L182" s="117" t="s">
        <v>79</v>
      </c>
      <c r="M182" s="117" t="s">
        <v>961</v>
      </c>
    </row>
    <row r="183" spans="1:13" ht="13.15" hidden="1" x14ac:dyDescent="0.3">
      <c r="A183" s="152" t="s">
        <v>939</v>
      </c>
      <c r="D183" s="118">
        <v>7091896.1500000097</v>
      </c>
      <c r="E183" s="153">
        <v>44544</v>
      </c>
      <c r="F183" s="154">
        <v>45640</v>
      </c>
      <c r="I183" s="155"/>
      <c r="J183" s="155"/>
      <c r="L183" s="117" t="s">
        <v>79</v>
      </c>
      <c r="M183" s="117" t="s">
        <v>961</v>
      </c>
    </row>
    <row r="184" spans="1:13" hidden="1" x14ac:dyDescent="0.3">
      <c r="A184" s="152" t="s">
        <v>939</v>
      </c>
      <c r="D184" s="118">
        <v>80334343.620000005</v>
      </c>
      <c r="E184" s="150">
        <v>43851</v>
      </c>
      <c r="F184" s="150">
        <v>44947</v>
      </c>
      <c r="L184" s="117" t="s">
        <v>79</v>
      </c>
      <c r="M184" s="117" t="s">
        <v>961</v>
      </c>
    </row>
    <row r="185" spans="1:13" hidden="1" x14ac:dyDescent="0.3">
      <c r="A185" s="152" t="s">
        <v>940</v>
      </c>
      <c r="D185" s="118">
        <v>65739744.270000003</v>
      </c>
      <c r="E185" s="150">
        <v>44524</v>
      </c>
      <c r="F185" s="150">
        <v>45620</v>
      </c>
      <c r="L185" s="117" t="s">
        <v>79</v>
      </c>
      <c r="M185" s="117" t="s">
        <v>961</v>
      </c>
    </row>
    <row r="186" spans="1:13" hidden="1" x14ac:dyDescent="0.3">
      <c r="A186" s="152" t="s">
        <v>941</v>
      </c>
      <c r="D186" s="118">
        <v>98314887.099999994</v>
      </c>
      <c r="E186" s="150">
        <v>44210</v>
      </c>
      <c r="F186" s="150">
        <v>45305</v>
      </c>
      <c r="L186" s="117" t="s">
        <v>79</v>
      </c>
      <c r="M186" s="117" t="s">
        <v>961</v>
      </c>
    </row>
    <row r="187" spans="1:13" hidden="1" x14ac:dyDescent="0.3">
      <c r="A187" s="152" t="s">
        <v>942</v>
      </c>
      <c r="D187" s="118">
        <v>87471920.459999993</v>
      </c>
      <c r="E187" s="150">
        <v>44222</v>
      </c>
      <c r="F187" s="150">
        <v>46048</v>
      </c>
      <c r="L187" s="117" t="s">
        <v>79</v>
      </c>
      <c r="M187" s="117" t="s">
        <v>961</v>
      </c>
    </row>
    <row r="188" spans="1:13" hidden="1" x14ac:dyDescent="0.3">
      <c r="A188" s="152" t="s">
        <v>943</v>
      </c>
      <c r="D188" s="118">
        <v>96540546.269999996</v>
      </c>
      <c r="E188" s="150">
        <v>44223</v>
      </c>
      <c r="F188" s="150">
        <v>46049</v>
      </c>
      <c r="L188" s="117" t="s">
        <v>79</v>
      </c>
      <c r="M188" s="117" t="s">
        <v>961</v>
      </c>
    </row>
    <row r="189" spans="1:13" hidden="1" x14ac:dyDescent="0.3">
      <c r="A189" s="152" t="s">
        <v>943</v>
      </c>
      <c r="D189" s="118">
        <v>108925790.19</v>
      </c>
      <c r="E189" s="150">
        <v>44512</v>
      </c>
      <c r="F189" s="150">
        <v>46338</v>
      </c>
      <c r="L189" s="117" t="s">
        <v>79</v>
      </c>
      <c r="M189" s="117" t="s">
        <v>961</v>
      </c>
    </row>
    <row r="190" spans="1:13" hidden="1" x14ac:dyDescent="0.3">
      <c r="A190" s="152" t="s">
        <v>945</v>
      </c>
      <c r="D190" s="118">
        <v>33527379.719999999</v>
      </c>
      <c r="E190" s="150">
        <v>44223</v>
      </c>
      <c r="F190" s="150">
        <v>46049</v>
      </c>
      <c r="L190" s="117" t="s">
        <v>79</v>
      </c>
      <c r="M190" s="117" t="s">
        <v>961</v>
      </c>
    </row>
    <row r="191" spans="1:13" hidden="1" x14ac:dyDescent="0.3">
      <c r="A191" s="152" t="s">
        <v>946</v>
      </c>
      <c r="D191" s="118">
        <v>69207755.709999993</v>
      </c>
      <c r="E191" s="150">
        <v>44195</v>
      </c>
      <c r="F191" s="150">
        <v>45290</v>
      </c>
      <c r="L191" s="117" t="s">
        <v>79</v>
      </c>
      <c r="M191" s="117" t="s">
        <v>961</v>
      </c>
    </row>
    <row r="192" spans="1:13" hidden="1" x14ac:dyDescent="0.3">
      <c r="A192" s="152" t="s">
        <v>946</v>
      </c>
      <c r="D192" s="118">
        <v>40461934.420000002</v>
      </c>
      <c r="E192" s="150">
        <v>44195</v>
      </c>
      <c r="F192" s="150">
        <v>45290</v>
      </c>
      <c r="L192" s="117" t="s">
        <v>79</v>
      </c>
      <c r="M192" s="117" t="s">
        <v>961</v>
      </c>
    </row>
    <row r="193" spans="1:13" hidden="1" x14ac:dyDescent="0.3">
      <c r="A193" s="152" t="s">
        <v>948</v>
      </c>
      <c r="D193" s="118">
        <v>48358657.189999998</v>
      </c>
      <c r="E193" s="150">
        <v>43843</v>
      </c>
      <c r="F193" s="150">
        <v>45670</v>
      </c>
      <c r="L193" s="117" t="s">
        <v>79</v>
      </c>
      <c r="M193" s="117" t="s">
        <v>961</v>
      </c>
    </row>
    <row r="194" spans="1:13" hidden="1" x14ac:dyDescent="0.3">
      <c r="A194" s="152" t="s">
        <v>949</v>
      </c>
      <c r="D194" s="118">
        <v>61106041.159999996</v>
      </c>
      <c r="E194" s="150">
        <v>44545</v>
      </c>
      <c r="F194" s="150">
        <v>45641</v>
      </c>
      <c r="L194" s="117" t="s">
        <v>79</v>
      </c>
      <c r="M194" s="117" t="s">
        <v>961</v>
      </c>
    </row>
    <row r="195" spans="1:13" hidden="1" x14ac:dyDescent="0.3">
      <c r="A195" s="152" t="s">
        <v>950</v>
      </c>
      <c r="D195" s="118">
        <v>103870038.70999999</v>
      </c>
      <c r="E195" s="150">
        <v>43849</v>
      </c>
      <c r="F195" s="150">
        <v>45310</v>
      </c>
      <c r="L195" s="117" t="s">
        <v>79</v>
      </c>
      <c r="M195" s="117" t="s">
        <v>961</v>
      </c>
    </row>
    <row r="196" spans="1:13" hidden="1" x14ac:dyDescent="0.3">
      <c r="A196" s="156" t="s">
        <v>1018</v>
      </c>
      <c r="B196" s="157">
        <v>310000000</v>
      </c>
      <c r="C196" s="157">
        <v>13342704.92</v>
      </c>
      <c r="D196" s="158">
        <f t="shared" ref="D196:D213" si="3">B196+C196</f>
        <v>323342704.92000002</v>
      </c>
      <c r="L196" s="117" t="s">
        <v>74</v>
      </c>
      <c r="M196" s="117" t="s">
        <v>1007</v>
      </c>
    </row>
    <row r="197" spans="1:13" hidden="1" x14ac:dyDescent="0.3">
      <c r="A197" s="156" t="s">
        <v>1019</v>
      </c>
      <c r="B197" s="157">
        <v>340000000</v>
      </c>
      <c r="C197" s="157">
        <v>5531753.4199999999</v>
      </c>
      <c r="D197" s="158">
        <f t="shared" si="3"/>
        <v>345531753.42000002</v>
      </c>
      <c r="L197" s="117" t="s">
        <v>74</v>
      </c>
      <c r="M197" s="117" t="s">
        <v>1007</v>
      </c>
    </row>
    <row r="198" spans="1:13" hidden="1" x14ac:dyDescent="0.3">
      <c r="A198" s="156" t="s">
        <v>1020</v>
      </c>
      <c r="B198" s="157">
        <v>600000000</v>
      </c>
      <c r="C198" s="157">
        <v>1711475.41</v>
      </c>
      <c r="D198" s="158">
        <f t="shared" si="3"/>
        <v>601711475.40999997</v>
      </c>
      <c r="L198" s="117" t="s">
        <v>74</v>
      </c>
      <c r="M198" s="117" t="s">
        <v>1007</v>
      </c>
    </row>
    <row r="199" spans="1:13" hidden="1" x14ac:dyDescent="0.3">
      <c r="A199" s="156" t="s">
        <v>1021</v>
      </c>
      <c r="B199" s="157">
        <v>90000000</v>
      </c>
      <c r="C199" s="157">
        <v>4600109.59</v>
      </c>
      <c r="D199" s="158">
        <f t="shared" si="3"/>
        <v>94600109.590000004</v>
      </c>
      <c r="L199" s="117" t="s">
        <v>74</v>
      </c>
      <c r="M199" s="117" t="s">
        <v>1007</v>
      </c>
    </row>
    <row r="200" spans="1:13" hidden="1" x14ac:dyDescent="0.3">
      <c r="A200" s="156" t="s">
        <v>1022</v>
      </c>
      <c r="B200" s="159">
        <v>200000000</v>
      </c>
      <c r="C200" s="159">
        <v>7032493.1500000004</v>
      </c>
      <c r="D200" s="158">
        <f t="shared" si="3"/>
        <v>207032493.15000001</v>
      </c>
      <c r="L200" s="117" t="s">
        <v>74</v>
      </c>
      <c r="M200" s="117" t="s">
        <v>1007</v>
      </c>
    </row>
    <row r="201" spans="1:13" hidden="1" x14ac:dyDescent="0.3">
      <c r="A201" s="156" t="s">
        <v>1023</v>
      </c>
      <c r="B201" s="159">
        <v>100000000</v>
      </c>
      <c r="C201" s="159">
        <v>2794520.55</v>
      </c>
      <c r="D201" s="158">
        <f t="shared" si="3"/>
        <v>102794520.55</v>
      </c>
      <c r="L201" s="117" t="s">
        <v>74</v>
      </c>
      <c r="M201" s="117" t="s">
        <v>1007</v>
      </c>
    </row>
    <row r="202" spans="1:13" hidden="1" x14ac:dyDescent="0.3">
      <c r="A202" s="156" t="s">
        <v>1024</v>
      </c>
      <c r="B202" s="159">
        <v>480000000</v>
      </c>
      <c r="C202" s="159">
        <v>8312547.9500000002</v>
      </c>
      <c r="D202" s="158">
        <f t="shared" si="3"/>
        <v>488312547.94999999</v>
      </c>
      <c r="L202" s="117" t="s">
        <v>74</v>
      </c>
      <c r="M202" s="117" t="s">
        <v>1007</v>
      </c>
    </row>
    <row r="203" spans="1:13" hidden="1" x14ac:dyDescent="0.3">
      <c r="A203" s="156" t="s">
        <v>1025</v>
      </c>
      <c r="B203" s="159">
        <v>500000000</v>
      </c>
      <c r="C203" s="159">
        <v>16430327.869999999</v>
      </c>
      <c r="D203" s="158">
        <f t="shared" si="3"/>
        <v>516430327.87</v>
      </c>
      <c r="L203" s="117" t="s">
        <v>74</v>
      </c>
      <c r="M203" s="117" t="s">
        <v>1007</v>
      </c>
    </row>
    <row r="204" spans="1:13" hidden="1" x14ac:dyDescent="0.3">
      <c r="A204" s="156" t="s">
        <v>1026</v>
      </c>
      <c r="B204" s="159">
        <v>363000000</v>
      </c>
      <c r="C204" s="159">
        <v>21272990.16</v>
      </c>
      <c r="D204" s="158">
        <f t="shared" si="3"/>
        <v>384272990.16000003</v>
      </c>
      <c r="L204" s="117" t="s">
        <v>74</v>
      </c>
      <c r="M204" s="117" t="s">
        <v>1006</v>
      </c>
    </row>
    <row r="205" spans="1:13" hidden="1" x14ac:dyDescent="0.3">
      <c r="A205" s="156" t="s">
        <v>1027</v>
      </c>
      <c r="B205" s="159">
        <v>637000000</v>
      </c>
      <c r="C205" s="159">
        <v>22242786.890000001</v>
      </c>
      <c r="D205" s="158">
        <f t="shared" si="3"/>
        <v>659242786.88999999</v>
      </c>
      <c r="L205" s="117" t="s">
        <v>74</v>
      </c>
      <c r="M205" s="117" t="s">
        <v>1006</v>
      </c>
    </row>
    <row r="206" spans="1:13" hidden="1" x14ac:dyDescent="0.3">
      <c r="A206" s="156" t="s">
        <v>1028</v>
      </c>
      <c r="B206" s="159">
        <v>300000000</v>
      </c>
      <c r="C206" s="159">
        <v>3963934.43</v>
      </c>
      <c r="D206" s="158">
        <f t="shared" si="3"/>
        <v>303963934.43000001</v>
      </c>
      <c r="L206" s="117" t="s">
        <v>74</v>
      </c>
      <c r="M206" s="117" t="s">
        <v>1007</v>
      </c>
    </row>
    <row r="207" spans="1:13" hidden="1" x14ac:dyDescent="0.3">
      <c r="A207" s="156" t="s">
        <v>1029</v>
      </c>
      <c r="B207" s="159">
        <v>390000000</v>
      </c>
      <c r="C207" s="159">
        <v>3215095.89</v>
      </c>
      <c r="D207" s="158">
        <f t="shared" si="3"/>
        <v>393215095.88999999</v>
      </c>
      <c r="L207" s="117" t="s">
        <v>74</v>
      </c>
      <c r="M207" s="117" t="s">
        <v>1007</v>
      </c>
    </row>
    <row r="208" spans="1:13" hidden="1" x14ac:dyDescent="0.3">
      <c r="A208" s="156" t="s">
        <v>1030</v>
      </c>
      <c r="B208" s="159">
        <v>1470000000</v>
      </c>
      <c r="C208" s="159">
        <v>3060491.8</v>
      </c>
      <c r="D208" s="158">
        <f t="shared" si="3"/>
        <v>1473060491.8</v>
      </c>
      <c r="L208" s="117" t="s">
        <v>74</v>
      </c>
      <c r="M208" s="117" t="s">
        <v>1006</v>
      </c>
    </row>
    <row r="209" spans="1:13" hidden="1" x14ac:dyDescent="0.3">
      <c r="A209" s="156" t="s">
        <v>1031</v>
      </c>
      <c r="B209" s="159">
        <v>82100000</v>
      </c>
      <c r="C209" s="159">
        <v>4899317.5</v>
      </c>
      <c r="D209" s="158">
        <f t="shared" si="3"/>
        <v>86999317.5</v>
      </c>
      <c r="L209" s="117" t="s">
        <v>74</v>
      </c>
      <c r="M209" s="117" t="s">
        <v>895</v>
      </c>
    </row>
    <row r="210" spans="1:13" hidden="1" x14ac:dyDescent="0.3">
      <c r="A210" s="156" t="s">
        <v>1032</v>
      </c>
      <c r="B210" s="159">
        <v>100000000.05</v>
      </c>
      <c r="C210" s="159">
        <v>4340000</v>
      </c>
      <c r="D210" s="158">
        <f t="shared" si="3"/>
        <v>104340000.05</v>
      </c>
      <c r="L210" s="117" t="s">
        <v>74</v>
      </c>
      <c r="M210" s="117" t="s">
        <v>895</v>
      </c>
    </row>
    <row r="211" spans="1:13" hidden="1" x14ac:dyDescent="0.3">
      <c r="A211" s="156" t="s">
        <v>1033</v>
      </c>
      <c r="B211" s="159">
        <v>100000000.01000001</v>
      </c>
      <c r="C211" s="159">
        <v>4095000</v>
      </c>
      <c r="D211" s="158">
        <f t="shared" si="3"/>
        <v>104095000.01000001</v>
      </c>
      <c r="L211" s="117" t="s">
        <v>74</v>
      </c>
      <c r="M211" s="117" t="s">
        <v>895</v>
      </c>
    </row>
    <row r="212" spans="1:13" hidden="1" x14ac:dyDescent="0.3">
      <c r="A212" s="156" t="s">
        <v>1034</v>
      </c>
      <c r="B212" s="159">
        <v>574437.81999999995</v>
      </c>
      <c r="C212" s="159"/>
      <c r="D212" s="158">
        <f t="shared" si="3"/>
        <v>574437.81999999995</v>
      </c>
      <c r="L212" s="117" t="s">
        <v>74</v>
      </c>
      <c r="M212" s="117" t="s">
        <v>247</v>
      </c>
    </row>
    <row r="213" spans="1:13" hidden="1" x14ac:dyDescent="0.3">
      <c r="A213" s="156" t="s">
        <v>1034</v>
      </c>
      <c r="B213" s="159">
        <v>3097908.74</v>
      </c>
      <c r="C213" s="159"/>
      <c r="D213" s="158">
        <f t="shared" si="3"/>
        <v>3097908.74</v>
      </c>
      <c r="L213" s="117" t="s">
        <v>74</v>
      </c>
      <c r="M213" s="117" t="s">
        <v>247</v>
      </c>
    </row>
    <row r="214" spans="1:13" hidden="1" x14ac:dyDescent="0.3">
      <c r="D214" s="118">
        <v>1029821780.45</v>
      </c>
      <c r="L214" s="117" t="s">
        <v>960</v>
      </c>
      <c r="M214" s="117" t="s">
        <v>961</v>
      </c>
    </row>
    <row r="215" spans="1:13" hidden="1" x14ac:dyDescent="0.3">
      <c r="A215" s="160" t="s">
        <v>1035</v>
      </c>
      <c r="D215" s="442">
        <v>498028787.92000002</v>
      </c>
      <c r="L215" s="117" t="s">
        <v>893</v>
      </c>
      <c r="M215" s="117" t="s">
        <v>1036</v>
      </c>
    </row>
    <row r="216" spans="1:13" x14ac:dyDescent="0.3">
      <c r="A216" s="160" t="s">
        <v>1037</v>
      </c>
      <c r="D216" s="442"/>
      <c r="L216" s="117" t="s">
        <v>893</v>
      </c>
      <c r="M216" s="117" t="s">
        <v>878</v>
      </c>
    </row>
    <row r="217" spans="1:13" hidden="1" x14ac:dyDescent="0.3">
      <c r="A217" s="160" t="s">
        <v>877</v>
      </c>
      <c r="D217" s="442"/>
      <c r="L217" s="117" t="s">
        <v>893</v>
      </c>
      <c r="M217" s="117" t="s">
        <v>895</v>
      </c>
    </row>
    <row r="218" spans="1:13" hidden="1" x14ac:dyDescent="0.3">
      <c r="A218" s="160" t="s">
        <v>1038</v>
      </c>
      <c r="D218" s="442">
        <v>233335013.24000001</v>
      </c>
      <c r="L218" s="117" t="s">
        <v>893</v>
      </c>
      <c r="M218" s="117" t="s">
        <v>895</v>
      </c>
    </row>
    <row r="219" spans="1:13" hidden="1" x14ac:dyDescent="0.3">
      <c r="A219" s="160" t="s">
        <v>1039</v>
      </c>
      <c r="D219" s="442"/>
      <c r="L219" s="117" t="s">
        <v>893</v>
      </c>
      <c r="M219" s="117" t="s">
        <v>895</v>
      </c>
    </row>
    <row r="220" spans="1:13" hidden="1" x14ac:dyDescent="0.3">
      <c r="A220" s="160" t="s">
        <v>1040</v>
      </c>
      <c r="D220" s="442"/>
      <c r="L220" s="117" t="s">
        <v>893</v>
      </c>
      <c r="M220" s="117" t="s">
        <v>895</v>
      </c>
    </row>
    <row r="221" spans="1:13" hidden="1" x14ac:dyDescent="0.3">
      <c r="A221" s="160" t="s">
        <v>1041</v>
      </c>
      <c r="D221" s="442"/>
      <c r="L221" s="117" t="s">
        <v>893</v>
      </c>
      <c r="M221" s="117" t="s">
        <v>895</v>
      </c>
    </row>
    <row r="223" spans="1:13" x14ac:dyDescent="0.3">
      <c r="D223" s="118">
        <f>SUBTOTAL(9,D2:D221)</f>
        <v>674020902.3599999</v>
      </c>
    </row>
    <row r="224" spans="1:13" x14ac:dyDescent="0.3">
      <c r="D224" s="118">
        <f>D223/10000</f>
        <v>67402.090235999989</v>
      </c>
    </row>
    <row r="225" spans="4:4" x14ac:dyDescent="0.3">
      <c r="D225" s="118">
        <f>D223/100000000</f>
        <v>6.7402090235999985</v>
      </c>
    </row>
    <row r="226" spans="4:4" x14ac:dyDescent="0.3">
      <c r="D226" s="118">
        <v>2487379.4</v>
      </c>
    </row>
    <row r="227" spans="4:4" x14ac:dyDescent="0.3">
      <c r="D227" s="161">
        <f>D224/D226</f>
        <v>2.7097631441347466E-2</v>
      </c>
    </row>
  </sheetData>
  <autoFilter ref="A1:N221" xr:uid="{00000000-0009-0000-0000-000012000000}">
    <filterColumn colId="12">
      <filters>
        <filter val="非标-债权融资计划"/>
      </filters>
    </filterColumn>
  </autoFilter>
  <mergeCells count="4">
    <mergeCell ref="D215:D217"/>
    <mergeCell ref="D218:D221"/>
    <mergeCell ref="J77:J83"/>
    <mergeCell ref="J91:J93"/>
  </mergeCells>
  <phoneticPr fontId="4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00"/>
  <sheetViews>
    <sheetView topLeftCell="A52" zoomScale="72" zoomScaleNormal="72" workbookViewId="0">
      <pane xSplit="1" topLeftCell="H1" activePane="topRight" state="frozen"/>
      <selection pane="topRight" activeCell="H45" sqref="H45"/>
    </sheetView>
  </sheetViews>
  <sheetFormatPr defaultColWidth="9" defaultRowHeight="17.100000000000001" customHeight="1" x14ac:dyDescent="0.3"/>
  <cols>
    <col min="1" max="1" width="28.59765625" style="68" customWidth="1"/>
    <col min="2" max="4" width="16.59765625" style="68" customWidth="1"/>
    <col min="5" max="6" width="15.06640625" style="68" customWidth="1"/>
    <col min="7" max="7" width="17.1328125" style="68" customWidth="1"/>
    <col min="8" max="8" width="23.59765625" style="68" customWidth="1"/>
    <col min="9" max="9" width="23.06640625" style="68" customWidth="1"/>
    <col min="10" max="10" width="21.9296875" style="68" customWidth="1"/>
    <col min="11" max="11" width="23.1328125" style="68" customWidth="1"/>
    <col min="12" max="12" width="21.53125" style="68" customWidth="1"/>
    <col min="13" max="13" width="20.53125" style="68" customWidth="1"/>
    <col min="14" max="14" width="18.9296875" style="68" customWidth="1"/>
    <col min="15" max="16384" width="9" style="68"/>
  </cols>
  <sheetData>
    <row r="1" spans="1:13" ht="17.100000000000001" customHeight="1" x14ac:dyDescent="0.3">
      <c r="A1" s="68">
        <v>10000</v>
      </c>
      <c r="B1" s="417" t="s">
        <v>12</v>
      </c>
      <c r="C1" s="417"/>
      <c r="D1" s="417"/>
      <c r="E1" s="417"/>
      <c r="F1" s="417"/>
      <c r="H1" s="418" t="s">
        <v>13</v>
      </c>
      <c r="I1" s="418"/>
      <c r="J1" s="418"/>
      <c r="K1" s="418"/>
      <c r="L1" s="418"/>
    </row>
    <row r="2" spans="1:13" ht="17.100000000000001" customHeight="1" x14ac:dyDescent="0.3">
      <c r="A2" s="28" t="s">
        <v>14</v>
      </c>
      <c r="B2" s="28" t="str">
        <f>首页!C2</f>
        <v>2024年9月末</v>
      </c>
      <c r="C2" s="28" t="str">
        <f>首页!D2</f>
        <v>2023年末</v>
      </c>
      <c r="D2" s="28" t="str">
        <f>首页!E2</f>
        <v>2022年末</v>
      </c>
      <c r="E2" s="28" t="str">
        <f>首页!F2</f>
        <v>2021年末</v>
      </c>
      <c r="F2" s="28" t="str">
        <f>首页!G2</f>
        <v>2020年末</v>
      </c>
      <c r="G2" s="347" t="s">
        <v>15</v>
      </c>
      <c r="H2" s="348" t="str">
        <f>首页!C2</f>
        <v>2024年9月末</v>
      </c>
      <c r="I2" s="348" t="str">
        <f>首页!D2</f>
        <v>2023年末</v>
      </c>
      <c r="J2" s="348" t="str">
        <f>首页!E2</f>
        <v>2022年末</v>
      </c>
      <c r="K2" s="348" t="str">
        <f>首页!F2</f>
        <v>2021年末</v>
      </c>
      <c r="L2" s="348" t="str">
        <f>首页!G2</f>
        <v>2020年末</v>
      </c>
    </row>
    <row r="3" spans="1:13" ht="17.100000000000001" customHeight="1" x14ac:dyDescent="0.3">
      <c r="A3" s="349" t="s">
        <v>16</v>
      </c>
      <c r="B3" s="350"/>
      <c r="C3" s="350"/>
      <c r="D3" s="70"/>
      <c r="E3" s="76"/>
      <c r="F3" s="76"/>
      <c r="G3" s="285"/>
      <c r="H3" s="351"/>
      <c r="I3" s="209"/>
      <c r="J3" s="209"/>
      <c r="K3" s="209"/>
      <c r="L3" s="209"/>
    </row>
    <row r="4" spans="1:13" ht="17.100000000000001" customHeight="1" x14ac:dyDescent="0.3">
      <c r="A4" s="352" t="s">
        <v>17</v>
      </c>
      <c r="B4" s="315">
        <f>H4/$A$1</f>
        <v>139814.43995299999</v>
      </c>
      <c r="C4" s="315">
        <f>I4/$A$1</f>
        <v>158428.36535000001</v>
      </c>
      <c r="D4" s="315">
        <f>J4/$A$1</f>
        <v>128601.72284500001</v>
      </c>
      <c r="E4" s="315">
        <f>K4/$A$1</f>
        <v>383584.43414999999</v>
      </c>
      <c r="F4" s="315">
        <f>L4/$A$1</f>
        <v>608823.20639499999</v>
      </c>
      <c r="G4" s="289">
        <f>SUM(B4:E4)</f>
        <v>810428.962298</v>
      </c>
      <c r="H4" s="209">
        <v>1398144399.53</v>
      </c>
      <c r="I4" s="209">
        <v>1584283653.5</v>
      </c>
      <c r="J4" s="209">
        <v>1286017228.45</v>
      </c>
      <c r="K4" s="364">
        <v>3835844341.5</v>
      </c>
      <c r="L4" s="364">
        <v>6088232063.9499998</v>
      </c>
    </row>
    <row r="5" spans="1:13" ht="17.100000000000001" customHeight="1" x14ac:dyDescent="0.3">
      <c r="A5" s="352" t="s">
        <v>18</v>
      </c>
      <c r="B5" s="315">
        <f t="shared" ref="B5:B7" si="0">H5/$A$1</f>
        <v>0</v>
      </c>
      <c r="C5" s="315">
        <f t="shared" ref="C5:C21" si="1">I5/$A$1</f>
        <v>0</v>
      </c>
      <c r="D5" s="315">
        <f t="shared" ref="D5:D21" si="2">J5/$A$1</f>
        <v>0</v>
      </c>
      <c r="E5" s="315">
        <f t="shared" ref="E5:E21" si="3">K5/$A$1</f>
        <v>0</v>
      </c>
      <c r="F5" s="315">
        <f t="shared" ref="F5:F21" si="4">L5/$A$1</f>
        <v>0</v>
      </c>
      <c r="G5" s="289">
        <f t="shared" ref="G5:G69" si="5">SUM(B5:E5)</f>
        <v>0</v>
      </c>
      <c r="H5" s="209"/>
      <c r="I5" s="209"/>
      <c r="J5" s="209"/>
      <c r="K5" s="209"/>
      <c r="L5" s="209"/>
    </row>
    <row r="6" spans="1:13" ht="22.5" customHeight="1" x14ac:dyDescent="0.3">
      <c r="A6" s="352" t="s">
        <v>19</v>
      </c>
      <c r="B6" s="315">
        <f t="shared" si="0"/>
        <v>0</v>
      </c>
      <c r="C6" s="315">
        <f t="shared" si="1"/>
        <v>0</v>
      </c>
      <c r="D6" s="315">
        <f t="shared" si="2"/>
        <v>0</v>
      </c>
      <c r="E6" s="315">
        <f t="shared" si="3"/>
        <v>0</v>
      </c>
      <c r="F6" s="315">
        <f t="shared" si="4"/>
        <v>0</v>
      </c>
      <c r="G6" s="289">
        <f t="shared" si="5"/>
        <v>0</v>
      </c>
      <c r="H6" s="209"/>
      <c r="I6" s="209"/>
      <c r="J6" s="209"/>
      <c r="K6" s="209"/>
      <c r="L6" s="209"/>
    </row>
    <row r="7" spans="1:13" ht="17.100000000000001" customHeight="1" x14ac:dyDescent="0.3">
      <c r="A7" s="352" t="s">
        <v>20</v>
      </c>
      <c r="B7" s="315">
        <f t="shared" si="0"/>
        <v>0</v>
      </c>
      <c r="C7" s="315">
        <f t="shared" si="1"/>
        <v>0</v>
      </c>
      <c r="D7" s="315">
        <f t="shared" si="2"/>
        <v>0</v>
      </c>
      <c r="E7" s="315">
        <f t="shared" si="3"/>
        <v>0</v>
      </c>
      <c r="F7" s="315">
        <f t="shared" si="4"/>
        <v>0</v>
      </c>
      <c r="G7" s="289">
        <f t="shared" si="5"/>
        <v>0</v>
      </c>
      <c r="H7" s="209"/>
      <c r="I7" s="209"/>
      <c r="J7" s="209"/>
      <c r="K7" s="209"/>
      <c r="L7" s="209"/>
    </row>
    <row r="8" spans="1:13" ht="17.100000000000001" customHeight="1" x14ac:dyDescent="0.3">
      <c r="A8" s="353" t="s">
        <v>21</v>
      </c>
      <c r="B8" s="315">
        <f>H8/$A$1</f>
        <v>0</v>
      </c>
      <c r="C8" s="315">
        <f t="shared" si="1"/>
        <v>0</v>
      </c>
      <c r="D8" s="315">
        <f t="shared" si="2"/>
        <v>0</v>
      </c>
      <c r="E8" s="315">
        <f t="shared" si="3"/>
        <v>0</v>
      </c>
      <c r="F8" s="315">
        <f t="shared" si="4"/>
        <v>0</v>
      </c>
      <c r="G8" s="289">
        <f t="shared" si="5"/>
        <v>0</v>
      </c>
      <c r="H8" s="209"/>
      <c r="I8" s="209"/>
      <c r="J8" s="209"/>
      <c r="K8" s="364"/>
      <c r="L8" s="364"/>
    </row>
    <row r="9" spans="1:13" ht="17.100000000000001" customHeight="1" x14ac:dyDescent="0.3">
      <c r="A9" s="353" t="s">
        <v>22</v>
      </c>
      <c r="B9" s="315">
        <f>H9/$A$1</f>
        <v>168301.83004600002</v>
      </c>
      <c r="C9" s="315">
        <f t="shared" si="1"/>
        <v>178400.82842500001</v>
      </c>
      <c r="D9" s="315">
        <f t="shared" si="2"/>
        <v>88296.412217999998</v>
      </c>
      <c r="E9" s="315">
        <f t="shared" si="3"/>
        <v>11085.212508000001</v>
      </c>
      <c r="F9" s="315">
        <f t="shared" si="4"/>
        <v>4318.4892979999995</v>
      </c>
      <c r="G9" s="289">
        <f t="shared" si="5"/>
        <v>446084.28319700004</v>
      </c>
      <c r="H9" s="209">
        <v>1683018300.46</v>
      </c>
      <c r="I9" s="209">
        <v>1784008284.25</v>
      </c>
      <c r="J9" s="209">
        <v>882964122.17999995</v>
      </c>
      <c r="K9" s="209">
        <v>110852125.08</v>
      </c>
      <c r="L9" s="363">
        <v>43184892.979999997</v>
      </c>
    </row>
    <row r="10" spans="1:13" ht="17.100000000000001" customHeight="1" x14ac:dyDescent="0.3">
      <c r="A10" s="353" t="s">
        <v>23</v>
      </c>
      <c r="B10" s="315">
        <f t="shared" ref="B10:B21" si="6">H10/$A$1</f>
        <v>0</v>
      </c>
      <c r="C10" s="315">
        <f t="shared" si="1"/>
        <v>0</v>
      </c>
      <c r="D10" s="315">
        <f t="shared" si="2"/>
        <v>0</v>
      </c>
      <c r="E10" s="315">
        <f t="shared" si="3"/>
        <v>0</v>
      </c>
      <c r="F10" s="315">
        <f t="shared" si="4"/>
        <v>0</v>
      </c>
      <c r="G10" s="289">
        <f t="shared" si="5"/>
        <v>0</v>
      </c>
      <c r="H10" s="209"/>
      <c r="I10" s="209"/>
      <c r="J10" s="209"/>
      <c r="K10" s="209"/>
      <c r="L10" s="363"/>
    </row>
    <row r="11" spans="1:13" ht="17.100000000000001" customHeight="1" x14ac:dyDescent="0.3">
      <c r="A11" s="352" t="s">
        <v>24</v>
      </c>
      <c r="B11" s="315">
        <f>H11/$A$1</f>
        <v>13024.317601000001</v>
      </c>
      <c r="C11" s="315">
        <f t="shared" si="1"/>
        <v>11292.656144</v>
      </c>
      <c r="D11" s="315">
        <f t="shared" si="2"/>
        <v>10043.40149</v>
      </c>
      <c r="E11" s="315">
        <f t="shared" si="3"/>
        <v>13832.048816</v>
      </c>
      <c r="F11" s="315">
        <f t="shared" si="4"/>
        <v>54212.348583000006</v>
      </c>
      <c r="G11" s="289">
        <f t="shared" si="5"/>
        <v>48192.424051000002</v>
      </c>
      <c r="H11" s="209">
        <v>130243176.01000001</v>
      </c>
      <c r="I11" s="209">
        <v>112926561.44</v>
      </c>
      <c r="J11" s="209">
        <v>100434014.90000001</v>
      </c>
      <c r="K11" s="364">
        <v>138320488.16</v>
      </c>
      <c r="L11" s="364">
        <v>542123485.83000004</v>
      </c>
    </row>
    <row r="12" spans="1:13" ht="17.100000000000001" customHeight="1" x14ac:dyDescent="0.3">
      <c r="A12" s="352" t="s">
        <v>25</v>
      </c>
      <c r="B12" s="315">
        <f t="shared" si="6"/>
        <v>0</v>
      </c>
      <c r="C12" s="315">
        <f t="shared" si="1"/>
        <v>0</v>
      </c>
      <c r="D12" s="315">
        <f t="shared" si="2"/>
        <v>0</v>
      </c>
      <c r="E12" s="315">
        <f t="shared" si="3"/>
        <v>0</v>
      </c>
      <c r="F12" s="315">
        <f t="shared" si="4"/>
        <v>0</v>
      </c>
      <c r="G12" s="289">
        <f t="shared" si="5"/>
        <v>0</v>
      </c>
      <c r="H12" s="209"/>
      <c r="I12" s="209"/>
      <c r="J12" s="209"/>
      <c r="K12" s="209"/>
      <c r="L12" s="363"/>
    </row>
    <row r="13" spans="1:13" ht="17.100000000000001" customHeight="1" x14ac:dyDescent="0.3">
      <c r="A13" s="352" t="s">
        <v>26</v>
      </c>
      <c r="B13" s="315">
        <f t="shared" si="6"/>
        <v>0</v>
      </c>
      <c r="C13" s="315">
        <f t="shared" si="1"/>
        <v>0</v>
      </c>
      <c r="D13" s="315">
        <f t="shared" si="2"/>
        <v>0</v>
      </c>
      <c r="E13" s="315">
        <f t="shared" si="3"/>
        <v>0</v>
      </c>
      <c r="F13" s="315">
        <f t="shared" si="4"/>
        <v>0</v>
      </c>
      <c r="G13" s="289">
        <f t="shared" si="5"/>
        <v>0</v>
      </c>
      <c r="H13" s="209"/>
      <c r="I13" s="209"/>
      <c r="J13" s="209"/>
      <c r="K13" s="209"/>
      <c r="L13" s="363"/>
    </row>
    <row r="14" spans="1:13" ht="17.100000000000001" customHeight="1" x14ac:dyDescent="0.3">
      <c r="A14" s="352" t="s">
        <v>27</v>
      </c>
      <c r="B14" s="315">
        <f t="shared" si="6"/>
        <v>0</v>
      </c>
      <c r="C14" s="315">
        <f t="shared" si="1"/>
        <v>0</v>
      </c>
      <c r="D14" s="315">
        <f t="shared" si="2"/>
        <v>0</v>
      </c>
      <c r="E14" s="315">
        <f t="shared" si="3"/>
        <v>0</v>
      </c>
      <c r="F14" s="315">
        <f t="shared" si="4"/>
        <v>0</v>
      </c>
      <c r="G14" s="289">
        <f t="shared" si="5"/>
        <v>0</v>
      </c>
      <c r="H14" s="209"/>
      <c r="I14" s="209"/>
      <c r="J14" s="209"/>
      <c r="K14" s="209"/>
      <c r="L14" s="363"/>
    </row>
    <row r="15" spans="1:13" ht="17.100000000000001" customHeight="1" x14ac:dyDescent="0.3">
      <c r="A15" s="352" t="s">
        <v>28</v>
      </c>
      <c r="B15" s="315">
        <f t="shared" si="6"/>
        <v>982962.75423299999</v>
      </c>
      <c r="C15" s="315">
        <f t="shared" si="1"/>
        <v>991421.02836399991</v>
      </c>
      <c r="D15" s="315">
        <f t="shared" si="2"/>
        <v>819392.70420699997</v>
      </c>
      <c r="E15" s="315">
        <f t="shared" si="3"/>
        <v>862315.52927499998</v>
      </c>
      <c r="F15" s="315">
        <f t="shared" si="4"/>
        <v>1291755.4054739999</v>
      </c>
      <c r="G15" s="289">
        <f t="shared" si="5"/>
        <v>3656092.0160789997</v>
      </c>
      <c r="H15" s="209">
        <v>9829627542.3299999</v>
      </c>
      <c r="I15" s="209">
        <v>9914210283.6399994</v>
      </c>
      <c r="J15" s="209">
        <v>8193927042.0699997</v>
      </c>
      <c r="K15" s="364">
        <v>8623155292.75</v>
      </c>
      <c r="L15" s="364">
        <v>12917554054.74</v>
      </c>
      <c r="M15" s="80"/>
    </row>
    <row r="16" spans="1:13" ht="17.100000000000001" customHeight="1" x14ac:dyDescent="0.3">
      <c r="A16" s="352" t="s">
        <v>29</v>
      </c>
      <c r="B16" s="315">
        <f t="shared" si="6"/>
        <v>0</v>
      </c>
      <c r="C16" s="315">
        <f t="shared" si="1"/>
        <v>0</v>
      </c>
      <c r="D16" s="315">
        <f t="shared" si="2"/>
        <v>0</v>
      </c>
      <c r="E16" s="315">
        <f t="shared" si="3"/>
        <v>0</v>
      </c>
      <c r="F16" s="315">
        <f t="shared" si="4"/>
        <v>0</v>
      </c>
      <c r="G16" s="289">
        <f t="shared" si="5"/>
        <v>0</v>
      </c>
      <c r="H16" s="209"/>
      <c r="I16" s="209"/>
      <c r="J16" s="209"/>
      <c r="K16" s="209"/>
      <c r="L16" s="363"/>
    </row>
    <row r="17" spans="1:14" ht="17.100000000000001" customHeight="1" x14ac:dyDescent="0.3">
      <c r="A17" s="352" t="s">
        <v>30</v>
      </c>
      <c r="B17" s="315">
        <f t="shared" si="6"/>
        <v>2311989.3991630003</v>
      </c>
      <c r="C17" s="315">
        <f t="shared" si="1"/>
        <v>2145512.2023439999</v>
      </c>
      <c r="D17" s="315">
        <f t="shared" si="2"/>
        <v>2053662.3097470002</v>
      </c>
      <c r="E17" s="315">
        <f t="shared" si="3"/>
        <v>1740721.796205</v>
      </c>
      <c r="F17" s="315">
        <f t="shared" si="4"/>
        <v>1329122.7236559999</v>
      </c>
      <c r="G17" s="289">
        <f t="shared" si="5"/>
        <v>8251885.7074590009</v>
      </c>
      <c r="H17" s="209">
        <v>23119893991.630001</v>
      </c>
      <c r="I17" s="209">
        <v>21455122023.439999</v>
      </c>
      <c r="J17" s="209">
        <v>20536623097.470001</v>
      </c>
      <c r="K17" s="364">
        <v>17407217962.049999</v>
      </c>
      <c r="L17" s="364">
        <v>13291227236.559999</v>
      </c>
    </row>
    <row r="18" spans="1:14" ht="17.100000000000001" customHeight="1" x14ac:dyDescent="0.3">
      <c r="A18" s="352" t="s">
        <v>31</v>
      </c>
      <c r="B18" s="315">
        <f t="shared" si="6"/>
        <v>0</v>
      </c>
      <c r="C18" s="315">
        <f t="shared" si="1"/>
        <v>0</v>
      </c>
      <c r="D18" s="315">
        <f t="shared" si="2"/>
        <v>0</v>
      </c>
      <c r="E18" s="315">
        <f t="shared" si="3"/>
        <v>0</v>
      </c>
      <c r="F18" s="315">
        <f t="shared" si="4"/>
        <v>0</v>
      </c>
      <c r="G18" s="289">
        <f t="shared" si="5"/>
        <v>0</v>
      </c>
      <c r="H18" s="209"/>
      <c r="I18" s="209"/>
      <c r="J18" s="209"/>
      <c r="K18" s="209"/>
      <c r="L18" s="363"/>
    </row>
    <row r="19" spans="1:14" ht="17.100000000000001" customHeight="1" x14ac:dyDescent="0.3">
      <c r="A19" s="352" t="s">
        <v>32</v>
      </c>
      <c r="B19" s="315">
        <f t="shared" si="6"/>
        <v>0</v>
      </c>
      <c r="C19" s="315">
        <f t="shared" si="1"/>
        <v>0</v>
      </c>
      <c r="D19" s="315">
        <f t="shared" si="2"/>
        <v>0</v>
      </c>
      <c r="E19" s="315">
        <f t="shared" si="3"/>
        <v>0</v>
      </c>
      <c r="F19" s="315">
        <f t="shared" si="4"/>
        <v>0</v>
      </c>
      <c r="G19" s="289">
        <f t="shared" si="5"/>
        <v>0</v>
      </c>
      <c r="H19" s="209"/>
      <c r="I19" s="209"/>
      <c r="J19" s="209"/>
      <c r="K19" s="209"/>
      <c r="L19" s="209"/>
    </row>
    <row r="20" spans="1:14" ht="17.100000000000001" customHeight="1" x14ac:dyDescent="0.3">
      <c r="A20" s="352" t="s">
        <v>33</v>
      </c>
      <c r="B20" s="315">
        <f t="shared" si="6"/>
        <v>64725.135214000002</v>
      </c>
      <c r="C20" s="315">
        <f t="shared" si="1"/>
        <v>120625.40013699999</v>
      </c>
      <c r="D20" s="315">
        <f t="shared" si="2"/>
        <v>121601.04554100001</v>
      </c>
      <c r="E20" s="315">
        <f t="shared" si="3"/>
        <v>5741.7834320000002</v>
      </c>
      <c r="F20" s="315">
        <f t="shared" si="4"/>
        <v>0</v>
      </c>
      <c r="G20" s="289">
        <f t="shared" si="5"/>
        <v>312693.36432400002</v>
      </c>
      <c r="H20" s="209">
        <v>647251352.13999999</v>
      </c>
      <c r="I20" s="209">
        <v>1206254001.3699999</v>
      </c>
      <c r="J20" s="363">
        <v>1216010455.4100001</v>
      </c>
      <c r="K20" s="363">
        <v>57417834.32</v>
      </c>
      <c r="L20" s="209"/>
    </row>
    <row r="21" spans="1:14" ht="17.100000000000001" customHeight="1" x14ac:dyDescent="0.3">
      <c r="A21" s="352" t="s">
        <v>34</v>
      </c>
      <c r="B21" s="315">
        <f t="shared" si="6"/>
        <v>998463.30777299998</v>
      </c>
      <c r="C21" s="315">
        <f t="shared" si="1"/>
        <v>783139.32279200002</v>
      </c>
      <c r="D21" s="315">
        <f t="shared" si="2"/>
        <v>829196.528743</v>
      </c>
      <c r="E21" s="315">
        <f t="shared" si="3"/>
        <v>686340.62256099994</v>
      </c>
      <c r="F21" s="315">
        <f t="shared" si="4"/>
        <v>39.820547999999995</v>
      </c>
      <c r="G21" s="289">
        <f t="shared" si="5"/>
        <v>3297139.7818689998</v>
      </c>
      <c r="H21" s="209">
        <v>9984633077.7299995</v>
      </c>
      <c r="I21" s="209">
        <v>7831393227.9200001</v>
      </c>
      <c r="J21" s="209">
        <v>8291965287.4300003</v>
      </c>
      <c r="K21" s="364">
        <v>6863406225.6099997</v>
      </c>
      <c r="L21" s="364">
        <v>398205.48</v>
      </c>
    </row>
    <row r="22" spans="1:14" ht="17.100000000000001" customHeight="1" x14ac:dyDescent="0.3">
      <c r="A22" s="354" t="s">
        <v>35</v>
      </c>
      <c r="B22" s="355">
        <f>SUM(B4:B21)</f>
        <v>4679281.183983</v>
      </c>
      <c r="C22" s="355">
        <f t="shared" ref="C22:F22" si="7">SUM(C4:C21)</f>
        <v>4388819.8035559999</v>
      </c>
      <c r="D22" s="355">
        <f t="shared" si="7"/>
        <v>4050794.124791</v>
      </c>
      <c r="E22" s="355">
        <f t="shared" si="7"/>
        <v>3703621.4269469995</v>
      </c>
      <c r="F22" s="355">
        <f t="shared" si="7"/>
        <v>3288271.9939539996</v>
      </c>
      <c r="G22" s="289">
        <f t="shared" si="5"/>
        <v>16822516.539277002</v>
      </c>
      <c r="H22" s="209">
        <v>46792811839.830002</v>
      </c>
      <c r="I22" s="209">
        <v>43888198035.559998</v>
      </c>
      <c r="J22" s="363">
        <v>40507941247.910004</v>
      </c>
      <c r="K22" s="363">
        <v>37036214269.470001</v>
      </c>
      <c r="L22" s="209">
        <v>32882719939.540001</v>
      </c>
      <c r="M22" s="80"/>
      <c r="N22" s="80"/>
    </row>
    <row r="23" spans="1:14" ht="17.100000000000001" customHeight="1" x14ac:dyDescent="0.3">
      <c r="A23" s="349" t="s">
        <v>36</v>
      </c>
      <c r="B23" s="350"/>
      <c r="C23" s="350"/>
      <c r="D23" s="70"/>
      <c r="E23" s="76"/>
      <c r="F23" s="76"/>
      <c r="G23" s="289"/>
      <c r="H23" s="209"/>
      <c r="I23" s="209"/>
      <c r="J23" s="363"/>
      <c r="K23" s="363"/>
      <c r="L23" s="364"/>
    </row>
    <row r="24" spans="1:14" ht="17.100000000000001" customHeight="1" x14ac:dyDescent="0.3">
      <c r="A24" s="349" t="s">
        <v>37</v>
      </c>
      <c r="B24" s="356">
        <f>H24/$A$1</f>
        <v>0</v>
      </c>
      <c r="C24" s="356">
        <f>I24/$A$1</f>
        <v>0</v>
      </c>
      <c r="D24" s="356">
        <f>J24/$A$1</f>
        <v>0</v>
      </c>
      <c r="E24" s="356">
        <f>K24/$A$1</f>
        <v>0</v>
      </c>
      <c r="F24" s="356">
        <f>L24/$A$1</f>
        <v>0</v>
      </c>
      <c r="G24" s="289">
        <f t="shared" si="5"/>
        <v>0</v>
      </c>
      <c r="H24" s="209"/>
      <c r="I24" s="209"/>
      <c r="J24" s="363"/>
      <c r="K24" s="363"/>
      <c r="L24" s="209"/>
    </row>
    <row r="25" spans="1:14" ht="17.100000000000001" customHeight="1" x14ac:dyDescent="0.3">
      <c r="A25" s="349" t="s">
        <v>38</v>
      </c>
      <c r="B25" s="356">
        <f t="shared" ref="B25:B43" si="8">H25/$A$1</f>
        <v>0</v>
      </c>
      <c r="C25" s="356">
        <f t="shared" ref="C25:C43" si="9">I25/$A$1</f>
        <v>29000</v>
      </c>
      <c r="D25" s="356">
        <f t="shared" ref="D25:D43" si="10">J25/$A$1</f>
        <v>85825.302777999997</v>
      </c>
      <c r="E25" s="356">
        <f t="shared" ref="E25:E43" si="11">K25/$A$1</f>
        <v>46765.316666999999</v>
      </c>
      <c r="F25" s="356">
        <f t="shared" ref="F25:F43" si="12">L25/$A$1</f>
        <v>0</v>
      </c>
      <c r="G25" s="289">
        <f t="shared" si="5"/>
        <v>161590.61944499999</v>
      </c>
      <c r="H25" s="209"/>
      <c r="I25" s="209">
        <v>290000000</v>
      </c>
      <c r="J25" s="363">
        <v>858253027.77999997</v>
      </c>
      <c r="K25" s="363">
        <v>467653166.67000002</v>
      </c>
      <c r="L25" s="209"/>
    </row>
    <row r="26" spans="1:14" ht="17.100000000000001" customHeight="1" x14ac:dyDescent="0.3">
      <c r="A26" s="352" t="s">
        <v>39</v>
      </c>
      <c r="B26" s="356">
        <f t="shared" si="8"/>
        <v>0</v>
      </c>
      <c r="C26" s="356">
        <f t="shared" si="9"/>
        <v>0</v>
      </c>
      <c r="D26" s="356">
        <f t="shared" si="10"/>
        <v>0</v>
      </c>
      <c r="E26" s="356">
        <f t="shared" si="11"/>
        <v>0</v>
      </c>
      <c r="F26" s="356">
        <f t="shared" si="12"/>
        <v>1840</v>
      </c>
      <c r="G26" s="289">
        <f t="shared" si="5"/>
        <v>0</v>
      </c>
      <c r="H26" s="209"/>
      <c r="I26" s="209"/>
      <c r="J26" s="336"/>
      <c r="K26" s="333"/>
      <c r="L26" s="333">
        <v>18400000</v>
      </c>
    </row>
    <row r="27" spans="1:14" ht="17.100000000000001" customHeight="1" x14ac:dyDescent="0.3">
      <c r="A27" s="352" t="s">
        <v>40</v>
      </c>
      <c r="B27" s="356">
        <f t="shared" si="8"/>
        <v>0</v>
      </c>
      <c r="C27" s="356">
        <f t="shared" si="9"/>
        <v>0</v>
      </c>
      <c r="D27" s="356">
        <f t="shared" si="10"/>
        <v>0</v>
      </c>
      <c r="E27" s="356">
        <f t="shared" si="11"/>
        <v>0</v>
      </c>
      <c r="F27" s="356">
        <f t="shared" si="12"/>
        <v>0</v>
      </c>
      <c r="G27" s="289">
        <f t="shared" si="5"/>
        <v>0</v>
      </c>
      <c r="H27" s="209"/>
      <c r="I27" s="209"/>
      <c r="J27" s="363"/>
      <c r="K27" s="363"/>
      <c r="L27" s="363"/>
    </row>
    <row r="28" spans="1:14" ht="17.100000000000001" customHeight="1" x14ac:dyDescent="0.3">
      <c r="A28" s="352" t="s">
        <v>41</v>
      </c>
      <c r="B28" s="356">
        <f t="shared" si="8"/>
        <v>0</v>
      </c>
      <c r="C28" s="356">
        <f t="shared" si="9"/>
        <v>0</v>
      </c>
      <c r="D28" s="356">
        <f t="shared" si="10"/>
        <v>0</v>
      </c>
      <c r="E28" s="356">
        <f t="shared" si="11"/>
        <v>0</v>
      </c>
      <c r="F28" s="356">
        <f t="shared" si="12"/>
        <v>0</v>
      </c>
      <c r="G28" s="289">
        <f t="shared" si="5"/>
        <v>0</v>
      </c>
      <c r="H28" s="209"/>
      <c r="I28" s="209"/>
      <c r="J28" s="209"/>
      <c r="K28" s="364"/>
      <c r="L28" s="364"/>
    </row>
    <row r="29" spans="1:14" ht="17.100000000000001" customHeight="1" x14ac:dyDescent="0.3">
      <c r="A29" s="352" t="s">
        <v>42</v>
      </c>
      <c r="B29" s="356">
        <f t="shared" si="8"/>
        <v>370</v>
      </c>
      <c r="C29" s="356">
        <f t="shared" si="9"/>
        <v>0</v>
      </c>
      <c r="D29" s="356">
        <f t="shared" si="10"/>
        <v>0</v>
      </c>
      <c r="E29" s="356">
        <f t="shared" si="11"/>
        <v>0</v>
      </c>
      <c r="F29" s="356">
        <f t="shared" si="12"/>
        <v>38646.51</v>
      </c>
      <c r="G29" s="289">
        <f t="shared" si="5"/>
        <v>370</v>
      </c>
      <c r="H29" s="209">
        <v>3700000</v>
      </c>
      <c r="I29" s="209"/>
      <c r="J29" s="381"/>
      <c r="K29" s="209"/>
      <c r="L29" s="209">
        <v>386465100</v>
      </c>
    </row>
    <row r="30" spans="1:14" ht="17.100000000000001" customHeight="1" x14ac:dyDescent="0.3">
      <c r="A30" s="352" t="s">
        <v>43</v>
      </c>
      <c r="B30" s="356">
        <f t="shared" si="8"/>
        <v>31371.976875</v>
      </c>
      <c r="C30" s="356">
        <f t="shared" si="9"/>
        <v>31272.976774999999</v>
      </c>
      <c r="D30" s="356">
        <f t="shared" si="10"/>
        <v>29583.164111000002</v>
      </c>
      <c r="E30" s="356">
        <f t="shared" si="11"/>
        <v>38736.807718999997</v>
      </c>
      <c r="F30" s="356">
        <f t="shared" si="12"/>
        <v>37562.260218000003</v>
      </c>
      <c r="G30" s="289">
        <f t="shared" si="5"/>
        <v>130964.92548000001</v>
      </c>
      <c r="H30" s="209">
        <v>313719768.75</v>
      </c>
      <c r="I30" s="209">
        <v>312729767.75</v>
      </c>
      <c r="J30" s="381">
        <v>295831641.11000001</v>
      </c>
      <c r="K30" s="209">
        <v>387368077.19</v>
      </c>
      <c r="L30" s="363">
        <v>375622602.18000001</v>
      </c>
    </row>
    <row r="31" spans="1:14" ht="17.100000000000001" customHeight="1" x14ac:dyDescent="0.3">
      <c r="A31" s="352" t="s">
        <v>44</v>
      </c>
      <c r="B31" s="356">
        <f>H31/$A$1</f>
        <v>1197.2688289999999</v>
      </c>
      <c r="C31" s="356">
        <f t="shared" si="9"/>
        <v>1197.2688289999999</v>
      </c>
      <c r="D31" s="356">
        <f t="shared" si="10"/>
        <v>1430.645745</v>
      </c>
      <c r="E31" s="356">
        <f t="shared" si="11"/>
        <v>1840</v>
      </c>
      <c r="F31" s="356">
        <f t="shared" si="12"/>
        <v>0</v>
      </c>
      <c r="G31" s="289">
        <f t="shared" si="5"/>
        <v>5665.183403</v>
      </c>
      <c r="H31" s="209">
        <v>11972688.289999999</v>
      </c>
      <c r="I31" s="209">
        <v>11972688.289999999</v>
      </c>
      <c r="J31" s="381">
        <v>14306457.449999999</v>
      </c>
      <c r="K31" s="209">
        <v>18400000</v>
      </c>
      <c r="L31" s="363"/>
    </row>
    <row r="32" spans="1:14" ht="17.100000000000001" customHeight="1" x14ac:dyDescent="0.3">
      <c r="A32" s="352" t="s">
        <v>45</v>
      </c>
      <c r="B32" s="356">
        <f t="shared" si="8"/>
        <v>0</v>
      </c>
      <c r="C32" s="356">
        <f t="shared" si="9"/>
        <v>0</v>
      </c>
      <c r="D32" s="356">
        <f t="shared" si="10"/>
        <v>0</v>
      </c>
      <c r="E32" s="356">
        <f t="shared" si="11"/>
        <v>0</v>
      </c>
      <c r="F32" s="356">
        <f t="shared" si="12"/>
        <v>0</v>
      </c>
      <c r="G32" s="289">
        <f t="shared" si="5"/>
        <v>0</v>
      </c>
      <c r="H32" s="209"/>
      <c r="I32" s="209"/>
      <c r="J32" s="381"/>
      <c r="K32" s="209"/>
      <c r="L32" s="363"/>
    </row>
    <row r="33" spans="1:14" ht="17.100000000000001" customHeight="1" x14ac:dyDescent="0.3">
      <c r="A33" s="352" t="s">
        <v>46</v>
      </c>
      <c r="B33" s="356">
        <f t="shared" si="8"/>
        <v>169402.61380600001</v>
      </c>
      <c r="C33" s="356">
        <f t="shared" si="9"/>
        <v>169201.82</v>
      </c>
      <c r="D33" s="356">
        <f t="shared" si="10"/>
        <v>168413.42</v>
      </c>
      <c r="E33" s="356">
        <f t="shared" si="11"/>
        <v>13059.026152</v>
      </c>
      <c r="F33" s="356">
        <f t="shared" si="12"/>
        <v>4339.4548569999997</v>
      </c>
      <c r="G33" s="289">
        <f t="shared" si="5"/>
        <v>520076.87995800009</v>
      </c>
      <c r="H33" s="209">
        <v>1694026138.0599999</v>
      </c>
      <c r="I33" s="209">
        <v>1692018200</v>
      </c>
      <c r="J33" s="381">
        <v>1684134200</v>
      </c>
      <c r="K33" s="209">
        <v>130590261.52</v>
      </c>
      <c r="L33" s="363">
        <v>43394548.57</v>
      </c>
    </row>
    <row r="34" spans="1:14" ht="17.100000000000001" customHeight="1" x14ac:dyDescent="0.3">
      <c r="A34" s="352" t="s">
        <v>47</v>
      </c>
      <c r="B34" s="356">
        <f t="shared" si="8"/>
        <v>343534.80498100002</v>
      </c>
      <c r="C34" s="356">
        <f t="shared" si="9"/>
        <v>359708.76259499998</v>
      </c>
      <c r="D34" s="356">
        <f t="shared" si="10"/>
        <v>326403.90900599997</v>
      </c>
      <c r="E34" s="356">
        <f t="shared" si="11"/>
        <v>234318.00214499998</v>
      </c>
      <c r="F34" s="356">
        <f t="shared" si="12"/>
        <v>125966.52121099998</v>
      </c>
      <c r="G34" s="289">
        <f t="shared" si="5"/>
        <v>1263965.4787270001</v>
      </c>
      <c r="H34" s="209">
        <v>3435348049.8099999</v>
      </c>
      <c r="I34" s="209">
        <v>3597087625.9499998</v>
      </c>
      <c r="J34" s="381">
        <v>3264039090.0599999</v>
      </c>
      <c r="K34" s="364">
        <v>2343180021.4499998</v>
      </c>
      <c r="L34" s="364">
        <v>1259665212.1099999</v>
      </c>
    </row>
    <row r="35" spans="1:14" ht="17.100000000000001" customHeight="1" x14ac:dyDescent="0.3">
      <c r="A35" s="352" t="s">
        <v>48</v>
      </c>
      <c r="B35" s="356">
        <f t="shared" si="8"/>
        <v>80523.774959999995</v>
      </c>
      <c r="C35" s="356">
        <f t="shared" si="9"/>
        <v>45271.834897000001</v>
      </c>
      <c r="D35" s="356">
        <f t="shared" si="10"/>
        <v>71550.936398999998</v>
      </c>
      <c r="E35" s="356">
        <f t="shared" si="11"/>
        <v>42997.154243999998</v>
      </c>
      <c r="F35" s="356">
        <f t="shared" si="12"/>
        <v>24849.749515</v>
      </c>
      <c r="G35" s="289">
        <f t="shared" si="5"/>
        <v>240343.70050000001</v>
      </c>
      <c r="H35" s="209">
        <v>805237749.60000002</v>
      </c>
      <c r="I35" s="209">
        <v>452718348.97000003</v>
      </c>
      <c r="J35" s="381">
        <v>715509363.99000001</v>
      </c>
      <c r="K35" s="364">
        <v>429971542.44</v>
      </c>
      <c r="L35" s="364">
        <v>248497495.15000001</v>
      </c>
    </row>
    <row r="36" spans="1:14" ht="17.100000000000001" customHeight="1" x14ac:dyDescent="0.3">
      <c r="A36" s="352" t="s">
        <v>49</v>
      </c>
      <c r="B36" s="356">
        <f t="shared" si="8"/>
        <v>0</v>
      </c>
      <c r="C36" s="356">
        <f t="shared" si="9"/>
        <v>0</v>
      </c>
      <c r="D36" s="356">
        <f t="shared" si="10"/>
        <v>0</v>
      </c>
      <c r="E36" s="356">
        <f t="shared" si="11"/>
        <v>0</v>
      </c>
      <c r="F36" s="356">
        <f t="shared" si="12"/>
        <v>0</v>
      </c>
      <c r="G36" s="289">
        <f t="shared" si="5"/>
        <v>0</v>
      </c>
      <c r="H36" s="209"/>
      <c r="I36" s="209"/>
      <c r="J36" s="381"/>
      <c r="K36" s="209"/>
      <c r="L36" s="209"/>
    </row>
    <row r="37" spans="1:14" ht="17.100000000000001" customHeight="1" x14ac:dyDescent="0.3">
      <c r="A37" s="352" t="s">
        <v>50</v>
      </c>
      <c r="B37" s="356">
        <f t="shared" si="8"/>
        <v>0</v>
      </c>
      <c r="C37" s="356">
        <f t="shared" si="9"/>
        <v>0</v>
      </c>
      <c r="D37" s="356">
        <f t="shared" si="10"/>
        <v>0</v>
      </c>
      <c r="E37" s="356">
        <f t="shared" si="11"/>
        <v>0</v>
      </c>
      <c r="F37" s="356">
        <f t="shared" si="12"/>
        <v>0</v>
      </c>
      <c r="G37" s="289">
        <f t="shared" si="5"/>
        <v>0</v>
      </c>
      <c r="H37" s="209"/>
      <c r="I37" s="209"/>
      <c r="J37" s="381"/>
      <c r="K37" s="209"/>
      <c r="L37" s="209"/>
    </row>
    <row r="38" spans="1:14" ht="17.100000000000001" customHeight="1" x14ac:dyDescent="0.3">
      <c r="A38" s="352" t="s">
        <v>51</v>
      </c>
      <c r="B38" s="356">
        <f t="shared" si="8"/>
        <v>31226.348954000001</v>
      </c>
      <c r="C38" s="356">
        <f t="shared" si="9"/>
        <v>31649.974335000003</v>
      </c>
      <c r="D38" s="356">
        <f t="shared" si="10"/>
        <v>31611.124156999998</v>
      </c>
      <c r="E38" s="356">
        <f t="shared" si="11"/>
        <v>34224.403933000001</v>
      </c>
      <c r="F38" s="356">
        <f t="shared" si="12"/>
        <v>33222.589916000004</v>
      </c>
      <c r="G38" s="289">
        <f t="shared" si="5"/>
        <v>128711.851379</v>
      </c>
      <c r="H38" s="209">
        <v>312263489.54000002</v>
      </c>
      <c r="I38" s="209">
        <v>316499743.35000002</v>
      </c>
      <c r="J38" s="381">
        <v>316111241.56999999</v>
      </c>
      <c r="K38" s="364">
        <v>342244039.32999998</v>
      </c>
      <c r="L38" s="364">
        <v>332225899.16000003</v>
      </c>
    </row>
    <row r="39" spans="1:14" ht="17.100000000000001" customHeight="1" x14ac:dyDescent="0.3">
      <c r="A39" s="352" t="s">
        <v>52</v>
      </c>
      <c r="B39" s="356">
        <f t="shared" si="8"/>
        <v>0</v>
      </c>
      <c r="C39" s="356">
        <f t="shared" si="9"/>
        <v>0</v>
      </c>
      <c r="D39" s="356">
        <f t="shared" si="10"/>
        <v>0</v>
      </c>
      <c r="E39" s="356">
        <f t="shared" si="11"/>
        <v>0</v>
      </c>
      <c r="F39" s="356">
        <f t="shared" si="12"/>
        <v>0</v>
      </c>
      <c r="G39" s="289">
        <f t="shared" si="5"/>
        <v>0</v>
      </c>
      <c r="H39" s="209"/>
      <c r="I39" s="209"/>
      <c r="J39" s="381"/>
      <c r="K39" s="209"/>
      <c r="L39" s="209"/>
    </row>
    <row r="40" spans="1:14" ht="17.100000000000001" customHeight="1" x14ac:dyDescent="0.3">
      <c r="A40" s="352" t="s">
        <v>53</v>
      </c>
      <c r="B40" s="356">
        <f t="shared" si="8"/>
        <v>0</v>
      </c>
      <c r="C40" s="356">
        <f t="shared" si="9"/>
        <v>0</v>
      </c>
      <c r="D40" s="356">
        <f t="shared" si="10"/>
        <v>0</v>
      </c>
      <c r="E40" s="356">
        <f t="shared" si="11"/>
        <v>0</v>
      </c>
      <c r="F40" s="356">
        <f t="shared" si="12"/>
        <v>0</v>
      </c>
      <c r="G40" s="289">
        <f t="shared" si="5"/>
        <v>0</v>
      </c>
      <c r="H40" s="209"/>
      <c r="I40" s="209"/>
      <c r="J40" s="381"/>
      <c r="K40" s="209"/>
      <c r="L40" s="209"/>
    </row>
    <row r="41" spans="1:14" ht="17.100000000000001" customHeight="1" x14ac:dyDescent="0.3">
      <c r="A41" s="352" t="s">
        <v>54</v>
      </c>
      <c r="B41" s="356">
        <f t="shared" si="8"/>
        <v>0</v>
      </c>
      <c r="C41" s="356">
        <f t="shared" si="9"/>
        <v>0</v>
      </c>
      <c r="D41" s="356">
        <f t="shared" si="10"/>
        <v>0</v>
      </c>
      <c r="E41" s="356">
        <f t="shared" si="11"/>
        <v>0</v>
      </c>
      <c r="F41" s="356">
        <f t="shared" si="12"/>
        <v>0</v>
      </c>
      <c r="G41" s="289">
        <f t="shared" si="5"/>
        <v>0</v>
      </c>
      <c r="H41" s="209"/>
      <c r="I41" s="209"/>
      <c r="J41" s="381"/>
      <c r="K41" s="364"/>
      <c r="L41" s="364"/>
    </row>
    <row r="42" spans="1:14" ht="17.100000000000001" customHeight="1" x14ac:dyDescent="0.3">
      <c r="A42" s="352" t="s">
        <v>55</v>
      </c>
      <c r="B42" s="356">
        <f t="shared" si="8"/>
        <v>19.916129000000002</v>
      </c>
      <c r="C42" s="356">
        <f t="shared" si="9"/>
        <v>38.417155000000001</v>
      </c>
      <c r="D42" s="356">
        <f t="shared" si="10"/>
        <v>26.736080999999999</v>
      </c>
      <c r="E42" s="356">
        <f t="shared" si="11"/>
        <v>75.333629000000002</v>
      </c>
      <c r="F42" s="356">
        <f t="shared" si="12"/>
        <v>0</v>
      </c>
      <c r="G42" s="289">
        <f t="shared" si="5"/>
        <v>160.40299400000001</v>
      </c>
      <c r="H42" s="209">
        <v>199161.29</v>
      </c>
      <c r="I42" s="209">
        <v>384171.55</v>
      </c>
      <c r="J42" s="381">
        <v>267360.81</v>
      </c>
      <c r="K42" s="364">
        <v>753336.29</v>
      </c>
      <c r="L42" s="364"/>
    </row>
    <row r="43" spans="1:14" ht="17.100000000000001" customHeight="1" x14ac:dyDescent="0.3">
      <c r="A43" s="352" t="s">
        <v>56</v>
      </c>
      <c r="B43" s="356">
        <f t="shared" si="8"/>
        <v>65508.169049999997</v>
      </c>
      <c r="C43" s="356">
        <f t="shared" si="9"/>
        <v>61721.127973000002</v>
      </c>
      <c r="D43" s="356">
        <f t="shared" si="10"/>
        <v>90199.63096000001</v>
      </c>
      <c r="E43" s="356">
        <f t="shared" si="11"/>
        <v>169856.366683</v>
      </c>
      <c r="F43" s="356">
        <f t="shared" si="12"/>
        <v>0</v>
      </c>
      <c r="G43" s="289">
        <f t="shared" si="5"/>
        <v>387285.294666</v>
      </c>
      <c r="H43" s="209">
        <v>655081690.5</v>
      </c>
      <c r="I43" s="209">
        <v>617211279.73000002</v>
      </c>
      <c r="J43" s="381">
        <v>901996309.60000002</v>
      </c>
      <c r="K43" s="209">
        <v>1698563666.8299999</v>
      </c>
      <c r="L43" s="363"/>
    </row>
    <row r="44" spans="1:14" ht="17.100000000000001" customHeight="1" x14ac:dyDescent="0.3">
      <c r="A44" s="354" t="s">
        <v>57</v>
      </c>
      <c r="B44" s="355">
        <f>SUM(B24:B43)</f>
        <v>723154.87358400004</v>
      </c>
      <c r="C44" s="355">
        <f>SUM(C24:C43)</f>
        <v>729062.1825590001</v>
      </c>
      <c r="D44" s="355">
        <f t="shared" ref="D44:E44" si="13">SUM(D24:D43)</f>
        <v>805044.86923699989</v>
      </c>
      <c r="E44" s="355">
        <f t="shared" si="13"/>
        <v>581872.41117199999</v>
      </c>
      <c r="F44" s="355">
        <f t="shared" ref="F44" si="14">SUM(F26:F43)</f>
        <v>266427.08571700001</v>
      </c>
      <c r="G44" s="289">
        <f t="shared" si="5"/>
        <v>2839134.3365519997</v>
      </c>
      <c r="H44" s="209">
        <v>7231548735.8400002</v>
      </c>
      <c r="I44" s="209">
        <v>7290621825.5900002</v>
      </c>
      <c r="J44" s="381">
        <v>8050448692.3699999</v>
      </c>
      <c r="K44" s="209">
        <v>5818724111.7200003</v>
      </c>
      <c r="L44" s="209">
        <v>2664270857.1700001</v>
      </c>
      <c r="M44" s="80"/>
      <c r="N44" s="80"/>
    </row>
    <row r="45" spans="1:14" ht="17.100000000000001" customHeight="1" x14ac:dyDescent="0.3">
      <c r="A45" s="354" t="s">
        <v>58</v>
      </c>
      <c r="B45" s="355">
        <f t="shared" ref="B45:F45" si="15">B44+B22</f>
        <v>5402436.0575670004</v>
      </c>
      <c r="C45" s="355">
        <f t="shared" si="15"/>
        <v>5117881.9861150002</v>
      </c>
      <c r="D45" s="355">
        <f t="shared" si="15"/>
        <v>4855838.9940280002</v>
      </c>
      <c r="E45" s="355">
        <f t="shared" si="15"/>
        <v>4285493.8381189993</v>
      </c>
      <c r="F45" s="355">
        <f t="shared" si="15"/>
        <v>3554699.0796709997</v>
      </c>
      <c r="G45" s="289">
        <f t="shared" si="5"/>
        <v>19661650.875829</v>
      </c>
      <c r="H45" s="209">
        <v>54024360575.669998</v>
      </c>
      <c r="I45" s="209">
        <v>51178819861.150002</v>
      </c>
      <c r="J45" s="381">
        <v>48558389940.279999</v>
      </c>
      <c r="K45" s="209">
        <v>42854938381.190002</v>
      </c>
      <c r="L45" s="209">
        <v>35546990796.709999</v>
      </c>
      <c r="M45" s="80"/>
      <c r="N45" s="80"/>
    </row>
    <row r="46" spans="1:14" ht="17.100000000000001" customHeight="1" x14ac:dyDescent="0.3">
      <c r="A46" s="357" t="s">
        <v>59</v>
      </c>
      <c r="B46" s="358"/>
      <c r="C46" s="358"/>
      <c r="D46" s="70"/>
      <c r="E46" s="76"/>
      <c r="F46" s="76"/>
      <c r="G46" s="289"/>
      <c r="H46" s="209"/>
      <c r="I46" s="209"/>
      <c r="J46" s="381"/>
      <c r="K46" s="209"/>
      <c r="L46" s="209"/>
    </row>
    <row r="47" spans="1:14" ht="17.100000000000001" customHeight="1" x14ac:dyDescent="0.3">
      <c r="A47" s="359" t="s">
        <v>60</v>
      </c>
      <c r="B47" s="315">
        <f>H47/$A$1</f>
        <v>328258.53939499997</v>
      </c>
      <c r="C47" s="315">
        <f>I47/$A$1</f>
        <v>286684.63133200002</v>
      </c>
      <c r="D47" s="315">
        <f>J47/$A$1</f>
        <v>273787.01435300004</v>
      </c>
      <c r="E47" s="315">
        <f>K47/$A$1</f>
        <v>223595.36625999998</v>
      </c>
      <c r="F47" s="315">
        <f>L47/$A$1</f>
        <v>117107.009179</v>
      </c>
      <c r="G47" s="289">
        <f t="shared" si="5"/>
        <v>1112325.55134</v>
      </c>
      <c r="H47" s="209">
        <v>3282585393.9499998</v>
      </c>
      <c r="I47" s="209">
        <v>2866846313.3200002</v>
      </c>
      <c r="J47" s="381">
        <v>2737870143.5300002</v>
      </c>
      <c r="K47" s="381">
        <v>2235953662.5999999</v>
      </c>
      <c r="L47" s="381">
        <v>1171070091.79</v>
      </c>
      <c r="M47" s="80"/>
      <c r="N47" s="80"/>
    </row>
    <row r="48" spans="1:14" ht="17.100000000000001" customHeight="1" x14ac:dyDescent="0.3">
      <c r="A48" s="359" t="s">
        <v>61</v>
      </c>
      <c r="B48" s="315">
        <f t="shared" ref="B48:B61" si="16">H48/$A$1</f>
        <v>0</v>
      </c>
      <c r="C48" s="315">
        <f t="shared" ref="C48:C61" si="17">I48/$A$1</f>
        <v>0</v>
      </c>
      <c r="D48" s="315">
        <f t="shared" ref="D48:D61" si="18">J48/$A$1</f>
        <v>0</v>
      </c>
      <c r="E48" s="315">
        <f t="shared" ref="E48:E61" si="19">K48/$A$1</f>
        <v>0</v>
      </c>
      <c r="F48" s="315">
        <f t="shared" ref="F48:F61" si="20">L48/$A$1</f>
        <v>0</v>
      </c>
      <c r="G48" s="289">
        <f t="shared" si="5"/>
        <v>0</v>
      </c>
      <c r="H48" s="209"/>
      <c r="I48" s="209"/>
      <c r="J48" s="381"/>
      <c r="K48" s="381"/>
      <c r="L48" s="381"/>
    </row>
    <row r="49" spans="1:14" ht="17.100000000000001" customHeight="1" x14ac:dyDescent="0.3">
      <c r="A49" s="359" t="s">
        <v>62</v>
      </c>
      <c r="B49" s="315">
        <f t="shared" si="16"/>
        <v>0</v>
      </c>
      <c r="C49" s="315">
        <f t="shared" si="17"/>
        <v>0</v>
      </c>
      <c r="D49" s="315">
        <f t="shared" si="18"/>
        <v>0</v>
      </c>
      <c r="E49" s="315">
        <f t="shared" si="19"/>
        <v>0</v>
      </c>
      <c r="F49" s="315">
        <f t="shared" si="20"/>
        <v>0</v>
      </c>
      <c r="G49" s="289">
        <f t="shared" si="5"/>
        <v>0</v>
      </c>
      <c r="H49" s="209"/>
      <c r="I49" s="209"/>
      <c r="J49" s="381"/>
      <c r="K49" s="381"/>
      <c r="L49" s="381"/>
    </row>
    <row r="50" spans="1:14" ht="17.100000000000001" customHeight="1" x14ac:dyDescent="0.3">
      <c r="A50" s="359" t="s">
        <v>63</v>
      </c>
      <c r="B50" s="315">
        <f t="shared" si="16"/>
        <v>0</v>
      </c>
      <c r="C50" s="315">
        <f t="shared" si="17"/>
        <v>0</v>
      </c>
      <c r="D50" s="315">
        <f t="shared" si="18"/>
        <v>0</v>
      </c>
      <c r="E50" s="315">
        <f t="shared" si="19"/>
        <v>0</v>
      </c>
      <c r="F50" s="315">
        <f t="shared" si="20"/>
        <v>0</v>
      </c>
      <c r="G50" s="289">
        <f t="shared" si="5"/>
        <v>0</v>
      </c>
      <c r="H50" s="209"/>
      <c r="I50" s="381"/>
      <c r="J50" s="381"/>
      <c r="K50" s="381"/>
      <c r="L50" s="381"/>
    </row>
    <row r="51" spans="1:14" ht="17.100000000000001" customHeight="1" x14ac:dyDescent="0.3">
      <c r="A51" s="352" t="s">
        <v>64</v>
      </c>
      <c r="B51" s="315">
        <f t="shared" si="16"/>
        <v>164200</v>
      </c>
      <c r="C51" s="315">
        <f t="shared" si="17"/>
        <v>40520</v>
      </c>
      <c r="D51" s="315">
        <f t="shared" si="18"/>
        <v>121217.20360199999</v>
      </c>
      <c r="E51" s="315">
        <f t="shared" si="19"/>
        <v>128440</v>
      </c>
      <c r="F51" s="315">
        <f t="shared" si="20"/>
        <v>118506.585099</v>
      </c>
      <c r="G51" s="289">
        <f t="shared" si="5"/>
        <v>454377.20360200002</v>
      </c>
      <c r="H51" s="209">
        <v>1642000000</v>
      </c>
      <c r="I51" s="381">
        <v>405200000</v>
      </c>
      <c r="J51" s="381">
        <v>1212172036.02</v>
      </c>
      <c r="K51" s="381">
        <v>1284400000</v>
      </c>
      <c r="L51" s="381">
        <v>1185065850.99</v>
      </c>
    </row>
    <row r="52" spans="1:14" ht="17.100000000000001" customHeight="1" x14ac:dyDescent="0.3">
      <c r="A52" s="352" t="s">
        <v>65</v>
      </c>
      <c r="B52" s="315">
        <f t="shared" si="16"/>
        <v>121184.98126500001</v>
      </c>
      <c r="C52" s="315">
        <f t="shared" si="17"/>
        <v>106824.072833</v>
      </c>
      <c r="D52" s="315">
        <f t="shared" si="18"/>
        <v>74314.623949000001</v>
      </c>
      <c r="E52" s="315">
        <f t="shared" si="19"/>
        <v>37872.314405000005</v>
      </c>
      <c r="F52" s="315">
        <f t="shared" si="20"/>
        <v>10450.573596</v>
      </c>
      <c r="G52" s="289">
        <f t="shared" si="5"/>
        <v>340195.99245199998</v>
      </c>
      <c r="H52" s="209">
        <v>1211849812.6500001</v>
      </c>
      <c r="I52" s="381">
        <v>1068240728.33</v>
      </c>
      <c r="J52" s="381">
        <v>743146239.49000001</v>
      </c>
      <c r="K52" s="381">
        <v>378723144.05000001</v>
      </c>
      <c r="L52" s="381">
        <v>104505735.95999999</v>
      </c>
    </row>
    <row r="53" spans="1:14" ht="17.100000000000001" customHeight="1" x14ac:dyDescent="0.3">
      <c r="A53" s="359" t="s">
        <v>66</v>
      </c>
      <c r="B53" s="315">
        <f t="shared" si="16"/>
        <v>469.44040000000001</v>
      </c>
      <c r="C53" s="315">
        <f t="shared" si="17"/>
        <v>520.80111399999998</v>
      </c>
      <c r="D53" s="315">
        <f t="shared" si="18"/>
        <v>400.64884700000005</v>
      </c>
      <c r="E53" s="315">
        <f t="shared" si="19"/>
        <v>366.00184200000001</v>
      </c>
      <c r="F53" s="315">
        <f t="shared" si="20"/>
        <v>8927.4658870000003</v>
      </c>
      <c r="G53" s="289">
        <f t="shared" si="5"/>
        <v>1756.8922030000003</v>
      </c>
      <c r="H53" s="209">
        <v>4694404</v>
      </c>
      <c r="I53" s="381">
        <v>5208011.1399999997</v>
      </c>
      <c r="J53" s="381">
        <v>4006488.47</v>
      </c>
      <c r="K53" s="381">
        <v>3660018.42</v>
      </c>
      <c r="L53" s="381">
        <v>89274658.870000005</v>
      </c>
    </row>
    <row r="54" spans="1:14" ht="17.100000000000001" customHeight="1" x14ac:dyDescent="0.3">
      <c r="A54" s="359" t="s">
        <v>67</v>
      </c>
      <c r="B54" s="315">
        <f t="shared" si="16"/>
        <v>23239.653619999997</v>
      </c>
      <c r="C54" s="315">
        <f t="shared" si="17"/>
        <v>17826.829105000001</v>
      </c>
      <c r="D54" s="315">
        <f t="shared" si="18"/>
        <v>20394.641284999998</v>
      </c>
      <c r="E54" s="315">
        <f t="shared" si="19"/>
        <v>31442.350245999998</v>
      </c>
      <c r="F54" s="315">
        <f t="shared" si="20"/>
        <v>0</v>
      </c>
      <c r="G54" s="289">
        <f t="shared" si="5"/>
        <v>92903.474255999987</v>
      </c>
      <c r="H54" s="209">
        <v>232396536.19999999</v>
      </c>
      <c r="I54" s="381">
        <v>178268291.05000001</v>
      </c>
      <c r="J54" s="382">
        <v>203946412.84999999</v>
      </c>
      <c r="K54" s="382">
        <v>314423502.45999998</v>
      </c>
      <c r="L54" s="382"/>
    </row>
    <row r="55" spans="1:14" ht="17.100000000000001" customHeight="1" x14ac:dyDescent="0.3">
      <c r="A55" s="359" t="s">
        <v>68</v>
      </c>
      <c r="B55" s="315">
        <f t="shared" si="16"/>
        <v>727.50698299999999</v>
      </c>
      <c r="C55" s="315">
        <f t="shared" si="17"/>
        <v>1361.9093720000001</v>
      </c>
      <c r="D55" s="315">
        <f t="shared" si="18"/>
        <v>1222.144395</v>
      </c>
      <c r="E55" s="315">
        <f t="shared" si="19"/>
        <v>1072.9880410000001</v>
      </c>
      <c r="F55" s="315">
        <f t="shared" si="20"/>
        <v>1393.4309020000001</v>
      </c>
      <c r="G55" s="289">
        <f t="shared" si="5"/>
        <v>4384.5487910000011</v>
      </c>
      <c r="H55" s="209">
        <v>7275069.8300000001</v>
      </c>
      <c r="I55" s="381">
        <v>13619093.720000001</v>
      </c>
      <c r="J55" s="381">
        <v>12221443.949999999</v>
      </c>
      <c r="K55" s="381">
        <v>10729880.41</v>
      </c>
      <c r="L55" s="381">
        <v>13934309.02</v>
      </c>
    </row>
    <row r="56" spans="1:14" ht="17.100000000000001" customHeight="1" x14ac:dyDescent="0.3">
      <c r="A56" s="359" t="s">
        <v>69</v>
      </c>
      <c r="B56" s="315">
        <f t="shared" si="16"/>
        <v>34975.377783999997</v>
      </c>
      <c r="C56" s="315">
        <f t="shared" si="17"/>
        <v>35225.236494999997</v>
      </c>
      <c r="D56" s="315">
        <f t="shared" si="18"/>
        <v>27279.129649000002</v>
      </c>
      <c r="E56" s="315">
        <f t="shared" si="19"/>
        <v>16258.76175</v>
      </c>
      <c r="F56" s="315">
        <f t="shared" si="20"/>
        <v>13625.813128</v>
      </c>
      <c r="G56" s="289">
        <f t="shared" si="5"/>
        <v>113738.50567800002</v>
      </c>
      <c r="H56" s="209">
        <v>349753777.83999997</v>
      </c>
      <c r="I56" s="381">
        <v>352252364.94999999</v>
      </c>
      <c r="J56" s="381">
        <v>272791296.49000001</v>
      </c>
      <c r="K56" s="381">
        <v>162587617.5</v>
      </c>
      <c r="L56" s="381">
        <v>136258131.28</v>
      </c>
    </row>
    <row r="57" spans="1:14" ht="17.100000000000001" customHeight="1" x14ac:dyDescent="0.3">
      <c r="A57" s="359" t="s">
        <v>70</v>
      </c>
      <c r="B57" s="315">
        <f t="shared" si="16"/>
        <v>192675.49462099999</v>
      </c>
      <c r="C57" s="315">
        <f t="shared" si="17"/>
        <v>198101.403254</v>
      </c>
      <c r="D57" s="315">
        <f t="shared" si="18"/>
        <v>139714.55822599999</v>
      </c>
      <c r="E57" s="315">
        <f t="shared" si="19"/>
        <v>55580.825785000001</v>
      </c>
      <c r="F57" s="315">
        <f t="shared" si="20"/>
        <v>114238.177631</v>
      </c>
      <c r="G57" s="289">
        <f t="shared" si="5"/>
        <v>586072.28188600007</v>
      </c>
      <c r="H57" s="209">
        <v>1926754946.21</v>
      </c>
      <c r="I57" s="381">
        <v>1981014032.54</v>
      </c>
      <c r="J57" s="381">
        <v>1397145582.26</v>
      </c>
      <c r="K57" s="381">
        <v>555808257.85000002</v>
      </c>
      <c r="L57" s="381">
        <v>1142381776.3099999</v>
      </c>
    </row>
    <row r="58" spans="1:14" ht="17.100000000000001" customHeight="1" x14ac:dyDescent="0.3">
      <c r="A58" s="359" t="s">
        <v>71</v>
      </c>
      <c r="B58" s="315">
        <f t="shared" si="16"/>
        <v>0</v>
      </c>
      <c r="C58" s="315">
        <f t="shared" si="17"/>
        <v>0</v>
      </c>
      <c r="D58" s="315">
        <f t="shared" si="18"/>
        <v>0</v>
      </c>
      <c r="E58" s="315">
        <f t="shared" si="19"/>
        <v>0</v>
      </c>
      <c r="F58" s="315">
        <f t="shared" si="20"/>
        <v>0</v>
      </c>
      <c r="G58" s="289">
        <f t="shared" si="5"/>
        <v>0</v>
      </c>
      <c r="H58" s="209"/>
      <c r="I58" s="367"/>
      <c r="J58" s="383"/>
      <c r="K58" s="382"/>
      <c r="L58" s="384"/>
    </row>
    <row r="59" spans="1:14" ht="17.100000000000001" customHeight="1" x14ac:dyDescent="0.3">
      <c r="A59" s="352" t="s">
        <v>72</v>
      </c>
      <c r="B59" s="315">
        <f t="shared" si="16"/>
        <v>0</v>
      </c>
      <c r="C59" s="315">
        <f t="shared" si="17"/>
        <v>0</v>
      </c>
      <c r="D59" s="315">
        <f t="shared" si="18"/>
        <v>0</v>
      </c>
      <c r="E59" s="315">
        <f t="shared" si="19"/>
        <v>0</v>
      </c>
      <c r="F59" s="315">
        <f t="shared" si="20"/>
        <v>0</v>
      </c>
      <c r="G59" s="289">
        <f t="shared" si="5"/>
        <v>0</v>
      </c>
      <c r="H59" s="209"/>
      <c r="I59" s="381"/>
      <c r="J59" s="383"/>
      <c r="K59" s="382"/>
      <c r="L59" s="385"/>
    </row>
    <row r="60" spans="1:14" ht="17.100000000000001" customHeight="1" x14ac:dyDescent="0.3">
      <c r="A60" s="359" t="s">
        <v>73</v>
      </c>
      <c r="B60" s="315">
        <f t="shared" si="16"/>
        <v>772420.26084499992</v>
      </c>
      <c r="C60" s="315">
        <f t="shared" si="17"/>
        <v>882339.84503600001</v>
      </c>
      <c r="D60" s="315">
        <f t="shared" si="18"/>
        <v>429194.06271100004</v>
      </c>
      <c r="E60" s="315">
        <f t="shared" si="19"/>
        <v>366739.71048100002</v>
      </c>
      <c r="F60" s="315">
        <f t="shared" si="20"/>
        <v>220488.63929499997</v>
      </c>
      <c r="G60" s="289">
        <f t="shared" si="5"/>
        <v>2450693.879073</v>
      </c>
      <c r="H60" s="209">
        <v>7724202608.4499998</v>
      </c>
      <c r="I60" s="381">
        <v>8823398450.3600006</v>
      </c>
      <c r="J60" s="209">
        <v>4291940627.1100001</v>
      </c>
      <c r="K60" s="381">
        <v>3667397104.8099999</v>
      </c>
      <c r="L60" s="381">
        <v>2204886392.9499998</v>
      </c>
    </row>
    <row r="61" spans="1:14" ht="17.100000000000001" customHeight="1" x14ac:dyDescent="0.3">
      <c r="A61" s="359" t="s">
        <v>74</v>
      </c>
      <c r="B61" s="315">
        <f t="shared" si="16"/>
        <v>541161.83429499995</v>
      </c>
      <c r="C61" s="315">
        <f t="shared" si="17"/>
        <v>291857.77127099998</v>
      </c>
      <c r="D61" s="315">
        <f t="shared" si="18"/>
        <v>191936.04471400002</v>
      </c>
      <c r="E61" s="315">
        <f t="shared" si="19"/>
        <v>619261.78961500002</v>
      </c>
      <c r="F61" s="315">
        <f t="shared" si="20"/>
        <v>426189</v>
      </c>
      <c r="G61" s="289">
        <f t="shared" si="5"/>
        <v>1644217.4398949998</v>
      </c>
      <c r="H61" s="209">
        <v>5411618342.9499998</v>
      </c>
      <c r="I61" s="381">
        <v>2918577712.71</v>
      </c>
      <c r="J61" s="368">
        <v>1919360447.1400001</v>
      </c>
      <c r="K61" s="386">
        <v>6192617896.1499996</v>
      </c>
      <c r="L61" s="387">
        <v>4261890000</v>
      </c>
    </row>
    <row r="62" spans="1:14" ht="17.100000000000001" customHeight="1" x14ac:dyDescent="0.3">
      <c r="A62" s="360" t="s">
        <v>75</v>
      </c>
      <c r="B62" s="361">
        <f>SUM(B47:B61)</f>
        <v>2179313.0892079999</v>
      </c>
      <c r="C62" s="361">
        <f>SUM(C47:C61)</f>
        <v>1861262.499812</v>
      </c>
      <c r="D62" s="361">
        <f t="shared" ref="D62:F62" si="21">SUM(D47:D61)</f>
        <v>1279460.0717310002</v>
      </c>
      <c r="E62" s="361">
        <f t="shared" si="21"/>
        <v>1480630.108425</v>
      </c>
      <c r="F62" s="361">
        <f t="shared" si="21"/>
        <v>1030926.694717</v>
      </c>
      <c r="G62" s="289">
        <f t="shared" si="5"/>
        <v>6800665.7691759998</v>
      </c>
      <c r="H62" s="209">
        <v>21793130892.080002</v>
      </c>
      <c r="I62" s="381">
        <v>18612624998.119999</v>
      </c>
      <c r="J62" s="388">
        <v>12794600717.309999</v>
      </c>
      <c r="K62" s="389">
        <v>14806301084.25</v>
      </c>
      <c r="L62" s="390">
        <v>10309266947.17</v>
      </c>
      <c r="M62" s="80"/>
      <c r="N62" s="80"/>
    </row>
    <row r="63" spans="1:14" ht="17.100000000000001" customHeight="1" x14ac:dyDescent="0.3">
      <c r="A63" s="362" t="s">
        <v>76</v>
      </c>
      <c r="B63" s="358"/>
      <c r="C63" s="358"/>
      <c r="D63" s="70"/>
      <c r="E63" s="76"/>
      <c r="F63" s="76"/>
      <c r="G63" s="289"/>
      <c r="H63" s="209"/>
      <c r="I63" s="381"/>
      <c r="J63" s="368"/>
      <c r="K63" s="386"/>
      <c r="L63" s="391"/>
    </row>
    <row r="64" spans="1:14" ht="17.100000000000001" customHeight="1" x14ac:dyDescent="0.3">
      <c r="A64" s="359" t="s">
        <v>77</v>
      </c>
      <c r="B64" s="315">
        <f>H64/$A$1</f>
        <v>1157759.483004</v>
      </c>
      <c r="C64" s="315">
        <f>I64/$A$1</f>
        <v>921871.16391299991</v>
      </c>
      <c r="D64" s="315">
        <f>J64/$A$1</f>
        <v>787232.25028000004</v>
      </c>
      <c r="E64" s="315">
        <f>K64/$A$1</f>
        <v>542280.72326700005</v>
      </c>
      <c r="F64" s="315">
        <f>L64/$A$1</f>
        <v>380982.57841199997</v>
      </c>
      <c r="G64" s="289">
        <f t="shared" si="5"/>
        <v>3409143.6204639999</v>
      </c>
      <c r="H64" s="209">
        <v>11577594830.040001</v>
      </c>
      <c r="I64" s="381">
        <v>9218711639.1299992</v>
      </c>
      <c r="J64" s="209">
        <v>7872322502.8000002</v>
      </c>
      <c r="K64" s="381">
        <v>5422807232.6700001</v>
      </c>
      <c r="L64" s="381">
        <v>3809825784.1199999</v>
      </c>
      <c r="M64" s="80"/>
      <c r="N64" s="80"/>
    </row>
    <row r="65" spans="1:14" ht="17.100000000000001" customHeight="1" x14ac:dyDescent="0.3">
      <c r="A65" s="359" t="s">
        <v>78</v>
      </c>
      <c r="B65" s="315">
        <f t="shared" ref="B65:B72" si="22">H65/$A$1</f>
        <v>180141.94301700001</v>
      </c>
      <c r="C65" s="315">
        <f t="shared" ref="C65:F72" si="23">I65/$A$1</f>
        <v>443600.99190200004</v>
      </c>
      <c r="D65" s="315">
        <f t="shared" si="23"/>
        <v>851342.51196000003</v>
      </c>
      <c r="E65" s="315">
        <f t="shared" si="23"/>
        <v>574034.50741099997</v>
      </c>
      <c r="F65" s="315">
        <f t="shared" si="23"/>
        <v>615633.49983300001</v>
      </c>
      <c r="G65" s="289">
        <f t="shared" si="5"/>
        <v>2049119.9542899998</v>
      </c>
      <c r="H65" s="209">
        <v>1801419430.1700001</v>
      </c>
      <c r="I65" s="392">
        <v>4436009919.0200005</v>
      </c>
      <c r="J65" s="209">
        <v>8513425119.6000004</v>
      </c>
      <c r="K65" s="381">
        <v>5740345074.1099997</v>
      </c>
      <c r="L65" s="381">
        <v>6156334998.3299999</v>
      </c>
    </row>
    <row r="66" spans="1:14" ht="17.100000000000001" customHeight="1" x14ac:dyDescent="0.3">
      <c r="A66" s="359" t="s">
        <v>79</v>
      </c>
      <c r="B66" s="315">
        <f t="shared" si="22"/>
        <v>126189.91598599999</v>
      </c>
      <c r="C66" s="315">
        <f t="shared" si="23"/>
        <v>120531.619877</v>
      </c>
      <c r="D66" s="315">
        <f t="shared" si="23"/>
        <v>169251.796072</v>
      </c>
      <c r="E66" s="315">
        <f t="shared" si="23"/>
        <v>161467.30257200002</v>
      </c>
      <c r="F66" s="315">
        <f t="shared" si="23"/>
        <v>136733.33214700001</v>
      </c>
      <c r="G66" s="289">
        <f t="shared" si="5"/>
        <v>577440.63450699998</v>
      </c>
      <c r="H66" s="209">
        <v>1261899159.8599999</v>
      </c>
      <c r="I66" s="392">
        <v>1205316198.77</v>
      </c>
      <c r="J66" s="392">
        <v>1692517960.72</v>
      </c>
      <c r="K66" s="393">
        <v>1614673025.72</v>
      </c>
      <c r="L66" s="393">
        <v>1367333321.47</v>
      </c>
    </row>
    <row r="67" spans="1:14" ht="17.100000000000001" customHeight="1" x14ac:dyDescent="0.3">
      <c r="A67" s="359" t="s">
        <v>80</v>
      </c>
      <c r="B67" s="315">
        <f t="shared" ref="B67" si="24">H67/$A$1</f>
        <v>0</v>
      </c>
      <c r="C67" s="315">
        <f t="shared" si="23"/>
        <v>0</v>
      </c>
      <c r="D67" s="315">
        <f t="shared" si="23"/>
        <v>0</v>
      </c>
      <c r="E67" s="315">
        <f t="shared" si="23"/>
        <v>0</v>
      </c>
      <c r="F67" s="315">
        <f t="shared" si="23"/>
        <v>0</v>
      </c>
      <c r="G67" s="289">
        <f t="shared" si="5"/>
        <v>0</v>
      </c>
      <c r="H67" s="209"/>
      <c r="I67" s="392"/>
      <c r="J67" s="392"/>
      <c r="K67" s="393"/>
      <c r="L67" s="393"/>
    </row>
    <row r="68" spans="1:14" ht="17.100000000000001" customHeight="1" x14ac:dyDescent="0.3">
      <c r="A68" s="359" t="s">
        <v>81</v>
      </c>
      <c r="B68" s="315">
        <f t="shared" si="22"/>
        <v>0</v>
      </c>
      <c r="C68" s="315">
        <f t="shared" si="23"/>
        <v>0</v>
      </c>
      <c r="D68" s="315">
        <f t="shared" si="23"/>
        <v>0</v>
      </c>
      <c r="E68" s="315">
        <f t="shared" si="23"/>
        <v>0</v>
      </c>
      <c r="F68" s="315">
        <f t="shared" si="23"/>
        <v>0</v>
      </c>
      <c r="G68" s="289">
        <f t="shared" si="5"/>
        <v>0</v>
      </c>
      <c r="H68" s="209"/>
      <c r="I68" s="392"/>
      <c r="J68" s="369"/>
      <c r="K68" s="386"/>
      <c r="L68" s="394"/>
    </row>
    <row r="69" spans="1:14" ht="17.100000000000001" customHeight="1" x14ac:dyDescent="0.3">
      <c r="A69" s="359" t="s">
        <v>82</v>
      </c>
      <c r="B69" s="315">
        <f t="shared" si="22"/>
        <v>0</v>
      </c>
      <c r="C69" s="315">
        <f t="shared" si="23"/>
        <v>0</v>
      </c>
      <c r="D69" s="315">
        <f t="shared" si="23"/>
        <v>0</v>
      </c>
      <c r="E69" s="315">
        <f t="shared" si="23"/>
        <v>0</v>
      </c>
      <c r="F69" s="315">
        <f t="shared" si="23"/>
        <v>0</v>
      </c>
      <c r="G69" s="289">
        <f t="shared" si="5"/>
        <v>0</v>
      </c>
      <c r="H69" s="209"/>
      <c r="I69" s="392"/>
      <c r="J69" s="369"/>
      <c r="K69" s="386"/>
      <c r="L69" s="394"/>
    </row>
    <row r="70" spans="1:14" ht="17.100000000000001" customHeight="1" x14ac:dyDescent="0.3">
      <c r="A70" s="359" t="s">
        <v>83</v>
      </c>
      <c r="B70" s="315">
        <f t="shared" si="22"/>
        <v>5711.4180719999995</v>
      </c>
      <c r="C70" s="315">
        <f t="shared" si="23"/>
        <v>5084.0420720000002</v>
      </c>
      <c r="D70" s="315">
        <f t="shared" si="23"/>
        <v>9495.7831349999997</v>
      </c>
      <c r="E70" s="315">
        <f t="shared" si="23"/>
        <v>11126.192959</v>
      </c>
      <c r="F70" s="315">
        <f t="shared" si="23"/>
        <v>14324.001144999998</v>
      </c>
      <c r="G70" s="289">
        <f t="shared" ref="G70:G89" si="25">SUM(B70:E70)</f>
        <v>31417.436238000002</v>
      </c>
      <c r="H70" s="209">
        <v>57114180.719999999</v>
      </c>
      <c r="I70" s="392">
        <v>50840420.719999999</v>
      </c>
      <c r="J70" s="369">
        <v>94957831.349999994</v>
      </c>
      <c r="K70" s="386">
        <v>111261929.59</v>
      </c>
      <c r="L70" s="386">
        <v>143240011.44999999</v>
      </c>
    </row>
    <row r="71" spans="1:14" ht="17.100000000000001" customHeight="1" x14ac:dyDescent="0.3">
      <c r="A71" s="359" t="s">
        <v>84</v>
      </c>
      <c r="B71" s="315">
        <f t="shared" si="22"/>
        <v>27844.066425000001</v>
      </c>
      <c r="C71" s="315">
        <f t="shared" si="23"/>
        <v>27844.066425000001</v>
      </c>
      <c r="D71" s="315">
        <f t="shared" si="23"/>
        <v>30563.177662999999</v>
      </c>
      <c r="E71" s="315">
        <f t="shared" si="23"/>
        <v>9837.3922980000007</v>
      </c>
      <c r="F71" s="315">
        <f t="shared" si="23"/>
        <v>9976.1409019999992</v>
      </c>
      <c r="G71" s="289">
        <f t="shared" si="25"/>
        <v>96088.70281100001</v>
      </c>
      <c r="H71" s="209">
        <v>278440664.25</v>
      </c>
      <c r="I71" s="392">
        <v>278440664.25</v>
      </c>
      <c r="J71" s="209">
        <v>305631776.63</v>
      </c>
      <c r="K71" s="393">
        <v>98373922.980000004</v>
      </c>
      <c r="L71" s="394">
        <v>99761409.019999996</v>
      </c>
    </row>
    <row r="72" spans="1:14" ht="17.100000000000001" customHeight="1" x14ac:dyDescent="0.3">
      <c r="A72" s="359" t="s">
        <v>85</v>
      </c>
      <c r="B72" s="315">
        <f t="shared" si="22"/>
        <v>20100</v>
      </c>
      <c r="C72" s="315">
        <f t="shared" si="23"/>
        <v>20100</v>
      </c>
      <c r="D72" s="315">
        <f t="shared" si="23"/>
        <v>20100</v>
      </c>
      <c r="E72" s="315">
        <f t="shared" si="23"/>
        <v>0</v>
      </c>
      <c r="F72" s="315">
        <f t="shared" si="23"/>
        <v>0</v>
      </c>
      <c r="G72" s="289">
        <f t="shared" si="25"/>
        <v>60300</v>
      </c>
      <c r="H72" s="209">
        <v>201000000</v>
      </c>
      <c r="I72" s="392">
        <v>201000000</v>
      </c>
      <c r="J72" s="392">
        <v>201000000</v>
      </c>
      <c r="K72" s="393"/>
      <c r="L72" s="386"/>
    </row>
    <row r="73" spans="1:14" ht="17.100000000000001" customHeight="1" x14ac:dyDescent="0.3">
      <c r="A73" s="360" t="s">
        <v>86</v>
      </c>
      <c r="B73" s="361">
        <f>SUM(B64:B72)</f>
        <v>1517746.8265040002</v>
      </c>
      <c r="C73" s="361">
        <f>SUM(C64:C65)+SUM(C66:C72)</f>
        <v>1539031.8841889999</v>
      </c>
      <c r="D73" s="361">
        <f>SUM(D64:D65)+SUM(D66:D72)</f>
        <v>1867985.51911</v>
      </c>
      <c r="E73" s="361">
        <f>SUM(E64:E65)+SUM(E66:E72)</f>
        <v>1298746.1185070002</v>
      </c>
      <c r="F73" s="361">
        <f>SUM(F64:F65)+SUM(F66:F72)</f>
        <v>1157649.552439</v>
      </c>
      <c r="G73" s="289">
        <f t="shared" si="25"/>
        <v>6223510.3483099993</v>
      </c>
      <c r="H73" s="209">
        <v>15177468265.040001</v>
      </c>
      <c r="I73" s="392">
        <v>15390318841.889999</v>
      </c>
      <c r="J73" s="392">
        <v>18679855191.099998</v>
      </c>
      <c r="K73" s="393">
        <v>12987461185.07</v>
      </c>
      <c r="L73" s="393">
        <v>11576495524.389999</v>
      </c>
      <c r="M73" s="295"/>
      <c r="N73" s="295"/>
    </row>
    <row r="74" spans="1:14" ht="17.100000000000001" customHeight="1" x14ac:dyDescent="0.3">
      <c r="A74" s="360" t="s">
        <v>87</v>
      </c>
      <c r="B74" s="361">
        <f>B62+B73</f>
        <v>3697059.9157119999</v>
      </c>
      <c r="C74" s="361">
        <f>C62+C73</f>
        <v>3400294.3840009999</v>
      </c>
      <c r="D74" s="361">
        <f>D62+D73</f>
        <v>3147445.590841</v>
      </c>
      <c r="E74" s="361">
        <f>E62+E73</f>
        <v>2779376.2269320004</v>
      </c>
      <c r="F74" s="361">
        <f>F62+F73</f>
        <v>2188576.2471559998</v>
      </c>
      <c r="G74" s="289">
        <f t="shared" si="25"/>
        <v>13024176.117486</v>
      </c>
      <c r="H74" s="209">
        <v>36970599157.120003</v>
      </c>
      <c r="I74" s="392">
        <v>34002943840.009998</v>
      </c>
      <c r="J74" s="392">
        <v>31474455908.41</v>
      </c>
      <c r="K74" s="393">
        <v>27793762269.32</v>
      </c>
      <c r="L74" s="393">
        <v>21885762471.560001</v>
      </c>
      <c r="M74" s="80"/>
      <c r="N74" s="80"/>
    </row>
    <row r="75" spans="1:14" ht="17.100000000000001" customHeight="1" x14ac:dyDescent="0.3">
      <c r="A75" s="373" t="s">
        <v>88</v>
      </c>
      <c r="B75" s="358"/>
      <c r="C75" s="358"/>
      <c r="D75" s="70"/>
      <c r="E75" s="76"/>
      <c r="F75" s="76"/>
      <c r="G75" s="289"/>
      <c r="H75" s="392"/>
      <c r="I75" s="392"/>
      <c r="J75" s="286"/>
      <c r="K75" s="394"/>
      <c r="L75" s="394"/>
    </row>
    <row r="76" spans="1:14" ht="17.100000000000001" customHeight="1" x14ac:dyDescent="0.3">
      <c r="A76" s="374" t="s">
        <v>89</v>
      </c>
      <c r="B76" s="315">
        <f>H76/$A$1</f>
        <v>20000</v>
      </c>
      <c r="C76" s="315">
        <f>I76/$A$1</f>
        <v>20000</v>
      </c>
      <c r="D76" s="315">
        <f>J76/$A$1</f>
        <v>20000</v>
      </c>
      <c r="E76" s="315">
        <f>K76/$A$1</f>
        <v>20000</v>
      </c>
      <c r="F76" s="315">
        <f>L76/$A$1</f>
        <v>20000</v>
      </c>
      <c r="G76" s="289">
        <f t="shared" si="25"/>
        <v>80000</v>
      </c>
      <c r="H76" s="392">
        <v>200000000</v>
      </c>
      <c r="I76" s="392">
        <v>200000000</v>
      </c>
      <c r="J76" s="209">
        <v>200000000</v>
      </c>
      <c r="K76" s="381">
        <v>200000000</v>
      </c>
      <c r="L76" s="381">
        <v>200000000</v>
      </c>
    </row>
    <row r="77" spans="1:14" ht="17.100000000000001" customHeight="1" x14ac:dyDescent="0.3">
      <c r="A77" s="374" t="s">
        <v>90</v>
      </c>
      <c r="B77" s="315">
        <f t="shared" ref="B77:B85" si="26">H77/$A$1</f>
        <v>0</v>
      </c>
      <c r="C77" s="315">
        <f t="shared" ref="C77:C85" si="27">I77/$A$1</f>
        <v>0</v>
      </c>
      <c r="D77" s="315">
        <f t="shared" ref="D77:D85" si="28">J77/$A$1</f>
        <v>0</v>
      </c>
      <c r="E77" s="315">
        <f t="shared" ref="E77:E85" si="29">K77/$A$1</f>
        <v>0</v>
      </c>
      <c r="F77" s="315">
        <f t="shared" ref="F77:F85" si="30">L77/$A$1</f>
        <v>0</v>
      </c>
      <c r="G77" s="289">
        <f t="shared" si="25"/>
        <v>0</v>
      </c>
      <c r="H77" s="392"/>
      <c r="I77" s="392"/>
      <c r="J77" s="286"/>
      <c r="K77" s="394"/>
      <c r="L77" s="394"/>
    </row>
    <row r="78" spans="1:14" ht="17.100000000000001" customHeight="1" x14ac:dyDescent="0.3">
      <c r="A78" s="352" t="s">
        <v>91</v>
      </c>
      <c r="B78" s="315">
        <f t="shared" si="26"/>
        <v>0</v>
      </c>
      <c r="C78" s="315">
        <f t="shared" si="27"/>
        <v>0</v>
      </c>
      <c r="D78" s="315">
        <f t="shared" si="28"/>
        <v>0</v>
      </c>
      <c r="E78" s="315">
        <f t="shared" si="29"/>
        <v>0</v>
      </c>
      <c r="F78" s="315">
        <f t="shared" si="30"/>
        <v>0</v>
      </c>
      <c r="G78" s="289">
        <f t="shared" si="25"/>
        <v>0</v>
      </c>
      <c r="H78" s="392"/>
      <c r="I78" s="392"/>
      <c r="J78" s="286"/>
      <c r="K78" s="394"/>
      <c r="L78" s="394"/>
    </row>
    <row r="79" spans="1:14" ht="17.100000000000001" customHeight="1" x14ac:dyDescent="0.3">
      <c r="A79" s="352" t="s">
        <v>92</v>
      </c>
      <c r="B79" s="315">
        <f t="shared" si="26"/>
        <v>0</v>
      </c>
      <c r="C79" s="315">
        <f t="shared" si="27"/>
        <v>0</v>
      </c>
      <c r="D79" s="315">
        <f t="shared" si="28"/>
        <v>0</v>
      </c>
      <c r="E79" s="315">
        <f t="shared" si="29"/>
        <v>0</v>
      </c>
      <c r="F79" s="315">
        <f t="shared" si="30"/>
        <v>0</v>
      </c>
      <c r="G79" s="289">
        <f t="shared" si="25"/>
        <v>0</v>
      </c>
      <c r="H79" s="392"/>
      <c r="I79" s="392"/>
      <c r="J79" s="286"/>
      <c r="K79" s="394"/>
      <c r="L79" s="394"/>
    </row>
    <row r="80" spans="1:14" ht="17.100000000000001" customHeight="1" x14ac:dyDescent="0.3">
      <c r="A80" s="352" t="s">
        <v>93</v>
      </c>
      <c r="B80" s="315">
        <f t="shared" si="26"/>
        <v>1193537.3035309999</v>
      </c>
      <c r="C80" s="315">
        <f t="shared" si="27"/>
        <v>1192861.1118049999</v>
      </c>
      <c r="D80" s="315">
        <f t="shared" si="28"/>
        <v>1201183.5712049999</v>
      </c>
      <c r="E80" s="315">
        <f t="shared" si="29"/>
        <v>1088056.8200610001</v>
      </c>
      <c r="F80" s="315">
        <f t="shared" si="30"/>
        <v>968285.875459</v>
      </c>
      <c r="G80" s="289">
        <f t="shared" si="25"/>
        <v>4675638.8066019993</v>
      </c>
      <c r="H80" s="392">
        <v>11935373035.309999</v>
      </c>
      <c r="I80" s="392">
        <v>11928611118.049999</v>
      </c>
      <c r="J80" s="209">
        <v>12011835712.049999</v>
      </c>
      <c r="K80" s="381">
        <v>10880568200.610001</v>
      </c>
      <c r="L80" s="381">
        <v>9682858754.5900002</v>
      </c>
    </row>
    <row r="81" spans="1:14" ht="17.100000000000001" customHeight="1" x14ac:dyDescent="0.3">
      <c r="A81" s="352" t="s">
        <v>94</v>
      </c>
      <c r="B81" s="315">
        <f t="shared" si="26"/>
        <v>0</v>
      </c>
      <c r="C81" s="315">
        <f t="shared" si="27"/>
        <v>0</v>
      </c>
      <c r="D81" s="315">
        <f t="shared" si="28"/>
        <v>0</v>
      </c>
      <c r="E81" s="315">
        <f t="shared" si="29"/>
        <v>0</v>
      </c>
      <c r="F81" s="315">
        <f t="shared" si="30"/>
        <v>0</v>
      </c>
      <c r="G81" s="289">
        <f t="shared" si="25"/>
        <v>0</v>
      </c>
      <c r="H81" s="392"/>
      <c r="I81" s="392"/>
      <c r="J81" s="286"/>
      <c r="K81" s="394"/>
      <c r="L81" s="394"/>
    </row>
    <row r="82" spans="1:14" ht="17.100000000000001" customHeight="1" x14ac:dyDescent="0.3">
      <c r="A82" s="352" t="s">
        <v>95</v>
      </c>
      <c r="B82" s="315">
        <f t="shared" si="26"/>
        <v>60779.049190999998</v>
      </c>
      <c r="C82" s="315">
        <f t="shared" si="27"/>
        <v>60779.049190999998</v>
      </c>
      <c r="D82" s="315">
        <f t="shared" si="28"/>
        <v>61012.426107000007</v>
      </c>
      <c r="E82" s="315">
        <f t="shared" si="29"/>
        <v>0</v>
      </c>
      <c r="F82" s="315">
        <f t="shared" si="30"/>
        <v>0</v>
      </c>
      <c r="G82" s="289">
        <f t="shared" si="25"/>
        <v>182570.524489</v>
      </c>
      <c r="H82" s="392">
        <v>607790491.90999997</v>
      </c>
      <c r="I82" s="392">
        <v>607790491.90999997</v>
      </c>
      <c r="J82" s="392">
        <v>610124261.07000005</v>
      </c>
      <c r="K82" s="393"/>
      <c r="L82" s="386"/>
    </row>
    <row r="83" spans="1:14" ht="17.100000000000001" customHeight="1" x14ac:dyDescent="0.3">
      <c r="A83" s="352" t="s">
        <v>96</v>
      </c>
      <c r="B83" s="315">
        <f t="shared" si="26"/>
        <v>0</v>
      </c>
      <c r="C83" s="315">
        <f t="shared" si="27"/>
        <v>0</v>
      </c>
      <c r="D83" s="315">
        <f t="shared" si="28"/>
        <v>0</v>
      </c>
      <c r="E83" s="315">
        <f t="shared" si="29"/>
        <v>0</v>
      </c>
      <c r="F83" s="315">
        <f t="shared" si="30"/>
        <v>0</v>
      </c>
      <c r="G83" s="289">
        <f t="shared" si="25"/>
        <v>0</v>
      </c>
      <c r="H83" s="392"/>
      <c r="I83" s="392"/>
      <c r="J83" s="286"/>
      <c r="K83" s="394"/>
      <c r="L83" s="386"/>
    </row>
    <row r="84" spans="1:14" ht="17.100000000000001" customHeight="1" x14ac:dyDescent="0.3">
      <c r="A84" s="352" t="s">
        <v>97</v>
      </c>
      <c r="B84" s="315">
        <f t="shared" si="26"/>
        <v>50806.190256000002</v>
      </c>
      <c r="C84" s="315">
        <f t="shared" si="27"/>
        <v>50806.190256000002</v>
      </c>
      <c r="D84" s="315">
        <f t="shared" si="28"/>
        <v>45807.645101999995</v>
      </c>
      <c r="E84" s="315">
        <f t="shared" si="29"/>
        <v>40593.807462999997</v>
      </c>
      <c r="F84" s="315">
        <f t="shared" si="30"/>
        <v>36996.970892999998</v>
      </c>
      <c r="G84" s="289">
        <f t="shared" si="25"/>
        <v>188013.83307699999</v>
      </c>
      <c r="H84" s="392">
        <v>508061902.56</v>
      </c>
      <c r="I84" s="392">
        <v>508061902.56</v>
      </c>
      <c r="J84" s="209">
        <v>458076451.01999998</v>
      </c>
      <c r="K84" s="381">
        <v>405938074.63</v>
      </c>
      <c r="L84" s="381">
        <v>369969708.93000001</v>
      </c>
    </row>
    <row r="85" spans="1:14" ht="17.100000000000001" customHeight="1" x14ac:dyDescent="0.3">
      <c r="A85" s="352" t="s">
        <v>98</v>
      </c>
      <c r="B85" s="315">
        <f t="shared" si="26"/>
        <v>380349.249786</v>
      </c>
      <c r="C85" s="315">
        <f t="shared" si="27"/>
        <v>389878.194708</v>
      </c>
      <c r="D85" s="315">
        <f t="shared" si="28"/>
        <v>376521.92793800001</v>
      </c>
      <c r="E85" s="315">
        <f t="shared" si="29"/>
        <v>354457.38361399999</v>
      </c>
      <c r="F85" s="315">
        <f t="shared" si="30"/>
        <v>337878.47930000001</v>
      </c>
      <c r="G85" s="289">
        <f t="shared" si="25"/>
        <v>1501206.7560459999</v>
      </c>
      <c r="H85" s="392">
        <v>3803492497.8600001</v>
      </c>
      <c r="I85" s="392">
        <v>3898781947.0799999</v>
      </c>
      <c r="J85" s="209">
        <v>3765219279.3800001</v>
      </c>
      <c r="K85" s="381">
        <v>3544573836.1399999</v>
      </c>
      <c r="L85" s="381">
        <v>3378784793</v>
      </c>
    </row>
    <row r="86" spans="1:14" ht="17.100000000000001" customHeight="1" x14ac:dyDescent="0.3">
      <c r="A86" s="375" t="s">
        <v>99</v>
      </c>
      <c r="B86" s="376">
        <f>SUM(B76:B77)+B80-B81+SUM(B82:B85)</f>
        <v>1705471.7927639999</v>
      </c>
      <c r="C86" s="376">
        <f t="shared" ref="C86:F86" si="31">SUM(C76:C77)+C80-C81+SUM(C82:C85)</f>
        <v>1714324.5459599998</v>
      </c>
      <c r="D86" s="376">
        <f t="shared" si="31"/>
        <v>1704525.570352</v>
      </c>
      <c r="E86" s="376">
        <f t="shared" si="31"/>
        <v>1503108.0111380001</v>
      </c>
      <c r="F86" s="376">
        <f t="shared" si="31"/>
        <v>1363161.325652</v>
      </c>
      <c r="G86" s="289">
        <f t="shared" si="25"/>
        <v>6627429.9202139992</v>
      </c>
      <c r="H86" s="392">
        <v>17054717927.639999</v>
      </c>
      <c r="I86" s="392">
        <v>17143245459.6</v>
      </c>
      <c r="J86" s="392">
        <v>17045255703.52</v>
      </c>
      <c r="K86" s="393">
        <v>15031080111.379999</v>
      </c>
      <c r="L86" s="393">
        <v>13631613256.52</v>
      </c>
      <c r="M86" s="295"/>
      <c r="N86" s="295"/>
    </row>
    <row r="87" spans="1:14" ht="17.100000000000001" customHeight="1" x14ac:dyDescent="0.3">
      <c r="A87" s="352" t="s">
        <v>100</v>
      </c>
      <c r="B87" s="70">
        <f>H87/$A$1</f>
        <v>-95.650908999999999</v>
      </c>
      <c r="C87" s="70">
        <f>I87/$A$1</f>
        <v>3263.0561539999999</v>
      </c>
      <c r="D87" s="70">
        <f>J87/$A$1</f>
        <v>3867.8328350000002</v>
      </c>
      <c r="E87" s="70">
        <f>K87/$A$1</f>
        <v>3009.6000489999997</v>
      </c>
      <c r="F87" s="70">
        <f>L87/$A$1</f>
        <v>2961.5068630000001</v>
      </c>
      <c r="G87" s="289">
        <f t="shared" si="25"/>
        <v>10044.838129</v>
      </c>
      <c r="H87" s="392">
        <v>-956509.09</v>
      </c>
      <c r="I87" s="392">
        <v>32630561.539999999</v>
      </c>
      <c r="J87" s="209">
        <v>38678328.350000001</v>
      </c>
      <c r="K87" s="381">
        <v>30096000.489999998</v>
      </c>
      <c r="L87" s="393">
        <v>29615068.629999999</v>
      </c>
    </row>
    <row r="88" spans="1:14" ht="17.100000000000001" customHeight="1" x14ac:dyDescent="0.3">
      <c r="A88" s="375" t="s">
        <v>101</v>
      </c>
      <c r="B88" s="376">
        <f t="shared" ref="B88:F88" si="32">SUM(B86:B87)</f>
        <v>1705376.1418549998</v>
      </c>
      <c r="C88" s="376">
        <f t="shared" si="32"/>
        <v>1717587.6021139999</v>
      </c>
      <c r="D88" s="376">
        <f t="shared" si="32"/>
        <v>1708393.403187</v>
      </c>
      <c r="E88" s="376">
        <f t="shared" si="32"/>
        <v>1506117.6111870001</v>
      </c>
      <c r="F88" s="376">
        <f t="shared" si="32"/>
        <v>1366122.8325150001</v>
      </c>
      <c r="G88" s="289">
        <f t="shared" si="25"/>
        <v>6637474.758343</v>
      </c>
      <c r="H88" s="392">
        <v>17053761418.549999</v>
      </c>
      <c r="I88" s="392">
        <v>17175876021.139999</v>
      </c>
      <c r="J88" s="392">
        <v>17083934031.870001</v>
      </c>
      <c r="K88" s="393">
        <v>15061176111.870001</v>
      </c>
      <c r="L88" s="393">
        <v>13661228325.15</v>
      </c>
      <c r="M88" s="294"/>
      <c r="N88" s="294"/>
    </row>
    <row r="89" spans="1:14" ht="17.100000000000001" customHeight="1" x14ac:dyDescent="0.3">
      <c r="A89" s="375" t="s">
        <v>102</v>
      </c>
      <c r="B89" s="355">
        <f t="shared" ref="B89:F89" si="33">B74+B88</f>
        <v>5402436.0575669995</v>
      </c>
      <c r="C89" s="355">
        <f t="shared" si="33"/>
        <v>5117881.9861149993</v>
      </c>
      <c r="D89" s="355">
        <f t="shared" si="33"/>
        <v>4855838.9940280002</v>
      </c>
      <c r="E89" s="355">
        <f t="shared" si="33"/>
        <v>4285493.8381190002</v>
      </c>
      <c r="F89" s="355">
        <f t="shared" si="33"/>
        <v>3554699.0796710001</v>
      </c>
      <c r="G89" s="289">
        <f t="shared" si="25"/>
        <v>19661650.875828996</v>
      </c>
      <c r="H89" s="392">
        <v>54024360575.669998</v>
      </c>
      <c r="I89" s="392">
        <v>51178819861.150002</v>
      </c>
      <c r="J89" s="392">
        <v>48558389940.279999</v>
      </c>
      <c r="K89" s="393">
        <v>42854938381.190002</v>
      </c>
      <c r="L89" s="393">
        <v>35546990796.709999</v>
      </c>
      <c r="M89" s="80"/>
      <c r="N89" s="80"/>
    </row>
    <row r="90" spans="1:14" ht="17.100000000000001" customHeight="1" x14ac:dyDescent="0.3">
      <c r="A90" s="419" t="s">
        <v>103</v>
      </c>
      <c r="B90" s="420"/>
      <c r="C90" s="420"/>
      <c r="D90" s="420"/>
      <c r="E90" s="420"/>
      <c r="F90" s="421"/>
      <c r="G90" s="285"/>
      <c r="H90" s="377"/>
      <c r="I90" s="304"/>
      <c r="J90" s="286"/>
      <c r="K90" s="394"/>
      <c r="L90" s="394"/>
    </row>
    <row r="91" spans="1:14" s="67" customFormat="1" ht="17.100000000000001" customHeight="1" x14ac:dyDescent="0.3">
      <c r="A91" s="67" t="s">
        <v>104</v>
      </c>
      <c r="B91" s="378">
        <f>B89-B45</f>
        <v>0</v>
      </c>
      <c r="C91" s="378">
        <f t="shared" ref="C91:F91" si="34">C89-C45</f>
        <v>0</v>
      </c>
      <c r="D91" s="378">
        <f t="shared" si="34"/>
        <v>0</v>
      </c>
      <c r="E91" s="378">
        <f t="shared" si="34"/>
        <v>0</v>
      </c>
      <c r="F91" s="378">
        <f t="shared" si="34"/>
        <v>0</v>
      </c>
      <c r="H91" s="378"/>
    </row>
    <row r="92" spans="1:14" ht="17.100000000000001" customHeight="1" x14ac:dyDescent="0.3">
      <c r="B92" s="69"/>
      <c r="C92" s="69"/>
      <c r="D92" s="69"/>
      <c r="H92" s="294"/>
    </row>
    <row r="93" spans="1:14" ht="17.100000000000001" customHeight="1" x14ac:dyDescent="0.3">
      <c r="B93" s="80"/>
    </row>
    <row r="94" spans="1:14" ht="17.100000000000001" customHeight="1" x14ac:dyDescent="0.3">
      <c r="B94" s="80"/>
    </row>
    <row r="95" spans="1:14" ht="17.100000000000001" customHeight="1" x14ac:dyDescent="0.3">
      <c r="A95" s="69" t="s">
        <v>105</v>
      </c>
      <c r="B95" s="80">
        <f>B64+B65+B66</f>
        <v>1464091.3420070002</v>
      </c>
      <c r="C95" s="80">
        <f t="shared" ref="C95:F95" si="35">C64+C65+C66</f>
        <v>1486003.7756920001</v>
      </c>
      <c r="D95" s="80">
        <f t="shared" si="35"/>
        <v>1807826.558312</v>
      </c>
      <c r="E95" s="80">
        <f t="shared" si="35"/>
        <v>1277782.5332500001</v>
      </c>
      <c r="F95" s="80">
        <f t="shared" si="35"/>
        <v>1133349.4103919999</v>
      </c>
    </row>
    <row r="96" spans="1:14" ht="17.100000000000001" customHeight="1" x14ac:dyDescent="0.3">
      <c r="A96" s="68" t="s">
        <v>106</v>
      </c>
      <c r="B96" s="80">
        <f>B47+B51+B60+B61</f>
        <v>1806040.6345349997</v>
      </c>
      <c r="C96" s="80">
        <f>C47+C51+C60+C61</f>
        <v>1501402.247639</v>
      </c>
      <c r="D96" s="80">
        <f t="shared" ref="D96:F96" si="36">D47+D51+D60+D61</f>
        <v>1016134.3253800001</v>
      </c>
      <c r="E96" s="80">
        <f t="shared" si="36"/>
        <v>1338036.8663559998</v>
      </c>
      <c r="F96" s="80">
        <f t="shared" si="36"/>
        <v>882291.23357299995</v>
      </c>
    </row>
    <row r="97" spans="1:4" ht="17.100000000000001" customHeight="1" x14ac:dyDescent="0.3">
      <c r="A97" s="396" t="s">
        <v>1223</v>
      </c>
      <c r="C97" s="68">
        <v>296.7</v>
      </c>
      <c r="D97" s="294"/>
    </row>
    <row r="98" spans="1:4" ht="17.100000000000001" customHeight="1" x14ac:dyDescent="0.3">
      <c r="C98" s="397">
        <f>C96/10000/C97</f>
        <v>0.50603378754263562</v>
      </c>
    </row>
    <row r="100" spans="1:4" ht="17.100000000000001" customHeight="1" x14ac:dyDescent="0.3">
      <c r="D100" s="69"/>
    </row>
  </sheetData>
  <mergeCells count="3">
    <mergeCell ref="B1:F1"/>
    <mergeCell ref="H1:L1"/>
    <mergeCell ref="A90:F90"/>
  </mergeCells>
  <phoneticPr fontId="41" type="noConversion"/>
  <pageMargins left="0.7" right="0.7" top="0.75" bottom="0.75" header="0.3" footer="0.3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F8"/>
  <sheetViews>
    <sheetView zoomScale="80" zoomScaleNormal="80" workbookViewId="0">
      <selection activeCell="D5" sqref="D5"/>
    </sheetView>
  </sheetViews>
  <sheetFormatPr defaultColWidth="9" defaultRowHeight="26.1" customHeight="1" x14ac:dyDescent="0.3"/>
  <cols>
    <col min="1" max="1" width="29.1328125" style="24" customWidth="1"/>
    <col min="2" max="2" width="14.3984375" style="24" customWidth="1"/>
    <col min="3" max="3" width="13.53125" style="24" customWidth="1"/>
    <col min="4" max="4" width="13.06640625" style="24" customWidth="1"/>
    <col min="5" max="5" width="13.3984375" style="24" customWidth="1"/>
    <col min="6" max="6" width="13.06640625" style="24" customWidth="1"/>
    <col min="7" max="16384" width="9" style="24"/>
  </cols>
  <sheetData>
    <row r="1" spans="1:6" ht="26.1" customHeight="1" x14ac:dyDescent="0.3">
      <c r="A1" s="28" t="s">
        <v>1042</v>
      </c>
      <c r="B1" s="29" t="str">
        <f>'合并-is'!B2</f>
        <v>2024年1-9月</v>
      </c>
      <c r="C1" s="29" t="str">
        <f>'合并-is'!C2</f>
        <v>2023年度</v>
      </c>
      <c r="D1" s="29" t="str">
        <f>'合并-is'!D2</f>
        <v>2022年度</v>
      </c>
      <c r="E1" s="29" t="str">
        <f>'合并-is'!E2</f>
        <v>2021年度</v>
      </c>
      <c r="F1" s="29" t="str">
        <f>'合并-is'!F2</f>
        <v>2020年度</v>
      </c>
    </row>
    <row r="2" spans="1:6" ht="26.1" customHeight="1" x14ac:dyDescent="0.3">
      <c r="A2" s="31" t="s">
        <v>1043</v>
      </c>
      <c r="B2" s="114">
        <f>'合并-cf'!B13</f>
        <v>-21225.145136000006</v>
      </c>
      <c r="C2" s="114">
        <f>'合并-cf'!C13</f>
        <v>46470.456009000016</v>
      </c>
      <c r="D2" s="114">
        <f>'合并-cf'!D13</f>
        <v>-171988.20053399983</v>
      </c>
      <c r="E2" s="114">
        <f>'合并-cf'!E13</f>
        <v>-128878.04299599997</v>
      </c>
      <c r="F2" s="114">
        <f>'合并-cf'!F13</f>
        <v>-111841.322858</v>
      </c>
    </row>
    <row r="3" spans="1:6" ht="26.1" customHeight="1" x14ac:dyDescent="0.3">
      <c r="A3" s="31" t="s">
        <v>1044</v>
      </c>
      <c r="B3" s="114">
        <f>B6+B7</f>
        <v>117043.39029000001</v>
      </c>
      <c r="C3" s="114">
        <f t="shared" ref="C3:F3" si="0">C6+C7</f>
        <v>166890.818195</v>
      </c>
      <c r="D3" s="114">
        <f t="shared" si="0"/>
        <v>192443.618403</v>
      </c>
      <c r="E3" s="114">
        <f t="shared" si="0"/>
        <v>182566.316991</v>
      </c>
      <c r="F3" s="114">
        <f t="shared" si="0"/>
        <v>115864.17878399999</v>
      </c>
    </row>
    <row r="4" spans="1:6" ht="26.1" customHeight="1" x14ac:dyDescent="0.3">
      <c r="A4" s="31" t="s">
        <v>1045</v>
      </c>
      <c r="B4" s="114">
        <f>B8</f>
        <v>0</v>
      </c>
      <c r="C4" s="114">
        <f t="shared" ref="C4:F4" si="1">C8</f>
        <v>0</v>
      </c>
      <c r="D4" s="114">
        <f t="shared" si="1"/>
        <v>0</v>
      </c>
      <c r="E4" s="114">
        <f t="shared" si="1"/>
        <v>0</v>
      </c>
      <c r="F4" s="114">
        <f t="shared" si="1"/>
        <v>0</v>
      </c>
    </row>
    <row r="5" spans="1:6" ht="26.1" customHeight="1" x14ac:dyDescent="0.3">
      <c r="A5" s="28" t="s">
        <v>1046</v>
      </c>
      <c r="B5" s="115">
        <f>(B2+B4)/B3</f>
        <v>-0.18134424407401539</v>
      </c>
      <c r="C5" s="115">
        <f t="shared" ref="C5:F5" si="2">(C2+C4)/C3</f>
        <v>0.27844824845128752</v>
      </c>
      <c r="D5" s="115">
        <f t="shared" si="2"/>
        <v>-0.89370695667255606</v>
      </c>
      <c r="E5" s="115">
        <f t="shared" si="2"/>
        <v>-0.7059245381082716</v>
      </c>
      <c r="F5" s="115">
        <f t="shared" si="2"/>
        <v>-0.96527955431764978</v>
      </c>
    </row>
    <row r="6" spans="1:6" ht="26.1" customHeight="1" x14ac:dyDescent="0.3">
      <c r="A6" s="31" t="s">
        <v>1047</v>
      </c>
      <c r="B6" s="34">
        <f>'合并-cf'!B36</f>
        <v>117043.39029000001</v>
      </c>
      <c r="C6" s="34">
        <f>'合并-cf'!C36</f>
        <v>166890.818195</v>
      </c>
      <c r="D6" s="34">
        <f>'合并-cf'!D36</f>
        <v>192443.618403</v>
      </c>
      <c r="E6" s="34">
        <f>'合并-cf'!E36</f>
        <v>182566.316991</v>
      </c>
      <c r="F6" s="34">
        <f>'合并-cf'!F36</f>
        <v>115864.17878399999</v>
      </c>
    </row>
    <row r="7" spans="1:6" ht="26.1" customHeight="1" x14ac:dyDescent="0.3">
      <c r="A7" s="105" t="s">
        <v>1048</v>
      </c>
      <c r="B7" s="106"/>
      <c r="C7" s="106"/>
      <c r="D7" s="106"/>
      <c r="E7" s="106"/>
      <c r="F7" s="106"/>
    </row>
    <row r="8" spans="1:6" ht="26.1" customHeight="1" x14ac:dyDescent="0.3">
      <c r="A8" s="105" t="s">
        <v>1049</v>
      </c>
      <c r="B8" s="106"/>
      <c r="C8" s="106"/>
      <c r="D8" s="106"/>
      <c r="E8" s="106"/>
      <c r="F8" s="106"/>
    </row>
  </sheetData>
  <phoneticPr fontId="4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AF123"/>
  <sheetViews>
    <sheetView zoomScale="60" zoomScaleNormal="60" workbookViewId="0">
      <pane xSplit="1" ySplit="2" topLeftCell="B3" activePane="bottomRight" state="frozen"/>
      <selection pane="topRight"/>
      <selection pane="bottomLeft"/>
      <selection pane="bottomRight" activeCell="A3" sqref="A3:A5"/>
    </sheetView>
  </sheetViews>
  <sheetFormatPr defaultColWidth="9" defaultRowHeight="26.1" customHeight="1" x14ac:dyDescent="0.3"/>
  <cols>
    <col min="1" max="1" width="32.3984375" style="112" customWidth="1"/>
    <col min="2" max="3" width="12.46484375" style="39" customWidth="1"/>
    <col min="4" max="4" width="17.86328125" style="39" customWidth="1"/>
    <col min="5" max="5" width="9.1328125" style="39" customWidth="1"/>
    <col min="6" max="7" width="12.46484375" style="39" customWidth="1"/>
    <col min="8" max="8" width="17.86328125" style="39" customWidth="1"/>
    <col min="9" max="9" width="9.1328125" style="39" customWidth="1"/>
    <col min="10" max="11" width="12.46484375" style="39" customWidth="1"/>
    <col min="12" max="12" width="17.86328125" style="39" customWidth="1"/>
    <col min="13" max="13" width="9.1328125" style="39" customWidth="1"/>
    <col min="14" max="15" width="13" style="39" customWidth="1"/>
    <col min="16" max="16" width="17.86328125" style="39" customWidth="1"/>
    <col min="17" max="17" width="9.1328125" style="39" customWidth="1"/>
    <col min="18" max="18" width="12.46484375" style="39" customWidth="1"/>
    <col min="19" max="19" width="12.1328125" style="39" customWidth="1"/>
    <col min="20" max="20" width="17.86328125" style="39" customWidth="1"/>
    <col min="21" max="21" width="9.1328125" style="39" customWidth="1"/>
    <col min="22" max="22" width="9" style="2"/>
    <col min="23" max="26" width="18.53125" style="112" customWidth="1"/>
    <col min="27" max="28" width="18.59765625" style="112" customWidth="1"/>
    <col min="29" max="30" width="19" style="112" customWidth="1"/>
    <col min="31" max="31" width="17.46484375" style="112" customWidth="1"/>
    <col min="32" max="32" width="17.06640625" style="112" customWidth="1"/>
    <col min="33" max="16384" width="9" style="2"/>
  </cols>
  <sheetData>
    <row r="1" spans="1:32" ht="26.1" customHeight="1" x14ac:dyDescent="0.3">
      <c r="A1" s="39">
        <v>10000</v>
      </c>
      <c r="B1" s="445" t="str">
        <f>W1</f>
        <v>资产</v>
      </c>
      <c r="C1" s="445"/>
      <c r="D1" s="445"/>
      <c r="E1" s="445"/>
      <c r="F1" s="445" t="str">
        <f>Y1</f>
        <v>负债</v>
      </c>
      <c r="G1" s="445"/>
      <c r="H1" s="445"/>
      <c r="I1" s="445"/>
      <c r="J1" s="445" t="str">
        <f>AA1</f>
        <v>净资产</v>
      </c>
      <c r="K1" s="445"/>
      <c r="L1" s="445"/>
      <c r="M1" s="445"/>
      <c r="N1" s="445" t="str">
        <f>AC1</f>
        <v>收入</v>
      </c>
      <c r="O1" s="445"/>
      <c r="P1" s="445"/>
      <c r="Q1" s="445"/>
      <c r="R1" s="445" t="str">
        <f>AE1</f>
        <v>净利润</v>
      </c>
      <c r="S1" s="445"/>
      <c r="T1" s="445"/>
      <c r="U1" s="445"/>
      <c r="W1" s="446" t="s">
        <v>1050</v>
      </c>
      <c r="X1" s="446"/>
      <c r="Y1" s="446" t="s">
        <v>1051</v>
      </c>
      <c r="Z1" s="446"/>
      <c r="AA1" s="446" t="s">
        <v>297</v>
      </c>
      <c r="AB1" s="446"/>
      <c r="AC1" s="446" t="s">
        <v>1052</v>
      </c>
      <c r="AD1" s="446"/>
      <c r="AE1" s="446" t="s">
        <v>231</v>
      </c>
      <c r="AF1" s="446"/>
    </row>
    <row r="2" spans="1:32" ht="26.1" customHeight="1" x14ac:dyDescent="0.3">
      <c r="A2" s="37" t="s">
        <v>1053</v>
      </c>
      <c r="B2" s="37" t="str">
        <f>W2</f>
        <v>2021年末</v>
      </c>
      <c r="C2" s="37" t="str">
        <f>X2</f>
        <v>2020年末</v>
      </c>
      <c r="D2" s="37" t="s">
        <v>1054</v>
      </c>
      <c r="E2" s="37" t="s">
        <v>1055</v>
      </c>
      <c r="F2" s="37" t="str">
        <f>Y2</f>
        <v>2021年末</v>
      </c>
      <c r="G2" s="37" t="str">
        <f>Z2</f>
        <v>2020年末</v>
      </c>
      <c r="H2" s="37" t="str">
        <f>D2</f>
        <v>最近占合并的比例</v>
      </c>
      <c r="I2" s="37" t="str">
        <f>E2</f>
        <v>变动幅度</v>
      </c>
      <c r="J2" s="37" t="str">
        <f>AA2</f>
        <v>2021年末</v>
      </c>
      <c r="K2" s="37" t="str">
        <f>AB2</f>
        <v>2020年末</v>
      </c>
      <c r="L2" s="37" t="str">
        <f>D2</f>
        <v>最近占合并的比例</v>
      </c>
      <c r="M2" s="37" t="str">
        <f>E2</f>
        <v>变动幅度</v>
      </c>
      <c r="N2" s="37" t="str">
        <f>AC2</f>
        <v>2021年度</v>
      </c>
      <c r="O2" s="37" t="str">
        <f>AD2</f>
        <v>2020年度</v>
      </c>
      <c r="P2" s="37" t="str">
        <f>D2</f>
        <v>最近占合并的比例</v>
      </c>
      <c r="Q2" s="37" t="str">
        <f>E2</f>
        <v>变动幅度</v>
      </c>
      <c r="R2" s="37" t="str">
        <f t="shared" ref="R2:S2" si="0">AE2</f>
        <v>2021年度</v>
      </c>
      <c r="S2" s="37" t="str">
        <f t="shared" si="0"/>
        <v>2020年度</v>
      </c>
      <c r="T2" s="37" t="str">
        <f>D2</f>
        <v>最近占合并的比例</v>
      </c>
      <c r="U2" s="37" t="str">
        <f>E2</f>
        <v>变动幅度</v>
      </c>
      <c r="W2" s="112" t="s">
        <v>5</v>
      </c>
      <c r="X2" s="112" t="s">
        <v>6</v>
      </c>
      <c r="Y2" s="112" t="str">
        <f>W2</f>
        <v>2021年末</v>
      </c>
      <c r="Z2" s="112" t="str">
        <f t="shared" ref="Z2:AB2" si="1">X2</f>
        <v>2020年末</v>
      </c>
      <c r="AA2" s="112" t="str">
        <f t="shared" si="1"/>
        <v>2021年末</v>
      </c>
      <c r="AB2" s="112" t="str">
        <f t="shared" si="1"/>
        <v>2020年末</v>
      </c>
      <c r="AC2" s="112" t="s">
        <v>10</v>
      </c>
      <c r="AD2" s="112" t="s">
        <v>11</v>
      </c>
      <c r="AE2" s="112" t="str">
        <f>AC2</f>
        <v>2021年度</v>
      </c>
      <c r="AF2" s="112" t="str">
        <f>AD2</f>
        <v>2020年度</v>
      </c>
    </row>
    <row r="3" spans="1:32" ht="26.1" customHeight="1" x14ac:dyDescent="0.3">
      <c r="B3" s="40">
        <f>W3/$A$1</f>
        <v>0</v>
      </c>
      <c r="C3" s="40">
        <f>X3/$A$1</f>
        <v>0</v>
      </c>
      <c r="D3" s="88">
        <f>B3/'合并-bs'!$C$45</f>
        <v>0</v>
      </c>
      <c r="E3" s="88" t="e">
        <f>(B3-C3)/C3</f>
        <v>#DIV/0!</v>
      </c>
      <c r="F3" s="40">
        <f>Y3/$A$1</f>
        <v>0</v>
      </c>
      <c r="G3" s="40">
        <f>Z3/$A$1</f>
        <v>0</v>
      </c>
      <c r="H3" s="88">
        <f>F3/'合并-bs'!$C$74</f>
        <v>0</v>
      </c>
      <c r="I3" s="88" t="e">
        <f>(F3-G3)/G3</f>
        <v>#DIV/0!</v>
      </c>
      <c r="J3" s="40">
        <f>AA3/$A$1</f>
        <v>0</v>
      </c>
      <c r="K3" s="40">
        <f>AB3/$A$1</f>
        <v>0</v>
      </c>
      <c r="L3" s="88">
        <f>J3/'合并-bs'!$C$88</f>
        <v>0</v>
      </c>
      <c r="M3" s="88" t="e">
        <f>(J3-K3)/K3</f>
        <v>#DIV/0!</v>
      </c>
      <c r="N3" s="40">
        <f>AC3/$A$1</f>
        <v>0</v>
      </c>
      <c r="O3" s="40">
        <f>AD3/$A$1</f>
        <v>0</v>
      </c>
      <c r="P3" s="88">
        <f>N3/'合并-is'!$C$4</f>
        <v>0</v>
      </c>
      <c r="Q3" s="88" t="e">
        <f>(N3-O3)/O3</f>
        <v>#DIV/0!</v>
      </c>
      <c r="R3" s="40">
        <f>AE3/$A$1</f>
        <v>0</v>
      </c>
      <c r="S3" s="40">
        <f>AF3/$A$1</f>
        <v>0</v>
      </c>
      <c r="T3" s="88">
        <f>R3/'合并-is'!$C$41</f>
        <v>0</v>
      </c>
      <c r="U3" s="88" t="e">
        <f>(R3-S3)/S3</f>
        <v>#DIV/0!</v>
      </c>
      <c r="W3" s="113"/>
      <c r="X3" s="113"/>
      <c r="Y3" s="113"/>
      <c r="Z3" s="113"/>
      <c r="AA3" s="113"/>
      <c r="AB3" s="113"/>
      <c r="AC3" s="113"/>
      <c r="AD3" s="113"/>
      <c r="AE3" s="113"/>
      <c r="AF3" s="113"/>
    </row>
    <row r="4" spans="1:32" ht="26.1" customHeight="1" x14ac:dyDescent="0.3">
      <c r="B4" s="40">
        <f t="shared" ref="B4:B17" si="2">W4/$A$1</f>
        <v>0</v>
      </c>
      <c r="C4" s="40">
        <f t="shared" ref="C4:C17" si="3">X4/$A$1</f>
        <v>0</v>
      </c>
      <c r="D4" s="88">
        <f>B4/'合并-bs'!$C$45</f>
        <v>0</v>
      </c>
      <c r="E4" s="88" t="e">
        <f>(B4-C4)/C4</f>
        <v>#DIV/0!</v>
      </c>
      <c r="F4" s="40">
        <f t="shared" ref="F4:F17" si="4">Y4/$A$1</f>
        <v>0</v>
      </c>
      <c r="G4" s="40">
        <f t="shared" ref="G4:G17" si="5">Z4/$A$1</f>
        <v>0</v>
      </c>
      <c r="H4" s="88">
        <f>F4/'合并-bs'!$C$74</f>
        <v>0</v>
      </c>
      <c r="I4" s="88" t="e">
        <f t="shared" ref="I4:I17" si="6">(F4-G4)/G4</f>
        <v>#DIV/0!</v>
      </c>
      <c r="J4" s="40">
        <f t="shared" ref="J4:J17" si="7">AA4/$A$1</f>
        <v>0</v>
      </c>
      <c r="K4" s="40">
        <f t="shared" ref="K4:K17" si="8">AB4/$A$1</f>
        <v>0</v>
      </c>
      <c r="L4" s="88">
        <f>J4/'合并-bs'!$C$88</f>
        <v>0</v>
      </c>
      <c r="M4" s="88" t="e">
        <f t="shared" ref="M4:M17" si="9">(J4-K4)/K4</f>
        <v>#DIV/0!</v>
      </c>
      <c r="N4" s="40">
        <f t="shared" ref="N4:N17" si="10">AC4/$A$1</f>
        <v>0</v>
      </c>
      <c r="O4" s="40">
        <f t="shared" ref="O4:O17" si="11">AD4/$A$1</f>
        <v>0</v>
      </c>
      <c r="P4" s="88">
        <f>N4/'合并-is'!$C$4</f>
        <v>0</v>
      </c>
      <c r="Q4" s="88" t="e">
        <f t="shared" ref="Q4:Q17" si="12">(N4-O4)/O4</f>
        <v>#DIV/0!</v>
      </c>
      <c r="R4" s="40">
        <f t="shared" ref="R4:R17" si="13">AE4/$A$1</f>
        <v>0</v>
      </c>
      <c r="S4" s="40">
        <f t="shared" ref="S4:S17" si="14">AF4/$A$1</f>
        <v>0</v>
      </c>
      <c r="T4" s="88">
        <f>R4/'合并-is'!$C$41</f>
        <v>0</v>
      </c>
      <c r="U4" s="88" t="e">
        <f t="shared" ref="U4:U17" si="15">(R4-S4)/S4</f>
        <v>#DIV/0!</v>
      </c>
      <c r="W4" s="113"/>
      <c r="X4" s="113"/>
      <c r="Y4" s="113"/>
      <c r="Z4" s="113"/>
      <c r="AA4" s="113"/>
      <c r="AB4" s="113"/>
      <c r="AC4" s="113"/>
      <c r="AD4" s="113"/>
      <c r="AE4" s="113"/>
      <c r="AF4" s="113"/>
    </row>
    <row r="5" spans="1:32" ht="26.1" customHeight="1" x14ac:dyDescent="0.3">
      <c r="B5" s="40">
        <f t="shared" si="2"/>
        <v>0</v>
      </c>
      <c r="C5" s="40">
        <f t="shared" si="3"/>
        <v>0</v>
      </c>
      <c r="D5" s="88">
        <f>B5/'合并-bs'!$C$45</f>
        <v>0</v>
      </c>
      <c r="E5" s="88" t="e">
        <f t="shared" ref="E5:E17" si="16">(B5-C5)/C5</f>
        <v>#DIV/0!</v>
      </c>
      <c r="F5" s="40">
        <f t="shared" si="4"/>
        <v>0</v>
      </c>
      <c r="G5" s="40">
        <f t="shared" si="5"/>
        <v>0</v>
      </c>
      <c r="H5" s="88">
        <f>F5/'合并-bs'!$C$74</f>
        <v>0</v>
      </c>
      <c r="I5" s="88" t="e">
        <f t="shared" si="6"/>
        <v>#DIV/0!</v>
      </c>
      <c r="J5" s="40">
        <f t="shared" si="7"/>
        <v>0</v>
      </c>
      <c r="K5" s="40">
        <f t="shared" si="8"/>
        <v>0</v>
      </c>
      <c r="L5" s="88">
        <f>J5/'合并-bs'!$C$88</f>
        <v>0</v>
      </c>
      <c r="M5" s="88" t="e">
        <f t="shared" si="9"/>
        <v>#DIV/0!</v>
      </c>
      <c r="N5" s="40">
        <f t="shared" si="10"/>
        <v>0</v>
      </c>
      <c r="O5" s="40">
        <f t="shared" si="11"/>
        <v>0</v>
      </c>
      <c r="P5" s="88">
        <f>N5/'合并-is'!$C$4</f>
        <v>0</v>
      </c>
      <c r="Q5" s="88" t="e">
        <f t="shared" si="12"/>
        <v>#DIV/0!</v>
      </c>
      <c r="R5" s="40">
        <f t="shared" si="13"/>
        <v>0</v>
      </c>
      <c r="S5" s="40">
        <f t="shared" si="14"/>
        <v>0</v>
      </c>
      <c r="T5" s="88">
        <f>R5/'合并-is'!$C$41</f>
        <v>0</v>
      </c>
      <c r="U5" s="88" t="e">
        <f t="shared" si="15"/>
        <v>#DIV/0!</v>
      </c>
      <c r="W5" s="113"/>
      <c r="X5" s="113"/>
      <c r="Y5" s="113"/>
      <c r="Z5" s="113"/>
      <c r="AA5" s="113"/>
      <c r="AB5" s="113"/>
      <c r="AC5" s="113"/>
      <c r="AD5" s="113"/>
      <c r="AE5" s="113"/>
      <c r="AF5" s="113"/>
    </row>
    <row r="6" spans="1:32" ht="26.1" customHeight="1" x14ac:dyDescent="0.3">
      <c r="B6" s="40">
        <f t="shared" si="2"/>
        <v>0</v>
      </c>
      <c r="C6" s="40">
        <f t="shared" si="3"/>
        <v>0</v>
      </c>
      <c r="D6" s="88">
        <f>B6/'合并-bs'!$C$45</f>
        <v>0</v>
      </c>
      <c r="E6" s="88" t="e">
        <f t="shared" si="16"/>
        <v>#DIV/0!</v>
      </c>
      <c r="F6" s="40">
        <f t="shared" si="4"/>
        <v>0</v>
      </c>
      <c r="G6" s="40">
        <f t="shared" si="5"/>
        <v>0</v>
      </c>
      <c r="H6" s="88">
        <f>F6/'合并-bs'!$C$74</f>
        <v>0</v>
      </c>
      <c r="I6" s="88" t="e">
        <f t="shared" si="6"/>
        <v>#DIV/0!</v>
      </c>
      <c r="J6" s="40">
        <f t="shared" si="7"/>
        <v>0</v>
      </c>
      <c r="K6" s="40">
        <f t="shared" si="8"/>
        <v>0</v>
      </c>
      <c r="L6" s="88">
        <f>J6/'合并-bs'!$C$88</f>
        <v>0</v>
      </c>
      <c r="M6" s="88" t="e">
        <f t="shared" si="9"/>
        <v>#DIV/0!</v>
      </c>
      <c r="N6" s="40">
        <f>AC6/$A$1</f>
        <v>0</v>
      </c>
      <c r="O6" s="40">
        <f t="shared" si="11"/>
        <v>0</v>
      </c>
      <c r="P6" s="88">
        <f>N6/'合并-is'!$C$4</f>
        <v>0</v>
      </c>
      <c r="Q6" s="88" t="e">
        <f t="shared" si="12"/>
        <v>#DIV/0!</v>
      </c>
      <c r="R6" s="40">
        <f t="shared" si="13"/>
        <v>0</v>
      </c>
      <c r="S6" s="40">
        <f t="shared" si="14"/>
        <v>0</v>
      </c>
      <c r="T6" s="88">
        <f>R6/'合并-is'!$C$41</f>
        <v>0</v>
      </c>
      <c r="U6" s="88" t="e">
        <f t="shared" si="15"/>
        <v>#DIV/0!</v>
      </c>
      <c r="W6" s="113"/>
      <c r="X6" s="113"/>
      <c r="Y6" s="113"/>
      <c r="Z6" s="113"/>
      <c r="AA6" s="113"/>
      <c r="AB6" s="113"/>
      <c r="AC6" s="113"/>
      <c r="AD6" s="113"/>
      <c r="AE6" s="113"/>
      <c r="AF6" s="113"/>
    </row>
    <row r="7" spans="1:32" ht="26.1" customHeight="1" x14ac:dyDescent="0.3">
      <c r="B7" s="40">
        <f t="shared" si="2"/>
        <v>0</v>
      </c>
      <c r="C7" s="40">
        <f t="shared" si="3"/>
        <v>0</v>
      </c>
      <c r="D7" s="88">
        <f>B7/'合并-bs'!$C$45</f>
        <v>0</v>
      </c>
      <c r="E7" s="88" t="e">
        <f t="shared" si="16"/>
        <v>#DIV/0!</v>
      </c>
      <c r="F7" s="40">
        <f t="shared" si="4"/>
        <v>0</v>
      </c>
      <c r="G7" s="40">
        <f t="shared" si="5"/>
        <v>0</v>
      </c>
      <c r="H7" s="88">
        <f>F7/'合并-bs'!$C$74</f>
        <v>0</v>
      </c>
      <c r="I7" s="88" t="e">
        <f t="shared" si="6"/>
        <v>#DIV/0!</v>
      </c>
      <c r="J7" s="40">
        <f t="shared" si="7"/>
        <v>0</v>
      </c>
      <c r="K7" s="40">
        <f t="shared" si="8"/>
        <v>0</v>
      </c>
      <c r="L7" s="88">
        <f>J7/'合并-bs'!$C$88</f>
        <v>0</v>
      </c>
      <c r="M7" s="88" t="e">
        <f t="shared" si="9"/>
        <v>#DIV/0!</v>
      </c>
      <c r="N7" s="40">
        <f t="shared" si="10"/>
        <v>0</v>
      </c>
      <c r="O7" s="40">
        <f t="shared" si="11"/>
        <v>0</v>
      </c>
      <c r="P7" s="88">
        <f>N7/'合并-is'!$C$4</f>
        <v>0</v>
      </c>
      <c r="Q7" s="88" t="e">
        <f t="shared" si="12"/>
        <v>#DIV/0!</v>
      </c>
      <c r="R7" s="40">
        <f t="shared" si="13"/>
        <v>0</v>
      </c>
      <c r="S7" s="40">
        <f t="shared" si="14"/>
        <v>0</v>
      </c>
      <c r="T7" s="88">
        <f>R7/'合并-is'!$C$41</f>
        <v>0</v>
      </c>
      <c r="U7" s="88" t="e">
        <f t="shared" si="15"/>
        <v>#DIV/0!</v>
      </c>
      <c r="W7" s="113"/>
      <c r="X7" s="113"/>
      <c r="Y7" s="113"/>
      <c r="Z7" s="113"/>
      <c r="AA7" s="113"/>
      <c r="AB7" s="113"/>
      <c r="AC7" s="113"/>
      <c r="AD7" s="113"/>
      <c r="AE7" s="113"/>
      <c r="AF7" s="113"/>
    </row>
    <row r="8" spans="1:32" ht="26.1" customHeight="1" x14ac:dyDescent="0.3">
      <c r="B8" s="40">
        <f t="shared" si="2"/>
        <v>0</v>
      </c>
      <c r="C8" s="40">
        <f t="shared" si="3"/>
        <v>0</v>
      </c>
      <c r="D8" s="88">
        <f>B8/'合并-bs'!$C$45</f>
        <v>0</v>
      </c>
      <c r="E8" s="88" t="e">
        <f t="shared" si="16"/>
        <v>#DIV/0!</v>
      </c>
      <c r="F8" s="40">
        <f t="shared" si="4"/>
        <v>0</v>
      </c>
      <c r="G8" s="40">
        <f t="shared" si="5"/>
        <v>0</v>
      </c>
      <c r="H8" s="88">
        <f>F8/'合并-bs'!$C$74</f>
        <v>0</v>
      </c>
      <c r="I8" s="88" t="e">
        <f t="shared" si="6"/>
        <v>#DIV/0!</v>
      </c>
      <c r="J8" s="40">
        <f t="shared" si="7"/>
        <v>0</v>
      </c>
      <c r="K8" s="40">
        <f t="shared" si="8"/>
        <v>0</v>
      </c>
      <c r="L8" s="88">
        <f>J8/'合并-bs'!$C$88</f>
        <v>0</v>
      </c>
      <c r="M8" s="88" t="e">
        <f t="shared" si="9"/>
        <v>#DIV/0!</v>
      </c>
      <c r="N8" s="40">
        <f t="shared" si="10"/>
        <v>0</v>
      </c>
      <c r="O8" s="40">
        <f t="shared" si="11"/>
        <v>0</v>
      </c>
      <c r="P8" s="88">
        <f>N8/'合并-is'!$C$4</f>
        <v>0</v>
      </c>
      <c r="Q8" s="88" t="e">
        <f t="shared" si="12"/>
        <v>#DIV/0!</v>
      </c>
      <c r="R8" s="40">
        <f t="shared" si="13"/>
        <v>0</v>
      </c>
      <c r="S8" s="40">
        <f t="shared" si="14"/>
        <v>0</v>
      </c>
      <c r="T8" s="88">
        <f>R8/'合并-is'!$C$41</f>
        <v>0</v>
      </c>
      <c r="U8" s="88" t="e">
        <f t="shared" si="15"/>
        <v>#DIV/0!</v>
      </c>
      <c r="W8" s="113"/>
      <c r="X8" s="113"/>
      <c r="Y8" s="113"/>
      <c r="Z8" s="113"/>
      <c r="AA8" s="113"/>
      <c r="AB8" s="113"/>
      <c r="AC8" s="113"/>
      <c r="AD8" s="113"/>
      <c r="AE8" s="113"/>
      <c r="AF8" s="113"/>
    </row>
    <row r="9" spans="1:32" ht="26.1" customHeight="1" x14ac:dyDescent="0.3">
      <c r="B9" s="40">
        <f t="shared" si="2"/>
        <v>0</v>
      </c>
      <c r="C9" s="40">
        <f t="shared" si="3"/>
        <v>0</v>
      </c>
      <c r="D9" s="88">
        <f>B9/'合并-bs'!$C$45</f>
        <v>0</v>
      </c>
      <c r="E9" s="88" t="e">
        <f t="shared" si="16"/>
        <v>#DIV/0!</v>
      </c>
      <c r="F9" s="40">
        <f t="shared" si="4"/>
        <v>0</v>
      </c>
      <c r="G9" s="40">
        <f t="shared" si="5"/>
        <v>0</v>
      </c>
      <c r="H9" s="88">
        <f>F9/'合并-bs'!$C$74</f>
        <v>0</v>
      </c>
      <c r="I9" s="88" t="e">
        <f t="shared" si="6"/>
        <v>#DIV/0!</v>
      </c>
      <c r="J9" s="40">
        <f t="shared" si="7"/>
        <v>0</v>
      </c>
      <c r="K9" s="40">
        <f t="shared" si="8"/>
        <v>0</v>
      </c>
      <c r="L9" s="88">
        <f>J9/'合并-bs'!$C$88</f>
        <v>0</v>
      </c>
      <c r="M9" s="88" t="e">
        <f t="shared" si="9"/>
        <v>#DIV/0!</v>
      </c>
      <c r="N9" s="40">
        <f t="shared" si="10"/>
        <v>0</v>
      </c>
      <c r="O9" s="40">
        <f t="shared" si="11"/>
        <v>0</v>
      </c>
      <c r="P9" s="88">
        <f>N9/'合并-is'!$C$4</f>
        <v>0</v>
      </c>
      <c r="Q9" s="88" t="e">
        <f t="shared" si="12"/>
        <v>#DIV/0!</v>
      </c>
      <c r="R9" s="40">
        <f t="shared" si="13"/>
        <v>0</v>
      </c>
      <c r="S9" s="40">
        <f t="shared" si="14"/>
        <v>0</v>
      </c>
      <c r="T9" s="88">
        <f>R9/'合并-is'!$C$41</f>
        <v>0</v>
      </c>
      <c r="U9" s="88" t="e">
        <f t="shared" si="15"/>
        <v>#DIV/0!</v>
      </c>
      <c r="W9" s="113"/>
      <c r="X9" s="113"/>
      <c r="Y9" s="113"/>
      <c r="Z9" s="113"/>
      <c r="AA9" s="113"/>
      <c r="AB9" s="113"/>
      <c r="AC9" s="113"/>
      <c r="AD9" s="113"/>
      <c r="AE9" s="113"/>
      <c r="AF9" s="113"/>
    </row>
    <row r="10" spans="1:32" ht="26.1" customHeight="1" x14ac:dyDescent="0.3">
      <c r="B10" s="40">
        <f t="shared" si="2"/>
        <v>0</v>
      </c>
      <c r="C10" s="40">
        <f t="shared" si="3"/>
        <v>0</v>
      </c>
      <c r="D10" s="88">
        <f>B10/'合并-bs'!$C$45</f>
        <v>0</v>
      </c>
      <c r="E10" s="88" t="e">
        <f t="shared" si="16"/>
        <v>#DIV/0!</v>
      </c>
      <c r="F10" s="40">
        <f t="shared" si="4"/>
        <v>0</v>
      </c>
      <c r="G10" s="40">
        <f t="shared" si="5"/>
        <v>0</v>
      </c>
      <c r="H10" s="88">
        <f>F10/'合并-bs'!$C$74</f>
        <v>0</v>
      </c>
      <c r="I10" s="88" t="e">
        <f t="shared" si="6"/>
        <v>#DIV/0!</v>
      </c>
      <c r="J10" s="40">
        <f t="shared" si="7"/>
        <v>0</v>
      </c>
      <c r="K10" s="40">
        <f t="shared" si="8"/>
        <v>0</v>
      </c>
      <c r="L10" s="88">
        <f>J10/'合并-bs'!$C$88</f>
        <v>0</v>
      </c>
      <c r="M10" s="88" t="e">
        <f t="shared" si="9"/>
        <v>#DIV/0!</v>
      </c>
      <c r="N10" s="40">
        <f t="shared" si="10"/>
        <v>0</v>
      </c>
      <c r="O10" s="40">
        <f t="shared" si="11"/>
        <v>0</v>
      </c>
      <c r="P10" s="88">
        <f>N10/'合并-is'!$C$4</f>
        <v>0</v>
      </c>
      <c r="Q10" s="88" t="e">
        <f t="shared" si="12"/>
        <v>#DIV/0!</v>
      </c>
      <c r="R10" s="40">
        <f t="shared" si="13"/>
        <v>0</v>
      </c>
      <c r="S10" s="40">
        <f t="shared" si="14"/>
        <v>0</v>
      </c>
      <c r="T10" s="88">
        <f>R10/'合并-is'!$C$41</f>
        <v>0</v>
      </c>
      <c r="U10" s="88" t="e">
        <f t="shared" si="15"/>
        <v>#DIV/0!</v>
      </c>
      <c r="W10" s="113"/>
      <c r="X10" s="113"/>
      <c r="Y10" s="113"/>
      <c r="Z10" s="113"/>
      <c r="AA10" s="113"/>
      <c r="AB10" s="113"/>
      <c r="AC10" s="113"/>
      <c r="AD10" s="113"/>
      <c r="AE10" s="113"/>
      <c r="AF10" s="113"/>
    </row>
    <row r="11" spans="1:32" ht="26.1" customHeight="1" x14ac:dyDescent="0.3">
      <c r="B11" s="40">
        <f t="shared" si="2"/>
        <v>0</v>
      </c>
      <c r="C11" s="40">
        <f t="shared" si="3"/>
        <v>0</v>
      </c>
      <c r="D11" s="88">
        <f>B11/'合并-bs'!$C$45</f>
        <v>0</v>
      </c>
      <c r="E11" s="88" t="e">
        <f t="shared" si="16"/>
        <v>#DIV/0!</v>
      </c>
      <c r="F11" s="40">
        <f t="shared" si="4"/>
        <v>0</v>
      </c>
      <c r="G11" s="40">
        <f t="shared" si="5"/>
        <v>0</v>
      </c>
      <c r="H11" s="88">
        <f>F11/'合并-bs'!$C$74</f>
        <v>0</v>
      </c>
      <c r="I11" s="88" t="e">
        <f t="shared" si="6"/>
        <v>#DIV/0!</v>
      </c>
      <c r="J11" s="40">
        <f t="shared" si="7"/>
        <v>0</v>
      </c>
      <c r="K11" s="40">
        <f t="shared" si="8"/>
        <v>0</v>
      </c>
      <c r="L11" s="88">
        <f>J11/'合并-bs'!$C$88</f>
        <v>0</v>
      </c>
      <c r="M11" s="88" t="e">
        <f t="shared" si="9"/>
        <v>#DIV/0!</v>
      </c>
      <c r="N11" s="40">
        <f t="shared" si="10"/>
        <v>0</v>
      </c>
      <c r="O11" s="40">
        <f t="shared" si="11"/>
        <v>0</v>
      </c>
      <c r="P11" s="88">
        <f>N11/'合并-is'!$C$4</f>
        <v>0</v>
      </c>
      <c r="Q11" s="88" t="e">
        <f t="shared" si="12"/>
        <v>#DIV/0!</v>
      </c>
      <c r="R11" s="40">
        <f t="shared" si="13"/>
        <v>0</v>
      </c>
      <c r="S11" s="40">
        <f t="shared" si="14"/>
        <v>0</v>
      </c>
      <c r="T11" s="88">
        <f>R11/'合并-is'!$C$41</f>
        <v>0</v>
      </c>
      <c r="U11" s="88" t="e">
        <f t="shared" si="15"/>
        <v>#DIV/0!</v>
      </c>
      <c r="W11" s="113"/>
      <c r="X11" s="113"/>
      <c r="Y11" s="113"/>
      <c r="Z11" s="113"/>
      <c r="AA11" s="113"/>
      <c r="AB11" s="113"/>
      <c r="AC11" s="113"/>
      <c r="AD11" s="113"/>
      <c r="AE11" s="113"/>
      <c r="AF11" s="113"/>
    </row>
    <row r="12" spans="1:32" ht="26.1" customHeight="1" x14ac:dyDescent="0.3">
      <c r="B12" s="40">
        <f t="shared" si="2"/>
        <v>0</v>
      </c>
      <c r="C12" s="40">
        <f t="shared" si="3"/>
        <v>0</v>
      </c>
      <c r="D12" s="88">
        <f>B12/'合并-bs'!$C$45</f>
        <v>0</v>
      </c>
      <c r="E12" s="88" t="e">
        <f t="shared" si="16"/>
        <v>#DIV/0!</v>
      </c>
      <c r="F12" s="40">
        <f t="shared" si="4"/>
        <v>0</v>
      </c>
      <c r="G12" s="40">
        <f t="shared" si="5"/>
        <v>0</v>
      </c>
      <c r="H12" s="88">
        <f>F12/'合并-bs'!$C$74</f>
        <v>0</v>
      </c>
      <c r="I12" s="88" t="e">
        <f t="shared" si="6"/>
        <v>#DIV/0!</v>
      </c>
      <c r="J12" s="40">
        <f t="shared" si="7"/>
        <v>0</v>
      </c>
      <c r="K12" s="40">
        <f t="shared" si="8"/>
        <v>0</v>
      </c>
      <c r="L12" s="88">
        <f>J12/'合并-bs'!$C$88</f>
        <v>0</v>
      </c>
      <c r="M12" s="88" t="e">
        <f t="shared" si="9"/>
        <v>#DIV/0!</v>
      </c>
      <c r="N12" s="40">
        <f t="shared" si="10"/>
        <v>0</v>
      </c>
      <c r="O12" s="40">
        <f t="shared" si="11"/>
        <v>0</v>
      </c>
      <c r="P12" s="88">
        <f>N12/'合并-is'!$C$4</f>
        <v>0</v>
      </c>
      <c r="Q12" s="88" t="e">
        <f t="shared" si="12"/>
        <v>#DIV/0!</v>
      </c>
      <c r="R12" s="40">
        <f t="shared" si="13"/>
        <v>0</v>
      </c>
      <c r="S12" s="40">
        <f t="shared" si="14"/>
        <v>0</v>
      </c>
      <c r="T12" s="88">
        <f>R12/'合并-is'!$C$41</f>
        <v>0</v>
      </c>
      <c r="U12" s="88" t="e">
        <f t="shared" si="15"/>
        <v>#DIV/0!</v>
      </c>
      <c r="W12" s="113"/>
      <c r="X12" s="113"/>
      <c r="Y12" s="113"/>
      <c r="Z12" s="113"/>
      <c r="AA12" s="113"/>
      <c r="AB12" s="113"/>
      <c r="AC12" s="113"/>
      <c r="AD12" s="113"/>
      <c r="AE12" s="113"/>
      <c r="AF12" s="113"/>
    </row>
    <row r="13" spans="1:32" ht="26.1" customHeight="1" x14ac:dyDescent="0.3">
      <c r="B13" s="40">
        <f t="shared" si="2"/>
        <v>0</v>
      </c>
      <c r="C13" s="40">
        <f t="shared" si="3"/>
        <v>0</v>
      </c>
      <c r="D13" s="88">
        <f>B13/'合并-bs'!$C$45</f>
        <v>0</v>
      </c>
      <c r="E13" s="88" t="e">
        <f t="shared" si="16"/>
        <v>#DIV/0!</v>
      </c>
      <c r="F13" s="40">
        <f t="shared" si="4"/>
        <v>0</v>
      </c>
      <c r="G13" s="40">
        <f t="shared" si="5"/>
        <v>0</v>
      </c>
      <c r="H13" s="88">
        <f>F13/'合并-bs'!$C$74</f>
        <v>0</v>
      </c>
      <c r="I13" s="88" t="e">
        <f t="shared" si="6"/>
        <v>#DIV/0!</v>
      </c>
      <c r="J13" s="40">
        <f t="shared" si="7"/>
        <v>0</v>
      </c>
      <c r="K13" s="40">
        <f t="shared" si="8"/>
        <v>0</v>
      </c>
      <c r="L13" s="88">
        <f>J13/'合并-bs'!$C$88</f>
        <v>0</v>
      </c>
      <c r="M13" s="88" t="e">
        <f t="shared" si="9"/>
        <v>#DIV/0!</v>
      </c>
      <c r="N13" s="40">
        <f t="shared" si="10"/>
        <v>0</v>
      </c>
      <c r="O13" s="40">
        <f t="shared" si="11"/>
        <v>0</v>
      </c>
      <c r="P13" s="88">
        <f>N13/'合并-is'!$C$4</f>
        <v>0</v>
      </c>
      <c r="Q13" s="88" t="e">
        <f t="shared" si="12"/>
        <v>#DIV/0!</v>
      </c>
      <c r="R13" s="40">
        <f t="shared" si="13"/>
        <v>0</v>
      </c>
      <c r="S13" s="40">
        <f t="shared" si="14"/>
        <v>0</v>
      </c>
      <c r="T13" s="88">
        <f>R13/'合并-is'!$C$41</f>
        <v>0</v>
      </c>
      <c r="U13" s="88" t="e">
        <f t="shared" si="15"/>
        <v>#DIV/0!</v>
      </c>
      <c r="W13" s="113"/>
      <c r="X13" s="113"/>
      <c r="Y13" s="113"/>
      <c r="Z13" s="113"/>
      <c r="AA13" s="113"/>
      <c r="AB13" s="113"/>
      <c r="AC13" s="113"/>
      <c r="AD13" s="113"/>
      <c r="AE13" s="113"/>
      <c r="AF13" s="113"/>
    </row>
    <row r="14" spans="1:32" ht="26.1" customHeight="1" x14ac:dyDescent="0.3">
      <c r="B14" s="40">
        <f t="shared" si="2"/>
        <v>0</v>
      </c>
      <c r="C14" s="40">
        <f t="shared" si="3"/>
        <v>0</v>
      </c>
      <c r="D14" s="88">
        <f>B14/'合并-bs'!$C$45</f>
        <v>0</v>
      </c>
      <c r="E14" s="88" t="e">
        <f t="shared" si="16"/>
        <v>#DIV/0!</v>
      </c>
      <c r="F14" s="40">
        <f t="shared" si="4"/>
        <v>0</v>
      </c>
      <c r="G14" s="40">
        <f t="shared" si="5"/>
        <v>0</v>
      </c>
      <c r="H14" s="88">
        <f>F14/'合并-bs'!$C$74</f>
        <v>0</v>
      </c>
      <c r="I14" s="88" t="e">
        <f t="shared" si="6"/>
        <v>#DIV/0!</v>
      </c>
      <c r="J14" s="40">
        <f t="shared" si="7"/>
        <v>0</v>
      </c>
      <c r="K14" s="40">
        <f t="shared" si="8"/>
        <v>0</v>
      </c>
      <c r="L14" s="88">
        <f>J14/'合并-bs'!$C$88</f>
        <v>0</v>
      </c>
      <c r="M14" s="88" t="e">
        <f t="shared" si="9"/>
        <v>#DIV/0!</v>
      </c>
      <c r="N14" s="40">
        <f t="shared" si="10"/>
        <v>0</v>
      </c>
      <c r="O14" s="40">
        <f t="shared" si="11"/>
        <v>0</v>
      </c>
      <c r="P14" s="88">
        <f>N14/'合并-is'!$C$4</f>
        <v>0</v>
      </c>
      <c r="Q14" s="88" t="e">
        <f t="shared" si="12"/>
        <v>#DIV/0!</v>
      </c>
      <c r="R14" s="40">
        <f t="shared" si="13"/>
        <v>0</v>
      </c>
      <c r="S14" s="40">
        <f t="shared" si="14"/>
        <v>0</v>
      </c>
      <c r="T14" s="88">
        <f>R14/'合并-is'!$C$41</f>
        <v>0</v>
      </c>
      <c r="U14" s="88" t="e">
        <f t="shared" si="15"/>
        <v>#DIV/0!</v>
      </c>
      <c r="W14" s="113"/>
      <c r="X14" s="113"/>
      <c r="Y14" s="113"/>
      <c r="Z14" s="113"/>
      <c r="AA14" s="113"/>
      <c r="AB14" s="113"/>
      <c r="AC14" s="113"/>
      <c r="AD14" s="113"/>
      <c r="AE14" s="113"/>
      <c r="AF14" s="113"/>
    </row>
    <row r="15" spans="1:32" ht="26.1" customHeight="1" x14ac:dyDescent="0.3">
      <c r="B15" s="40">
        <f t="shared" si="2"/>
        <v>0</v>
      </c>
      <c r="C15" s="40">
        <f t="shared" si="3"/>
        <v>0</v>
      </c>
      <c r="D15" s="88">
        <f>B15/'合并-bs'!$C$45</f>
        <v>0</v>
      </c>
      <c r="E15" s="88" t="e">
        <f t="shared" si="16"/>
        <v>#DIV/0!</v>
      </c>
      <c r="F15" s="40">
        <f t="shared" si="4"/>
        <v>0</v>
      </c>
      <c r="G15" s="40">
        <f t="shared" si="5"/>
        <v>0</v>
      </c>
      <c r="H15" s="88">
        <f>F15/'合并-bs'!$C$74</f>
        <v>0</v>
      </c>
      <c r="I15" s="88" t="e">
        <f t="shared" si="6"/>
        <v>#DIV/0!</v>
      </c>
      <c r="J15" s="40">
        <f t="shared" si="7"/>
        <v>0</v>
      </c>
      <c r="K15" s="40">
        <f t="shared" si="8"/>
        <v>0</v>
      </c>
      <c r="L15" s="88">
        <f>J15/'合并-bs'!$C$88</f>
        <v>0</v>
      </c>
      <c r="M15" s="88" t="e">
        <f t="shared" si="9"/>
        <v>#DIV/0!</v>
      </c>
      <c r="N15" s="40">
        <f t="shared" si="10"/>
        <v>0</v>
      </c>
      <c r="O15" s="40">
        <f t="shared" si="11"/>
        <v>0</v>
      </c>
      <c r="P15" s="88">
        <f>N15/'合并-is'!$C$4</f>
        <v>0</v>
      </c>
      <c r="Q15" s="88" t="e">
        <f t="shared" si="12"/>
        <v>#DIV/0!</v>
      </c>
      <c r="R15" s="40">
        <f t="shared" si="13"/>
        <v>0</v>
      </c>
      <c r="S15" s="40">
        <f t="shared" si="14"/>
        <v>0</v>
      </c>
      <c r="T15" s="88">
        <f>R15/'合并-is'!$C$41</f>
        <v>0</v>
      </c>
      <c r="U15" s="88" t="e">
        <f t="shared" si="15"/>
        <v>#DIV/0!</v>
      </c>
      <c r="W15" s="113"/>
      <c r="X15" s="113"/>
      <c r="Y15" s="113"/>
      <c r="Z15" s="113"/>
      <c r="AA15" s="113"/>
      <c r="AB15" s="113"/>
      <c r="AC15" s="113"/>
      <c r="AD15" s="113"/>
      <c r="AE15" s="113"/>
      <c r="AF15" s="113"/>
    </row>
    <row r="16" spans="1:32" ht="26.1" customHeight="1" x14ac:dyDescent="0.3">
      <c r="B16" s="40">
        <f t="shared" si="2"/>
        <v>0</v>
      </c>
      <c r="C16" s="40">
        <f t="shared" si="3"/>
        <v>0</v>
      </c>
      <c r="D16" s="88">
        <f>B16/'合并-bs'!$C$45</f>
        <v>0</v>
      </c>
      <c r="E16" s="88" t="e">
        <f t="shared" si="16"/>
        <v>#DIV/0!</v>
      </c>
      <c r="F16" s="40">
        <f t="shared" si="4"/>
        <v>0</v>
      </c>
      <c r="G16" s="40">
        <f t="shared" si="5"/>
        <v>0</v>
      </c>
      <c r="H16" s="88">
        <f>F16/'合并-bs'!$C$74</f>
        <v>0</v>
      </c>
      <c r="I16" s="88" t="e">
        <f t="shared" si="6"/>
        <v>#DIV/0!</v>
      </c>
      <c r="J16" s="40">
        <f t="shared" si="7"/>
        <v>0</v>
      </c>
      <c r="K16" s="40">
        <f t="shared" si="8"/>
        <v>0</v>
      </c>
      <c r="L16" s="88">
        <f>J16/'合并-bs'!$C$88</f>
        <v>0</v>
      </c>
      <c r="M16" s="88" t="e">
        <f t="shared" si="9"/>
        <v>#DIV/0!</v>
      </c>
      <c r="N16" s="40">
        <f t="shared" si="10"/>
        <v>0</v>
      </c>
      <c r="O16" s="40">
        <f t="shared" si="11"/>
        <v>0</v>
      </c>
      <c r="P16" s="88">
        <f>N16/'合并-is'!$C$4</f>
        <v>0</v>
      </c>
      <c r="Q16" s="88" t="e">
        <f t="shared" si="12"/>
        <v>#DIV/0!</v>
      </c>
      <c r="R16" s="40">
        <f t="shared" si="13"/>
        <v>0</v>
      </c>
      <c r="S16" s="40">
        <f t="shared" si="14"/>
        <v>0</v>
      </c>
      <c r="T16" s="88">
        <f>R16/'合并-is'!$C$41</f>
        <v>0</v>
      </c>
      <c r="U16" s="88" t="e">
        <f t="shared" si="15"/>
        <v>#DIV/0!</v>
      </c>
      <c r="W16" s="113"/>
      <c r="X16" s="113"/>
      <c r="Y16" s="113"/>
      <c r="Z16" s="113"/>
      <c r="AA16" s="113"/>
      <c r="AB16" s="113"/>
      <c r="AC16" s="113"/>
      <c r="AD16" s="113"/>
      <c r="AE16" s="113"/>
      <c r="AF16" s="113"/>
    </row>
    <row r="17" spans="2:32" ht="26.1" customHeight="1" x14ac:dyDescent="0.3">
      <c r="B17" s="40">
        <f t="shared" si="2"/>
        <v>0</v>
      </c>
      <c r="C17" s="40">
        <f t="shared" si="3"/>
        <v>0</v>
      </c>
      <c r="D17" s="88">
        <f>B17/'合并-bs'!$C$45</f>
        <v>0</v>
      </c>
      <c r="E17" s="88" t="e">
        <f t="shared" si="16"/>
        <v>#DIV/0!</v>
      </c>
      <c r="F17" s="40">
        <f t="shared" si="4"/>
        <v>0</v>
      </c>
      <c r="G17" s="40">
        <f t="shared" si="5"/>
        <v>0</v>
      </c>
      <c r="H17" s="88">
        <f>F17/'合并-bs'!$C$74</f>
        <v>0</v>
      </c>
      <c r="I17" s="88" t="e">
        <f t="shared" si="6"/>
        <v>#DIV/0!</v>
      </c>
      <c r="J17" s="40">
        <f t="shared" si="7"/>
        <v>0</v>
      </c>
      <c r="K17" s="40">
        <f t="shared" si="8"/>
        <v>0</v>
      </c>
      <c r="L17" s="88">
        <f>J17/'合并-bs'!$C$88</f>
        <v>0</v>
      </c>
      <c r="M17" s="88" t="e">
        <f t="shared" si="9"/>
        <v>#DIV/0!</v>
      </c>
      <c r="N17" s="40">
        <f t="shared" si="10"/>
        <v>0</v>
      </c>
      <c r="O17" s="40">
        <f t="shared" si="11"/>
        <v>0</v>
      </c>
      <c r="P17" s="88">
        <f>N17/'合并-is'!$C$4</f>
        <v>0</v>
      </c>
      <c r="Q17" s="88" t="e">
        <f t="shared" si="12"/>
        <v>#DIV/0!</v>
      </c>
      <c r="R17" s="40">
        <f t="shared" si="13"/>
        <v>0</v>
      </c>
      <c r="S17" s="40">
        <f t="shared" si="14"/>
        <v>0</v>
      </c>
      <c r="T17" s="88">
        <f>R17/'合并-is'!$C$41</f>
        <v>0</v>
      </c>
      <c r="U17" s="88" t="e">
        <f t="shared" si="15"/>
        <v>#DIV/0!</v>
      </c>
      <c r="W17" s="113"/>
      <c r="X17" s="113"/>
      <c r="Y17" s="113"/>
      <c r="Z17" s="113"/>
      <c r="AA17" s="113"/>
      <c r="AB17" s="113"/>
      <c r="AC17" s="113"/>
      <c r="AD17" s="113"/>
      <c r="AE17" s="113"/>
      <c r="AF17" s="113"/>
    </row>
    <row r="18" spans="2:32" ht="26.1" customHeight="1" x14ac:dyDescent="0.3">
      <c r="W18" s="113"/>
      <c r="X18" s="113"/>
      <c r="Y18" s="113"/>
      <c r="Z18" s="113"/>
      <c r="AA18" s="113"/>
      <c r="AB18" s="113"/>
      <c r="AC18" s="113"/>
      <c r="AD18" s="113"/>
      <c r="AE18" s="113"/>
      <c r="AF18" s="113"/>
    </row>
    <row r="19" spans="2:32" ht="26.1" customHeight="1" x14ac:dyDescent="0.3">
      <c r="W19" s="113"/>
      <c r="X19" s="113"/>
      <c r="Y19" s="113"/>
      <c r="Z19" s="113"/>
      <c r="AA19" s="113"/>
      <c r="AB19" s="113"/>
      <c r="AC19" s="113"/>
      <c r="AD19" s="113"/>
      <c r="AE19" s="113"/>
      <c r="AF19" s="113"/>
    </row>
    <row r="20" spans="2:32" ht="26.1" customHeight="1" x14ac:dyDescent="0.3">
      <c r="W20" s="113"/>
      <c r="X20" s="113"/>
      <c r="Y20" s="113"/>
      <c r="Z20" s="113"/>
      <c r="AA20" s="113"/>
      <c r="AB20" s="113"/>
      <c r="AC20" s="113"/>
      <c r="AD20" s="113"/>
      <c r="AE20" s="113"/>
      <c r="AF20" s="113"/>
    </row>
    <row r="21" spans="2:32" ht="26.1" customHeight="1" x14ac:dyDescent="0.3">
      <c r="W21" s="113"/>
      <c r="X21" s="113"/>
      <c r="Y21" s="113"/>
      <c r="Z21" s="113"/>
      <c r="AA21" s="113"/>
      <c r="AB21" s="113"/>
      <c r="AC21" s="113"/>
      <c r="AD21" s="113"/>
      <c r="AE21" s="113"/>
      <c r="AF21" s="113"/>
    </row>
    <row r="22" spans="2:32" ht="26.1" customHeight="1" x14ac:dyDescent="0.3">
      <c r="W22" s="113"/>
      <c r="X22" s="113"/>
      <c r="Y22" s="113"/>
      <c r="Z22" s="113"/>
      <c r="AA22" s="113"/>
      <c r="AB22" s="113"/>
      <c r="AC22" s="113"/>
      <c r="AD22" s="113"/>
      <c r="AE22" s="113"/>
      <c r="AF22" s="113"/>
    </row>
    <row r="23" spans="2:32" ht="26.1" customHeight="1" x14ac:dyDescent="0.3">
      <c r="W23" s="113"/>
      <c r="X23" s="113"/>
      <c r="Y23" s="113"/>
      <c r="Z23" s="113"/>
      <c r="AA23" s="113"/>
      <c r="AB23" s="113"/>
      <c r="AC23" s="113"/>
      <c r="AD23" s="113"/>
      <c r="AE23" s="113"/>
      <c r="AF23" s="113"/>
    </row>
    <row r="24" spans="2:32" ht="26.1" customHeight="1" x14ac:dyDescent="0.3">
      <c r="W24" s="113"/>
      <c r="X24" s="113"/>
      <c r="Y24" s="113"/>
      <c r="Z24" s="113"/>
      <c r="AA24" s="113"/>
      <c r="AB24" s="113"/>
      <c r="AC24" s="113"/>
      <c r="AD24" s="113"/>
      <c r="AE24" s="113"/>
      <c r="AF24" s="113"/>
    </row>
    <row r="25" spans="2:32" ht="26.1" customHeight="1" x14ac:dyDescent="0.3">
      <c r="W25" s="113"/>
      <c r="X25" s="113"/>
      <c r="Y25" s="113"/>
      <c r="Z25" s="113"/>
      <c r="AA25" s="113"/>
      <c r="AB25" s="113"/>
      <c r="AC25" s="113"/>
      <c r="AD25" s="113"/>
      <c r="AE25" s="113"/>
      <c r="AF25" s="113"/>
    </row>
    <row r="26" spans="2:32" ht="26.1" customHeight="1" x14ac:dyDescent="0.3">
      <c r="W26" s="113"/>
      <c r="X26" s="113"/>
      <c r="Y26" s="113"/>
      <c r="Z26" s="113"/>
      <c r="AA26" s="113"/>
      <c r="AB26" s="113"/>
      <c r="AC26" s="113"/>
      <c r="AD26" s="113"/>
      <c r="AE26" s="113"/>
      <c r="AF26" s="113"/>
    </row>
    <row r="27" spans="2:32" ht="26.1" customHeight="1" x14ac:dyDescent="0.3">
      <c r="W27" s="113"/>
      <c r="X27" s="113"/>
      <c r="Y27" s="113"/>
      <c r="Z27" s="113"/>
      <c r="AA27" s="113"/>
      <c r="AB27" s="113"/>
      <c r="AC27" s="113"/>
      <c r="AD27" s="113"/>
      <c r="AE27" s="113"/>
      <c r="AF27" s="113"/>
    </row>
    <row r="28" spans="2:32" ht="26.1" customHeight="1" x14ac:dyDescent="0.3">
      <c r="W28" s="113"/>
      <c r="X28" s="113"/>
      <c r="Y28" s="113"/>
      <c r="Z28" s="113"/>
      <c r="AA28" s="113"/>
      <c r="AB28" s="113"/>
      <c r="AC28" s="113"/>
      <c r="AD28" s="113"/>
      <c r="AE28" s="113"/>
      <c r="AF28" s="113"/>
    </row>
    <row r="29" spans="2:32" ht="26.1" customHeight="1" x14ac:dyDescent="0.3">
      <c r="W29" s="113"/>
      <c r="X29" s="113"/>
      <c r="Y29" s="113"/>
      <c r="Z29" s="113"/>
      <c r="AA29" s="113"/>
      <c r="AB29" s="113"/>
      <c r="AC29" s="113"/>
      <c r="AD29" s="113"/>
      <c r="AE29" s="113"/>
      <c r="AF29" s="113"/>
    </row>
    <row r="30" spans="2:32" ht="26.1" customHeight="1" x14ac:dyDescent="0.3">
      <c r="W30" s="113"/>
      <c r="X30" s="113"/>
      <c r="Y30" s="113"/>
      <c r="Z30" s="113"/>
      <c r="AA30" s="113"/>
      <c r="AB30" s="113"/>
      <c r="AC30" s="113"/>
      <c r="AD30" s="113"/>
      <c r="AE30" s="113"/>
      <c r="AF30" s="113"/>
    </row>
    <row r="31" spans="2:32" ht="26.1" customHeight="1" x14ac:dyDescent="0.3">
      <c r="W31" s="113"/>
      <c r="X31" s="113"/>
      <c r="Y31" s="113"/>
      <c r="Z31" s="113"/>
      <c r="AA31" s="113"/>
      <c r="AB31" s="113"/>
      <c r="AC31" s="113"/>
      <c r="AD31" s="113"/>
      <c r="AE31" s="113"/>
      <c r="AF31" s="113"/>
    </row>
    <row r="32" spans="2:32" ht="26.1" customHeight="1" x14ac:dyDescent="0.3">
      <c r="W32" s="113"/>
      <c r="X32" s="113"/>
      <c r="Y32" s="113"/>
      <c r="Z32" s="113"/>
      <c r="AA32" s="113"/>
      <c r="AB32" s="113"/>
      <c r="AC32" s="113"/>
      <c r="AD32" s="113"/>
      <c r="AE32" s="113"/>
      <c r="AF32" s="113"/>
    </row>
    <row r="33" spans="23:32" ht="26.1" customHeight="1" x14ac:dyDescent="0.3">
      <c r="W33" s="113"/>
      <c r="X33" s="113"/>
      <c r="Y33" s="113"/>
      <c r="Z33" s="113"/>
      <c r="AA33" s="113"/>
      <c r="AB33" s="113"/>
      <c r="AC33" s="113"/>
      <c r="AD33" s="113"/>
      <c r="AE33" s="113"/>
      <c r="AF33" s="113"/>
    </row>
    <row r="34" spans="23:32" ht="26.1" customHeight="1" x14ac:dyDescent="0.3">
      <c r="W34" s="113"/>
      <c r="X34" s="113"/>
      <c r="Y34" s="113"/>
      <c r="Z34" s="113"/>
      <c r="AA34" s="113"/>
      <c r="AB34" s="113"/>
      <c r="AC34" s="113"/>
      <c r="AD34" s="113"/>
      <c r="AE34" s="113"/>
      <c r="AF34" s="113"/>
    </row>
    <row r="35" spans="23:32" ht="26.1" customHeight="1" x14ac:dyDescent="0.3">
      <c r="W35" s="113"/>
      <c r="X35" s="113"/>
      <c r="Y35" s="113"/>
      <c r="Z35" s="113"/>
      <c r="AA35" s="113"/>
      <c r="AB35" s="113"/>
      <c r="AC35" s="113"/>
      <c r="AD35" s="113"/>
      <c r="AE35" s="113"/>
      <c r="AF35" s="113"/>
    </row>
    <row r="36" spans="23:32" ht="26.1" customHeight="1" x14ac:dyDescent="0.3">
      <c r="W36" s="113"/>
      <c r="X36" s="113"/>
      <c r="Y36" s="113"/>
      <c r="Z36" s="113"/>
      <c r="AA36" s="113"/>
      <c r="AB36" s="113"/>
      <c r="AC36" s="113"/>
      <c r="AD36" s="113"/>
      <c r="AE36" s="113"/>
      <c r="AF36" s="113"/>
    </row>
    <row r="37" spans="23:32" ht="26.1" customHeight="1" x14ac:dyDescent="0.3">
      <c r="W37" s="113"/>
      <c r="X37" s="113"/>
      <c r="Y37" s="113"/>
      <c r="Z37" s="113"/>
      <c r="AA37" s="113"/>
      <c r="AB37" s="113"/>
      <c r="AC37" s="113"/>
      <c r="AD37" s="113"/>
      <c r="AE37" s="113"/>
      <c r="AF37" s="113"/>
    </row>
    <row r="38" spans="23:32" ht="26.1" customHeight="1" x14ac:dyDescent="0.3">
      <c r="W38" s="113"/>
      <c r="X38" s="113"/>
      <c r="Y38" s="113"/>
      <c r="Z38" s="113"/>
      <c r="AA38" s="113"/>
      <c r="AB38" s="113"/>
      <c r="AC38" s="113"/>
      <c r="AD38" s="113"/>
      <c r="AE38" s="113"/>
      <c r="AF38" s="113"/>
    </row>
    <row r="39" spans="23:32" ht="26.1" customHeight="1" x14ac:dyDescent="0.3">
      <c r="W39" s="113"/>
      <c r="X39" s="113"/>
      <c r="Y39" s="113"/>
      <c r="Z39" s="113"/>
      <c r="AA39" s="113"/>
      <c r="AB39" s="113"/>
      <c r="AC39" s="113"/>
      <c r="AD39" s="113"/>
      <c r="AE39" s="113"/>
      <c r="AF39" s="113"/>
    </row>
    <row r="40" spans="23:32" ht="26.1" customHeight="1" x14ac:dyDescent="0.3">
      <c r="W40" s="113"/>
      <c r="X40" s="113"/>
      <c r="Y40" s="113"/>
      <c r="Z40" s="113"/>
      <c r="AA40" s="113"/>
      <c r="AB40" s="113"/>
      <c r="AC40" s="113"/>
      <c r="AD40" s="113"/>
      <c r="AE40" s="113"/>
      <c r="AF40" s="113"/>
    </row>
    <row r="41" spans="23:32" ht="26.1" customHeight="1" x14ac:dyDescent="0.3">
      <c r="W41" s="113"/>
      <c r="X41" s="113"/>
      <c r="Y41" s="113"/>
      <c r="Z41" s="113"/>
      <c r="AA41" s="113"/>
      <c r="AB41" s="113"/>
      <c r="AC41" s="113"/>
      <c r="AD41" s="113"/>
      <c r="AE41" s="113"/>
      <c r="AF41" s="113"/>
    </row>
    <row r="42" spans="23:32" ht="26.1" customHeight="1" x14ac:dyDescent="0.3">
      <c r="W42" s="113"/>
      <c r="X42" s="113"/>
      <c r="Y42" s="113"/>
      <c r="Z42" s="113"/>
      <c r="AA42" s="113"/>
      <c r="AB42" s="113"/>
      <c r="AC42" s="113"/>
      <c r="AD42" s="113"/>
      <c r="AE42" s="113"/>
      <c r="AF42" s="113"/>
    </row>
    <row r="43" spans="23:32" ht="26.1" customHeight="1" x14ac:dyDescent="0.3">
      <c r="W43" s="113"/>
      <c r="X43" s="113"/>
      <c r="Y43" s="113"/>
      <c r="Z43" s="113"/>
      <c r="AA43" s="113"/>
      <c r="AB43" s="113"/>
      <c r="AC43" s="113"/>
      <c r="AD43" s="113"/>
      <c r="AE43" s="113"/>
      <c r="AF43" s="113"/>
    </row>
    <row r="44" spans="23:32" ht="26.1" customHeight="1" x14ac:dyDescent="0.3">
      <c r="W44" s="113"/>
      <c r="X44" s="113"/>
      <c r="Y44" s="113"/>
      <c r="Z44" s="113"/>
      <c r="AA44" s="113"/>
      <c r="AB44" s="113"/>
      <c r="AC44" s="113"/>
      <c r="AD44" s="113"/>
      <c r="AE44" s="113"/>
      <c r="AF44" s="113"/>
    </row>
    <row r="45" spans="23:32" ht="26.1" customHeight="1" x14ac:dyDescent="0.3">
      <c r="W45" s="113"/>
      <c r="X45" s="113"/>
      <c r="Y45" s="113"/>
      <c r="Z45" s="113"/>
      <c r="AA45" s="113"/>
      <c r="AB45" s="113"/>
      <c r="AC45" s="113"/>
      <c r="AD45" s="113"/>
      <c r="AE45" s="113"/>
      <c r="AF45" s="113"/>
    </row>
    <row r="46" spans="23:32" ht="26.1" customHeight="1" x14ac:dyDescent="0.3">
      <c r="W46" s="113"/>
      <c r="X46" s="113"/>
      <c r="Y46" s="113"/>
      <c r="Z46" s="113"/>
      <c r="AA46" s="113"/>
      <c r="AB46" s="113"/>
      <c r="AC46" s="113"/>
      <c r="AD46" s="113"/>
      <c r="AE46" s="113"/>
      <c r="AF46" s="113"/>
    </row>
    <row r="47" spans="23:32" ht="26.1" customHeight="1" x14ac:dyDescent="0.3">
      <c r="W47" s="113"/>
      <c r="X47" s="113"/>
      <c r="Y47" s="113"/>
      <c r="Z47" s="113"/>
      <c r="AA47" s="113"/>
      <c r="AB47" s="113"/>
      <c r="AC47" s="113"/>
      <c r="AD47" s="113"/>
      <c r="AE47" s="113"/>
      <c r="AF47" s="113"/>
    </row>
    <row r="48" spans="23:32" ht="26.1" customHeight="1" x14ac:dyDescent="0.3">
      <c r="W48" s="113"/>
      <c r="X48" s="113"/>
      <c r="Y48" s="113"/>
      <c r="Z48" s="113"/>
      <c r="AA48" s="113"/>
      <c r="AB48" s="113"/>
      <c r="AC48" s="113"/>
      <c r="AD48" s="113"/>
      <c r="AE48" s="113"/>
      <c r="AF48" s="113"/>
    </row>
    <row r="49" spans="23:32" ht="26.1" customHeight="1" x14ac:dyDescent="0.3">
      <c r="W49" s="113"/>
      <c r="X49" s="113"/>
      <c r="Y49" s="113"/>
      <c r="Z49" s="113"/>
      <c r="AA49" s="113"/>
      <c r="AB49" s="113"/>
      <c r="AC49" s="113"/>
      <c r="AD49" s="113"/>
      <c r="AE49" s="113"/>
      <c r="AF49" s="113"/>
    </row>
    <row r="50" spans="23:32" ht="26.1" customHeight="1" x14ac:dyDescent="0.3">
      <c r="W50" s="113"/>
      <c r="X50" s="113"/>
      <c r="Y50" s="113"/>
      <c r="Z50" s="113"/>
      <c r="AA50" s="113"/>
      <c r="AB50" s="113"/>
      <c r="AC50" s="113"/>
      <c r="AD50" s="113"/>
      <c r="AE50" s="113"/>
      <c r="AF50" s="113"/>
    </row>
    <row r="51" spans="23:32" ht="26.1" customHeight="1" x14ac:dyDescent="0.3">
      <c r="W51" s="113"/>
      <c r="X51" s="113"/>
      <c r="Y51" s="113"/>
      <c r="Z51" s="113"/>
      <c r="AA51" s="113"/>
      <c r="AB51" s="113"/>
      <c r="AC51" s="113"/>
      <c r="AD51" s="113"/>
      <c r="AE51" s="113"/>
      <c r="AF51" s="113"/>
    </row>
    <row r="52" spans="23:32" ht="26.1" customHeight="1" x14ac:dyDescent="0.3">
      <c r="W52" s="113"/>
      <c r="X52" s="113"/>
      <c r="Y52" s="113"/>
      <c r="Z52" s="113"/>
      <c r="AA52" s="113"/>
      <c r="AB52" s="113"/>
      <c r="AC52" s="113"/>
      <c r="AD52" s="113"/>
      <c r="AE52" s="113"/>
      <c r="AF52" s="113"/>
    </row>
    <row r="53" spans="23:32" ht="26.1" customHeight="1" x14ac:dyDescent="0.3">
      <c r="W53" s="113"/>
      <c r="X53" s="113"/>
      <c r="Y53" s="113"/>
      <c r="Z53" s="113"/>
      <c r="AA53" s="113"/>
      <c r="AB53" s="113"/>
      <c r="AC53" s="113"/>
      <c r="AD53" s="113"/>
      <c r="AE53" s="113"/>
      <c r="AF53" s="113"/>
    </row>
    <row r="54" spans="23:32" ht="26.1" customHeight="1" x14ac:dyDescent="0.3">
      <c r="W54" s="113"/>
      <c r="X54" s="113"/>
      <c r="Y54" s="113"/>
      <c r="Z54" s="113"/>
      <c r="AA54" s="113"/>
      <c r="AB54" s="113"/>
      <c r="AC54" s="113"/>
      <c r="AD54" s="113"/>
      <c r="AE54" s="113"/>
      <c r="AF54" s="113"/>
    </row>
    <row r="55" spans="23:32" ht="26.1" customHeight="1" x14ac:dyDescent="0.3">
      <c r="W55" s="113"/>
      <c r="X55" s="113"/>
      <c r="Y55" s="113"/>
      <c r="Z55" s="113"/>
      <c r="AA55" s="113"/>
      <c r="AB55" s="113"/>
      <c r="AC55" s="113"/>
      <c r="AD55" s="113"/>
      <c r="AE55" s="113"/>
      <c r="AF55" s="113"/>
    </row>
    <row r="56" spans="23:32" ht="26.1" customHeight="1" x14ac:dyDescent="0.3">
      <c r="W56" s="113"/>
      <c r="X56" s="113"/>
      <c r="Y56" s="113"/>
      <c r="Z56" s="113"/>
      <c r="AA56" s="113"/>
      <c r="AB56" s="113"/>
      <c r="AC56" s="113"/>
      <c r="AD56" s="113"/>
      <c r="AE56" s="113"/>
      <c r="AF56" s="113"/>
    </row>
    <row r="57" spans="23:32" ht="26.1" customHeight="1" x14ac:dyDescent="0.3">
      <c r="W57" s="113"/>
      <c r="X57" s="113"/>
      <c r="Y57" s="113"/>
      <c r="Z57" s="113"/>
      <c r="AA57" s="113"/>
      <c r="AB57" s="113"/>
      <c r="AC57" s="113"/>
      <c r="AD57" s="113"/>
      <c r="AE57" s="113"/>
      <c r="AF57" s="113"/>
    </row>
    <row r="58" spans="23:32" ht="26.1" customHeight="1" x14ac:dyDescent="0.3">
      <c r="W58" s="113"/>
      <c r="X58" s="113"/>
      <c r="Y58" s="113"/>
      <c r="Z58" s="113"/>
      <c r="AA58" s="113"/>
      <c r="AB58" s="113"/>
      <c r="AC58" s="113"/>
      <c r="AD58" s="113"/>
      <c r="AE58" s="113"/>
      <c r="AF58" s="113"/>
    </row>
    <row r="59" spans="23:32" ht="26.1" customHeight="1" x14ac:dyDescent="0.3">
      <c r="W59" s="113"/>
      <c r="X59" s="113"/>
      <c r="Y59" s="113"/>
      <c r="Z59" s="113"/>
      <c r="AA59" s="113"/>
      <c r="AB59" s="113"/>
      <c r="AC59" s="113"/>
      <c r="AD59" s="113"/>
      <c r="AE59" s="113"/>
      <c r="AF59" s="113"/>
    </row>
    <row r="60" spans="23:32" ht="26.1" customHeight="1" x14ac:dyDescent="0.3">
      <c r="W60" s="113"/>
      <c r="X60" s="113"/>
      <c r="Y60" s="113"/>
      <c r="Z60" s="113"/>
      <c r="AA60" s="113"/>
      <c r="AB60" s="113"/>
      <c r="AC60" s="113"/>
      <c r="AD60" s="113"/>
      <c r="AE60" s="113"/>
      <c r="AF60" s="113"/>
    </row>
    <row r="61" spans="23:32" ht="26.1" customHeight="1" x14ac:dyDescent="0.3">
      <c r="W61" s="113"/>
      <c r="X61" s="113"/>
      <c r="Y61" s="113"/>
      <c r="Z61" s="113"/>
      <c r="AA61" s="113"/>
      <c r="AB61" s="113"/>
      <c r="AC61" s="113"/>
      <c r="AD61" s="113"/>
      <c r="AE61" s="113"/>
      <c r="AF61" s="113"/>
    </row>
    <row r="62" spans="23:32" ht="26.1" customHeight="1" x14ac:dyDescent="0.3">
      <c r="W62" s="113"/>
      <c r="X62" s="113"/>
      <c r="Y62" s="113"/>
      <c r="Z62" s="113"/>
      <c r="AA62" s="113"/>
      <c r="AB62" s="113"/>
      <c r="AC62" s="113"/>
      <c r="AD62" s="113"/>
      <c r="AE62" s="113"/>
      <c r="AF62" s="113"/>
    </row>
    <row r="63" spans="23:32" ht="26.1" customHeight="1" x14ac:dyDescent="0.3">
      <c r="W63" s="113"/>
      <c r="X63" s="113"/>
      <c r="Y63" s="113"/>
      <c r="Z63" s="113"/>
      <c r="AA63" s="113"/>
      <c r="AB63" s="113"/>
      <c r="AC63" s="113"/>
      <c r="AD63" s="113"/>
      <c r="AE63" s="113"/>
      <c r="AF63" s="113"/>
    </row>
    <row r="64" spans="23:32" ht="26.1" customHeight="1" x14ac:dyDescent="0.3">
      <c r="W64" s="113"/>
      <c r="X64" s="113"/>
      <c r="Y64" s="113"/>
      <c r="Z64" s="113"/>
      <c r="AA64" s="113"/>
      <c r="AB64" s="113"/>
      <c r="AC64" s="113"/>
      <c r="AD64" s="113"/>
      <c r="AE64" s="113"/>
      <c r="AF64" s="113"/>
    </row>
    <row r="65" spans="23:32" ht="26.1" customHeight="1" x14ac:dyDescent="0.3">
      <c r="W65" s="113"/>
      <c r="X65" s="113"/>
      <c r="Y65" s="113"/>
      <c r="Z65" s="113"/>
      <c r="AA65" s="113"/>
      <c r="AB65" s="113"/>
      <c r="AC65" s="113"/>
      <c r="AD65" s="113"/>
      <c r="AE65" s="113"/>
      <c r="AF65" s="113"/>
    </row>
    <row r="66" spans="23:32" ht="26.1" customHeight="1" x14ac:dyDescent="0.3">
      <c r="W66" s="113"/>
      <c r="X66" s="113"/>
      <c r="Y66" s="113"/>
      <c r="Z66" s="113"/>
      <c r="AA66" s="113"/>
      <c r="AB66" s="113"/>
      <c r="AC66" s="113"/>
      <c r="AD66" s="113"/>
      <c r="AE66" s="113"/>
      <c r="AF66" s="113"/>
    </row>
    <row r="67" spans="23:32" ht="26.1" customHeight="1" x14ac:dyDescent="0.3">
      <c r="W67" s="113"/>
      <c r="X67" s="113"/>
      <c r="Y67" s="113"/>
      <c r="Z67" s="113"/>
      <c r="AA67" s="113"/>
      <c r="AB67" s="113"/>
      <c r="AC67" s="113"/>
      <c r="AD67" s="113"/>
      <c r="AE67" s="113"/>
      <c r="AF67" s="113"/>
    </row>
    <row r="68" spans="23:32" ht="26.1" customHeight="1" x14ac:dyDescent="0.3">
      <c r="W68" s="113"/>
      <c r="X68" s="113"/>
      <c r="Y68" s="113"/>
      <c r="Z68" s="113"/>
      <c r="AA68" s="113"/>
      <c r="AB68" s="113"/>
      <c r="AC68" s="113"/>
      <c r="AD68" s="113"/>
      <c r="AE68" s="113"/>
      <c r="AF68" s="113"/>
    </row>
    <row r="69" spans="23:32" ht="26.1" customHeight="1" x14ac:dyDescent="0.3">
      <c r="W69" s="113"/>
      <c r="X69" s="113"/>
      <c r="Y69" s="113"/>
      <c r="Z69" s="113"/>
      <c r="AA69" s="113"/>
      <c r="AB69" s="113"/>
      <c r="AC69" s="113"/>
      <c r="AD69" s="113"/>
      <c r="AE69" s="113"/>
      <c r="AF69" s="113"/>
    </row>
    <row r="70" spans="23:32" ht="26.1" customHeight="1" x14ac:dyDescent="0.3">
      <c r="W70" s="113"/>
      <c r="X70" s="113"/>
      <c r="Y70" s="113"/>
      <c r="Z70" s="113"/>
      <c r="AA70" s="113"/>
      <c r="AB70" s="113"/>
      <c r="AC70" s="113"/>
      <c r="AD70" s="113"/>
      <c r="AE70" s="113"/>
      <c r="AF70" s="113"/>
    </row>
    <row r="71" spans="23:32" ht="26.1" customHeight="1" x14ac:dyDescent="0.3">
      <c r="W71" s="113"/>
      <c r="X71" s="113"/>
      <c r="Y71" s="113"/>
      <c r="Z71" s="113"/>
      <c r="AA71" s="113"/>
      <c r="AB71" s="113"/>
      <c r="AC71" s="113"/>
      <c r="AD71" s="113"/>
      <c r="AE71" s="113"/>
      <c r="AF71" s="113"/>
    </row>
    <row r="72" spans="23:32" ht="26.1" customHeight="1" x14ac:dyDescent="0.3">
      <c r="W72" s="113"/>
      <c r="X72" s="113"/>
      <c r="Y72" s="113"/>
      <c r="Z72" s="113"/>
      <c r="AA72" s="113"/>
      <c r="AB72" s="113"/>
      <c r="AC72" s="113"/>
      <c r="AD72" s="113"/>
      <c r="AE72" s="113"/>
      <c r="AF72" s="113"/>
    </row>
    <row r="73" spans="23:32" ht="26.1" customHeight="1" x14ac:dyDescent="0.3">
      <c r="W73" s="113"/>
      <c r="X73" s="113"/>
      <c r="Y73" s="113"/>
      <c r="Z73" s="113"/>
      <c r="AA73" s="113"/>
      <c r="AB73" s="113"/>
      <c r="AC73" s="113"/>
      <c r="AD73" s="113"/>
      <c r="AE73" s="113"/>
      <c r="AF73" s="113"/>
    </row>
    <row r="74" spans="23:32" ht="26.1" customHeight="1" x14ac:dyDescent="0.3">
      <c r="W74" s="113"/>
      <c r="X74" s="113"/>
      <c r="Y74" s="113"/>
      <c r="Z74" s="113"/>
      <c r="AA74" s="113"/>
      <c r="AB74" s="113"/>
      <c r="AC74" s="113"/>
      <c r="AD74" s="113"/>
      <c r="AE74" s="113"/>
      <c r="AF74" s="113"/>
    </row>
    <row r="75" spans="23:32" ht="26.1" customHeight="1" x14ac:dyDescent="0.3">
      <c r="W75" s="113"/>
      <c r="X75" s="113"/>
      <c r="Y75" s="113"/>
      <c r="Z75" s="113"/>
      <c r="AA75" s="113"/>
      <c r="AB75" s="113"/>
      <c r="AC75" s="113"/>
      <c r="AD75" s="113"/>
      <c r="AE75" s="113"/>
      <c r="AF75" s="113"/>
    </row>
    <row r="76" spans="23:32" ht="26.1" customHeight="1" x14ac:dyDescent="0.3">
      <c r="W76" s="113"/>
      <c r="X76" s="113"/>
      <c r="Y76" s="113"/>
      <c r="Z76" s="113"/>
      <c r="AA76" s="113"/>
      <c r="AB76" s="113"/>
      <c r="AC76" s="113"/>
      <c r="AD76" s="113"/>
      <c r="AE76" s="113"/>
      <c r="AF76" s="113"/>
    </row>
    <row r="77" spans="23:32" ht="26.1" customHeight="1" x14ac:dyDescent="0.3">
      <c r="W77" s="113"/>
      <c r="X77" s="113"/>
      <c r="Y77" s="113"/>
      <c r="Z77" s="113"/>
      <c r="AA77" s="113"/>
      <c r="AB77" s="113"/>
      <c r="AC77" s="113"/>
      <c r="AD77" s="113"/>
      <c r="AE77" s="113"/>
      <c r="AF77" s="113"/>
    </row>
    <row r="78" spans="23:32" ht="26.1" customHeight="1" x14ac:dyDescent="0.3">
      <c r="W78" s="113"/>
      <c r="X78" s="113"/>
      <c r="Y78" s="113"/>
      <c r="Z78" s="113"/>
      <c r="AA78" s="113"/>
      <c r="AB78" s="113"/>
      <c r="AC78" s="113"/>
      <c r="AD78" s="113"/>
      <c r="AE78" s="113"/>
      <c r="AF78" s="113"/>
    </row>
    <row r="79" spans="23:32" ht="26.1" customHeight="1" x14ac:dyDescent="0.3">
      <c r="W79" s="113"/>
      <c r="X79" s="113"/>
      <c r="Y79" s="113"/>
      <c r="Z79" s="113"/>
      <c r="AA79" s="113"/>
      <c r="AB79" s="113"/>
      <c r="AC79" s="113"/>
      <c r="AD79" s="113"/>
      <c r="AE79" s="113"/>
      <c r="AF79" s="113"/>
    </row>
    <row r="80" spans="23:32" ht="26.1" customHeight="1" x14ac:dyDescent="0.3">
      <c r="W80" s="113"/>
      <c r="X80" s="113"/>
      <c r="Y80" s="113"/>
      <c r="Z80" s="113"/>
      <c r="AA80" s="113"/>
      <c r="AB80" s="113"/>
      <c r="AC80" s="113"/>
      <c r="AD80" s="113"/>
      <c r="AE80" s="113"/>
      <c r="AF80" s="113"/>
    </row>
    <row r="81" spans="23:32" ht="26.1" customHeight="1" x14ac:dyDescent="0.3">
      <c r="W81" s="113"/>
      <c r="X81" s="113"/>
      <c r="Y81" s="113"/>
      <c r="Z81" s="113"/>
      <c r="AA81" s="113"/>
      <c r="AB81" s="113"/>
      <c r="AC81" s="113"/>
      <c r="AD81" s="113"/>
      <c r="AE81" s="113"/>
      <c r="AF81" s="113"/>
    </row>
    <row r="82" spans="23:32" ht="26.1" customHeight="1" x14ac:dyDescent="0.3">
      <c r="W82" s="113"/>
      <c r="X82" s="113"/>
      <c r="Y82" s="113"/>
      <c r="Z82" s="113"/>
      <c r="AA82" s="113"/>
      <c r="AB82" s="113"/>
      <c r="AC82" s="113"/>
      <c r="AD82" s="113"/>
      <c r="AE82" s="113"/>
      <c r="AF82" s="113"/>
    </row>
    <row r="83" spans="23:32" ht="26.1" customHeight="1" x14ac:dyDescent="0.3">
      <c r="W83" s="113"/>
      <c r="X83" s="113"/>
      <c r="Y83" s="113"/>
      <c r="Z83" s="113"/>
      <c r="AA83" s="113"/>
      <c r="AB83" s="113"/>
      <c r="AC83" s="113"/>
      <c r="AD83" s="113"/>
      <c r="AE83" s="113"/>
      <c r="AF83" s="113"/>
    </row>
    <row r="84" spans="23:32" ht="26.1" customHeight="1" x14ac:dyDescent="0.3">
      <c r="W84" s="113"/>
      <c r="X84" s="113"/>
      <c r="Y84" s="113"/>
      <c r="Z84" s="113"/>
      <c r="AA84" s="113"/>
      <c r="AB84" s="113"/>
      <c r="AC84" s="113"/>
      <c r="AD84" s="113"/>
      <c r="AE84" s="113"/>
      <c r="AF84" s="113"/>
    </row>
    <row r="85" spans="23:32" ht="26.1" customHeight="1" x14ac:dyDescent="0.3">
      <c r="W85" s="113"/>
      <c r="X85" s="113"/>
      <c r="Y85" s="113"/>
      <c r="Z85" s="113"/>
      <c r="AA85" s="113"/>
      <c r="AB85" s="113"/>
      <c r="AC85" s="113"/>
      <c r="AD85" s="113"/>
      <c r="AE85" s="113"/>
      <c r="AF85" s="113"/>
    </row>
    <row r="86" spans="23:32" ht="26.1" customHeight="1" x14ac:dyDescent="0.3">
      <c r="W86" s="113"/>
      <c r="X86" s="113"/>
      <c r="Y86" s="113"/>
      <c r="Z86" s="113"/>
      <c r="AA86" s="113"/>
      <c r="AB86" s="113"/>
      <c r="AC86" s="113"/>
      <c r="AD86" s="113"/>
      <c r="AE86" s="113"/>
      <c r="AF86" s="113"/>
    </row>
    <row r="87" spans="23:32" ht="26.1" customHeight="1" x14ac:dyDescent="0.3">
      <c r="W87" s="113"/>
      <c r="X87" s="113"/>
      <c r="Y87" s="113"/>
      <c r="Z87" s="113"/>
      <c r="AA87" s="113"/>
      <c r="AB87" s="113"/>
      <c r="AC87" s="113"/>
      <c r="AD87" s="113"/>
      <c r="AE87" s="113"/>
      <c r="AF87" s="113"/>
    </row>
    <row r="88" spans="23:32" ht="26.1" customHeight="1" x14ac:dyDescent="0.3">
      <c r="W88" s="113"/>
      <c r="X88" s="113"/>
      <c r="Y88" s="113"/>
      <c r="Z88" s="113"/>
      <c r="AA88" s="113"/>
      <c r="AB88" s="113"/>
      <c r="AC88" s="113"/>
      <c r="AD88" s="113"/>
      <c r="AE88" s="113"/>
      <c r="AF88" s="113"/>
    </row>
    <row r="89" spans="23:32" ht="26.1" customHeight="1" x14ac:dyDescent="0.3">
      <c r="W89" s="113"/>
      <c r="X89" s="113"/>
      <c r="Y89" s="113"/>
      <c r="Z89" s="113"/>
      <c r="AA89" s="113"/>
      <c r="AB89" s="113"/>
      <c r="AC89" s="113"/>
      <c r="AD89" s="113"/>
      <c r="AE89" s="113"/>
      <c r="AF89" s="113"/>
    </row>
    <row r="90" spans="23:32" ht="26.1" customHeight="1" x14ac:dyDescent="0.3">
      <c r="W90" s="113"/>
      <c r="X90" s="113"/>
      <c r="Y90" s="113"/>
      <c r="Z90" s="113"/>
      <c r="AA90" s="113"/>
      <c r="AB90" s="113"/>
      <c r="AC90" s="113"/>
      <c r="AD90" s="113"/>
      <c r="AE90" s="113"/>
      <c r="AF90" s="113"/>
    </row>
    <row r="91" spans="23:32" ht="26.1" customHeight="1" x14ac:dyDescent="0.3">
      <c r="W91" s="113"/>
      <c r="X91" s="113"/>
      <c r="Y91" s="113"/>
      <c r="Z91" s="113"/>
      <c r="AA91" s="113"/>
      <c r="AB91" s="113"/>
      <c r="AC91" s="113"/>
      <c r="AD91" s="113"/>
      <c r="AE91" s="113"/>
      <c r="AF91" s="113"/>
    </row>
    <row r="92" spans="23:32" ht="26.1" customHeight="1" x14ac:dyDescent="0.3">
      <c r="W92" s="113"/>
      <c r="X92" s="113"/>
      <c r="Y92" s="113"/>
      <c r="Z92" s="113"/>
      <c r="AA92" s="113"/>
      <c r="AB92" s="113"/>
      <c r="AC92" s="113"/>
      <c r="AD92" s="113"/>
      <c r="AE92" s="113"/>
      <c r="AF92" s="113"/>
    </row>
    <row r="93" spans="23:32" ht="26.1" customHeight="1" x14ac:dyDescent="0.3">
      <c r="W93" s="113"/>
      <c r="X93" s="113"/>
      <c r="Y93" s="113"/>
      <c r="Z93" s="113"/>
      <c r="AA93" s="113"/>
      <c r="AB93" s="113"/>
      <c r="AC93" s="113"/>
      <c r="AD93" s="113"/>
      <c r="AE93" s="113"/>
      <c r="AF93" s="113"/>
    </row>
    <row r="94" spans="23:32" ht="26.1" customHeight="1" x14ac:dyDescent="0.3">
      <c r="W94" s="113"/>
      <c r="X94" s="113"/>
      <c r="Y94" s="113"/>
      <c r="Z94" s="113"/>
      <c r="AA94" s="113"/>
      <c r="AB94" s="113"/>
      <c r="AC94" s="113"/>
      <c r="AD94" s="113"/>
      <c r="AE94" s="113"/>
      <c r="AF94" s="113"/>
    </row>
    <row r="95" spans="23:32" ht="26.1" customHeight="1" x14ac:dyDescent="0.3">
      <c r="W95" s="113"/>
      <c r="X95" s="113"/>
      <c r="Y95" s="113"/>
      <c r="Z95" s="113"/>
      <c r="AA95" s="113"/>
      <c r="AB95" s="113"/>
      <c r="AC95" s="113"/>
      <c r="AD95" s="113"/>
      <c r="AE95" s="113"/>
      <c r="AF95" s="113"/>
    </row>
    <row r="96" spans="23:32" ht="26.1" customHeight="1" x14ac:dyDescent="0.3">
      <c r="W96" s="113"/>
      <c r="X96" s="113"/>
      <c r="Y96" s="113"/>
      <c r="Z96" s="113"/>
      <c r="AA96" s="113"/>
      <c r="AB96" s="113"/>
      <c r="AC96" s="113"/>
      <c r="AD96" s="113"/>
      <c r="AE96" s="113"/>
      <c r="AF96" s="113"/>
    </row>
    <row r="97" spans="23:32" ht="26.1" customHeight="1" x14ac:dyDescent="0.3">
      <c r="W97" s="113"/>
      <c r="X97" s="113"/>
      <c r="Y97" s="113"/>
      <c r="Z97" s="113"/>
      <c r="AA97" s="113"/>
      <c r="AB97" s="113"/>
      <c r="AC97" s="113"/>
      <c r="AD97" s="113"/>
      <c r="AE97" s="113"/>
      <c r="AF97" s="113"/>
    </row>
    <row r="98" spans="23:32" ht="26.1" customHeight="1" x14ac:dyDescent="0.3">
      <c r="W98" s="113"/>
      <c r="X98" s="113"/>
      <c r="Y98" s="113"/>
      <c r="Z98" s="113"/>
      <c r="AA98" s="113"/>
      <c r="AB98" s="113"/>
      <c r="AC98" s="113"/>
      <c r="AD98" s="113"/>
      <c r="AE98" s="113"/>
      <c r="AF98" s="113"/>
    </row>
    <row r="99" spans="23:32" ht="26.1" customHeight="1" x14ac:dyDescent="0.3">
      <c r="W99" s="113"/>
      <c r="X99" s="113"/>
      <c r="Y99" s="113"/>
      <c r="Z99" s="113"/>
      <c r="AA99" s="113"/>
      <c r="AB99" s="113"/>
      <c r="AC99" s="113"/>
      <c r="AD99" s="113"/>
      <c r="AE99" s="113"/>
      <c r="AF99" s="113"/>
    </row>
    <row r="100" spans="23:32" ht="26.1" customHeight="1" x14ac:dyDescent="0.3">
      <c r="W100" s="113"/>
      <c r="X100" s="113"/>
      <c r="Y100" s="113"/>
      <c r="Z100" s="113"/>
      <c r="AA100" s="113"/>
      <c r="AB100" s="113"/>
      <c r="AC100" s="113"/>
      <c r="AD100" s="113"/>
      <c r="AE100" s="113"/>
      <c r="AF100" s="113"/>
    </row>
    <row r="101" spans="23:32" ht="26.1" customHeight="1" x14ac:dyDescent="0.3">
      <c r="W101" s="113"/>
      <c r="X101" s="113"/>
      <c r="Y101" s="113"/>
      <c r="Z101" s="113"/>
      <c r="AA101" s="113"/>
      <c r="AB101" s="113"/>
      <c r="AC101" s="113"/>
      <c r="AD101" s="113"/>
      <c r="AE101" s="113"/>
      <c r="AF101" s="113"/>
    </row>
    <row r="102" spans="23:32" ht="26.1" customHeight="1" x14ac:dyDescent="0.3">
      <c r="W102" s="113"/>
      <c r="X102" s="113"/>
      <c r="Y102" s="113"/>
      <c r="Z102" s="113"/>
      <c r="AA102" s="113"/>
      <c r="AB102" s="113"/>
      <c r="AC102" s="113"/>
      <c r="AD102" s="113"/>
      <c r="AE102" s="113"/>
      <c r="AF102" s="113"/>
    </row>
    <row r="103" spans="23:32" ht="26.1" customHeight="1" x14ac:dyDescent="0.3">
      <c r="W103" s="113"/>
      <c r="X103" s="113"/>
      <c r="Y103" s="113"/>
      <c r="Z103" s="113"/>
      <c r="AA103" s="113"/>
      <c r="AB103" s="113"/>
      <c r="AC103" s="113"/>
      <c r="AD103" s="113"/>
      <c r="AE103" s="113"/>
      <c r="AF103" s="113"/>
    </row>
    <row r="104" spans="23:32" ht="26.1" customHeight="1" x14ac:dyDescent="0.3">
      <c r="W104" s="113"/>
      <c r="X104" s="113"/>
      <c r="Y104" s="113"/>
      <c r="Z104" s="113"/>
      <c r="AA104" s="113"/>
      <c r="AB104" s="113"/>
      <c r="AC104" s="113"/>
      <c r="AD104" s="113"/>
      <c r="AE104" s="113"/>
      <c r="AF104" s="113"/>
    </row>
    <row r="105" spans="23:32" ht="26.1" customHeight="1" x14ac:dyDescent="0.3">
      <c r="W105" s="113"/>
      <c r="X105" s="113"/>
      <c r="Y105" s="113"/>
      <c r="Z105" s="113"/>
      <c r="AA105" s="113"/>
      <c r="AB105" s="113"/>
      <c r="AC105" s="113"/>
      <c r="AD105" s="113"/>
      <c r="AE105" s="113"/>
      <c r="AF105" s="113"/>
    </row>
    <row r="106" spans="23:32" ht="26.1" customHeight="1" x14ac:dyDescent="0.3">
      <c r="W106" s="113"/>
      <c r="X106" s="113"/>
      <c r="Y106" s="113"/>
      <c r="Z106" s="113"/>
      <c r="AA106" s="113"/>
      <c r="AB106" s="113"/>
      <c r="AC106" s="113"/>
      <c r="AD106" s="113"/>
      <c r="AE106" s="113"/>
      <c r="AF106" s="113"/>
    </row>
    <row r="107" spans="23:32" ht="26.1" customHeight="1" x14ac:dyDescent="0.3">
      <c r="W107" s="113"/>
      <c r="X107" s="113"/>
      <c r="Y107" s="113"/>
      <c r="Z107" s="113"/>
      <c r="AA107" s="113"/>
      <c r="AB107" s="113"/>
      <c r="AC107" s="113"/>
      <c r="AD107" s="113"/>
      <c r="AE107" s="113"/>
      <c r="AF107" s="113"/>
    </row>
    <row r="108" spans="23:32" ht="26.1" customHeight="1" x14ac:dyDescent="0.3">
      <c r="W108" s="113"/>
      <c r="X108" s="113"/>
      <c r="Y108" s="113"/>
      <c r="Z108" s="113"/>
      <c r="AA108" s="113"/>
      <c r="AB108" s="113"/>
      <c r="AC108" s="113"/>
      <c r="AD108" s="113"/>
      <c r="AE108" s="113"/>
      <c r="AF108" s="113"/>
    </row>
    <row r="109" spans="23:32" ht="26.1" customHeight="1" x14ac:dyDescent="0.3">
      <c r="W109" s="113"/>
      <c r="X109" s="113"/>
      <c r="Y109" s="113"/>
      <c r="Z109" s="113"/>
      <c r="AA109" s="113"/>
      <c r="AB109" s="113"/>
      <c r="AC109" s="113"/>
      <c r="AD109" s="113"/>
      <c r="AE109" s="113"/>
      <c r="AF109" s="113"/>
    </row>
    <row r="110" spans="23:32" ht="26.1" customHeight="1" x14ac:dyDescent="0.3">
      <c r="W110" s="113"/>
      <c r="X110" s="113"/>
      <c r="Y110" s="113"/>
      <c r="Z110" s="113"/>
      <c r="AA110" s="113"/>
      <c r="AB110" s="113"/>
      <c r="AC110" s="113"/>
      <c r="AD110" s="113"/>
      <c r="AE110" s="113"/>
      <c r="AF110" s="113"/>
    </row>
    <row r="111" spans="23:32" ht="26.1" customHeight="1" x14ac:dyDescent="0.3">
      <c r="W111" s="113"/>
      <c r="X111" s="113"/>
      <c r="Y111" s="113"/>
      <c r="Z111" s="113"/>
      <c r="AA111" s="113"/>
      <c r="AB111" s="113"/>
      <c r="AC111" s="113"/>
      <c r="AD111" s="113"/>
      <c r="AE111" s="113"/>
      <c r="AF111" s="113"/>
    </row>
    <row r="112" spans="23:32" ht="26.1" customHeight="1" x14ac:dyDescent="0.3">
      <c r="W112" s="113"/>
      <c r="X112" s="113"/>
      <c r="Y112" s="113"/>
      <c r="Z112" s="113"/>
      <c r="AA112" s="113"/>
      <c r="AB112" s="113"/>
      <c r="AC112" s="113"/>
      <c r="AD112" s="113"/>
      <c r="AE112" s="113"/>
      <c r="AF112" s="113"/>
    </row>
    <row r="113" spans="23:32" ht="26.1" customHeight="1" x14ac:dyDescent="0.3">
      <c r="W113" s="113"/>
      <c r="X113" s="113"/>
      <c r="Y113" s="113"/>
      <c r="Z113" s="113"/>
      <c r="AA113" s="113"/>
      <c r="AB113" s="113"/>
      <c r="AC113" s="113"/>
      <c r="AD113" s="113"/>
      <c r="AE113" s="113"/>
      <c r="AF113" s="113"/>
    </row>
    <row r="114" spans="23:32" ht="26.1" customHeight="1" x14ac:dyDescent="0.3">
      <c r="W114" s="113"/>
      <c r="X114" s="113"/>
      <c r="Y114" s="113"/>
      <c r="Z114" s="113"/>
      <c r="AA114" s="113"/>
      <c r="AB114" s="113"/>
      <c r="AC114" s="113"/>
      <c r="AD114" s="113"/>
      <c r="AE114" s="113"/>
      <c r="AF114" s="113"/>
    </row>
    <row r="115" spans="23:32" ht="26.1" customHeight="1" x14ac:dyDescent="0.3">
      <c r="W115" s="113"/>
      <c r="X115" s="113"/>
      <c r="Y115" s="113"/>
      <c r="Z115" s="113"/>
      <c r="AA115" s="113"/>
      <c r="AB115" s="113"/>
      <c r="AC115" s="113"/>
      <c r="AD115" s="113"/>
      <c r="AE115" s="113"/>
      <c r="AF115" s="113"/>
    </row>
    <row r="116" spans="23:32" ht="26.1" customHeight="1" x14ac:dyDescent="0.3">
      <c r="W116" s="113"/>
      <c r="X116" s="113"/>
      <c r="Y116" s="113"/>
      <c r="Z116" s="113"/>
      <c r="AA116" s="113"/>
      <c r="AB116" s="113"/>
      <c r="AC116" s="113"/>
      <c r="AD116" s="113"/>
      <c r="AE116" s="113"/>
      <c r="AF116" s="113"/>
    </row>
    <row r="117" spans="23:32" ht="26.1" customHeight="1" x14ac:dyDescent="0.3">
      <c r="W117" s="113"/>
      <c r="X117" s="113"/>
      <c r="Y117" s="113"/>
      <c r="Z117" s="113"/>
      <c r="AA117" s="113"/>
      <c r="AB117" s="113"/>
      <c r="AC117" s="113"/>
      <c r="AD117" s="113"/>
      <c r="AE117" s="113"/>
      <c r="AF117" s="113"/>
    </row>
    <row r="118" spans="23:32" ht="26.1" customHeight="1" x14ac:dyDescent="0.3">
      <c r="W118" s="113"/>
      <c r="X118" s="113"/>
      <c r="Y118" s="113"/>
      <c r="Z118" s="113"/>
      <c r="AA118" s="113"/>
      <c r="AB118" s="113"/>
      <c r="AC118" s="113"/>
      <c r="AD118" s="113"/>
      <c r="AE118" s="113"/>
      <c r="AF118" s="113"/>
    </row>
    <row r="119" spans="23:32" ht="26.1" customHeight="1" x14ac:dyDescent="0.3">
      <c r="W119" s="113"/>
      <c r="X119" s="113"/>
      <c r="Y119" s="113"/>
      <c r="Z119" s="113"/>
      <c r="AA119" s="113"/>
      <c r="AB119" s="113"/>
      <c r="AC119" s="113"/>
      <c r="AD119" s="113"/>
      <c r="AE119" s="113"/>
      <c r="AF119" s="113"/>
    </row>
    <row r="120" spans="23:32" ht="26.1" customHeight="1" x14ac:dyDescent="0.3">
      <c r="W120" s="113"/>
      <c r="X120" s="113"/>
      <c r="Y120" s="113"/>
      <c r="Z120" s="113"/>
      <c r="AA120" s="113"/>
      <c r="AB120" s="113"/>
      <c r="AC120" s="113"/>
      <c r="AD120" s="113"/>
      <c r="AE120" s="113"/>
      <c r="AF120" s="113"/>
    </row>
    <row r="121" spans="23:32" ht="26.1" customHeight="1" x14ac:dyDescent="0.3">
      <c r="W121" s="113"/>
      <c r="X121" s="113"/>
      <c r="Y121" s="113"/>
      <c r="Z121" s="113"/>
      <c r="AA121" s="113"/>
      <c r="AB121" s="113"/>
      <c r="AC121" s="113"/>
      <c r="AD121" s="113"/>
      <c r="AE121" s="113"/>
      <c r="AF121" s="113"/>
    </row>
    <row r="122" spans="23:32" ht="26.1" customHeight="1" x14ac:dyDescent="0.3">
      <c r="W122" s="113"/>
      <c r="X122" s="113"/>
      <c r="Y122" s="113"/>
      <c r="Z122" s="113"/>
      <c r="AA122" s="113"/>
      <c r="AB122" s="113"/>
      <c r="AC122" s="113"/>
      <c r="AD122" s="113"/>
      <c r="AE122" s="113"/>
      <c r="AF122" s="113"/>
    </row>
    <row r="123" spans="23:32" ht="26.1" customHeight="1" x14ac:dyDescent="0.3">
      <c r="W123" s="113"/>
      <c r="X123" s="113"/>
      <c r="Y123" s="113"/>
      <c r="Z123" s="113"/>
      <c r="AA123" s="113"/>
      <c r="AB123" s="113"/>
      <c r="AC123" s="113"/>
      <c r="AD123" s="113"/>
      <c r="AE123" s="113"/>
      <c r="AF123" s="113"/>
    </row>
  </sheetData>
  <mergeCells count="10">
    <mergeCell ref="W1:X1"/>
    <mergeCell ref="Y1:Z1"/>
    <mergeCell ref="AA1:AB1"/>
    <mergeCell ref="AC1:AD1"/>
    <mergeCell ref="AE1:AF1"/>
    <mergeCell ref="B1:E1"/>
    <mergeCell ref="F1:I1"/>
    <mergeCell ref="J1:M1"/>
    <mergeCell ref="N1:Q1"/>
    <mergeCell ref="R1:U1"/>
  </mergeCells>
  <phoneticPr fontId="41" type="noConversion"/>
  <pageMargins left="0.7" right="0.7" top="0.75" bottom="0.75" header="0.3" footer="0.3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J62"/>
  <sheetViews>
    <sheetView zoomScale="80" zoomScaleNormal="80" workbookViewId="0">
      <selection activeCell="B42" sqref="B42"/>
    </sheetView>
  </sheetViews>
  <sheetFormatPr defaultColWidth="9" defaultRowHeight="12.75" x14ac:dyDescent="0.3"/>
  <cols>
    <col min="1" max="1" width="14.3984375" style="24" customWidth="1"/>
    <col min="2" max="2" width="17.9296875" style="24" customWidth="1"/>
    <col min="3" max="3" width="11.46484375" style="24" customWidth="1"/>
    <col min="4" max="4" width="18.06640625" style="24" customWidth="1"/>
    <col min="5" max="5" width="12.1328125" style="24" customWidth="1"/>
    <col min="6" max="6" width="18.06640625" style="24" customWidth="1"/>
    <col min="7" max="7" width="8.59765625" style="24" customWidth="1"/>
    <col min="8" max="8" width="18.1328125" style="24" customWidth="1"/>
    <col min="9" max="9" width="8.46484375" style="24" customWidth="1"/>
    <col min="10" max="10" width="9" style="24"/>
    <col min="11" max="11" width="14.3984375" style="24" customWidth="1"/>
    <col min="12" max="12" width="18.1328125" style="24" customWidth="1"/>
    <col min="13" max="13" width="9.06640625" style="24" customWidth="1"/>
    <col min="14" max="14" width="18.1328125" style="24" customWidth="1"/>
    <col min="15" max="15" width="12.1328125" style="24" customWidth="1"/>
    <col min="16" max="16" width="18.1328125" style="24" customWidth="1"/>
    <col min="17" max="17" width="11.3984375" style="24" customWidth="1"/>
    <col min="18" max="18" width="16.1328125" style="24" customWidth="1"/>
    <col min="19" max="19" width="9.06640625" style="24" customWidth="1"/>
    <col min="20" max="20" width="9" style="24"/>
    <col min="21" max="21" width="11.46484375" style="24" customWidth="1"/>
    <col min="22" max="22" width="12.46484375" style="24" customWidth="1"/>
    <col min="23" max="23" width="9.3984375" style="24" customWidth="1"/>
    <col min="24" max="24" width="12.46484375" style="24" customWidth="1"/>
    <col min="25" max="26" width="11.3984375" style="24" customWidth="1"/>
    <col min="27" max="27" width="9.06640625" style="24" customWidth="1"/>
    <col min="28" max="28" width="11.1328125" style="24" customWidth="1"/>
    <col min="29" max="29" width="9.06640625" style="24" customWidth="1"/>
    <col min="30" max="30" width="9" style="24"/>
    <col min="31" max="31" width="11.46484375" style="24" customWidth="1"/>
    <col min="32" max="32" width="14.46484375" style="24" customWidth="1"/>
    <col min="33" max="35" width="11.1328125" style="24" customWidth="1"/>
    <col min="36" max="16384" width="9" style="24"/>
  </cols>
  <sheetData>
    <row r="1" spans="1:35" x14ac:dyDescent="0.3">
      <c r="A1" s="24">
        <v>10000</v>
      </c>
    </row>
    <row r="2" spans="1:35" x14ac:dyDescent="0.3">
      <c r="A2" s="447" t="s">
        <v>1056</v>
      </c>
      <c r="B2" s="447"/>
      <c r="C2" s="447"/>
      <c r="D2" s="447"/>
      <c r="E2" s="447"/>
      <c r="F2" s="447"/>
      <c r="G2" s="447"/>
      <c r="H2" s="447"/>
      <c r="I2" s="447"/>
      <c r="K2" s="448" t="s">
        <v>1057</v>
      </c>
      <c r="L2" s="448"/>
      <c r="M2" s="448"/>
      <c r="N2" s="448"/>
      <c r="O2" s="448"/>
      <c r="P2" s="448"/>
      <c r="Q2" s="448"/>
      <c r="R2" s="448"/>
      <c r="S2" s="448"/>
      <c r="U2" s="448" t="s">
        <v>1058</v>
      </c>
      <c r="V2" s="448"/>
      <c r="W2" s="448"/>
      <c r="X2" s="448"/>
      <c r="Y2" s="448"/>
      <c r="Z2" s="448"/>
      <c r="AA2" s="448"/>
      <c r="AB2" s="448"/>
      <c r="AC2" s="448"/>
      <c r="AE2" s="448" t="s">
        <v>1059</v>
      </c>
      <c r="AF2" s="448"/>
      <c r="AG2" s="448"/>
      <c r="AH2" s="448"/>
      <c r="AI2" s="448"/>
    </row>
    <row r="3" spans="1:35" x14ac:dyDescent="0.3">
      <c r="A3" s="453" t="s">
        <v>278</v>
      </c>
      <c r="B3" s="449" t="str">
        <f>'合并-is'!B2</f>
        <v>2024年1-9月</v>
      </c>
      <c r="C3" s="450"/>
      <c r="D3" s="449" t="str">
        <f>'合并-is'!C2</f>
        <v>2023年度</v>
      </c>
      <c r="E3" s="450"/>
      <c r="F3" s="449" t="str">
        <f>'合并-is'!D2</f>
        <v>2022年度</v>
      </c>
      <c r="G3" s="450"/>
      <c r="H3" s="449" t="str">
        <f>'合并-is'!E2</f>
        <v>2021年度</v>
      </c>
      <c r="I3" s="450"/>
      <c r="K3" s="450" t="s">
        <v>278</v>
      </c>
      <c r="L3" s="449" t="str">
        <f>B3</f>
        <v>2024年1-9月</v>
      </c>
      <c r="M3" s="450"/>
      <c r="N3" s="449" t="str">
        <f t="shared" ref="N3" si="0">D3</f>
        <v>2023年度</v>
      </c>
      <c r="O3" s="450"/>
      <c r="P3" s="449" t="str">
        <f t="shared" ref="P3" si="1">F3</f>
        <v>2022年度</v>
      </c>
      <c r="Q3" s="450"/>
      <c r="R3" s="449" t="str">
        <f t="shared" ref="R3" si="2">H3</f>
        <v>2021年度</v>
      </c>
      <c r="S3" s="450"/>
      <c r="U3" s="450" t="s">
        <v>278</v>
      </c>
      <c r="V3" s="449" t="str">
        <f>L3</f>
        <v>2024年1-9月</v>
      </c>
      <c r="W3" s="450"/>
      <c r="X3" s="449" t="str">
        <f t="shared" ref="X3" si="3">N3</f>
        <v>2023年度</v>
      </c>
      <c r="Y3" s="450"/>
      <c r="Z3" s="449" t="str">
        <f t="shared" ref="Z3" si="4">P3</f>
        <v>2022年度</v>
      </c>
      <c r="AA3" s="450"/>
      <c r="AB3" s="449" t="str">
        <f t="shared" ref="AB3" si="5">R3</f>
        <v>2021年度</v>
      </c>
      <c r="AC3" s="450"/>
      <c r="AE3" s="431" t="s">
        <v>278</v>
      </c>
      <c r="AF3" s="426" t="str">
        <f>V3</f>
        <v>2024年1-9月</v>
      </c>
      <c r="AG3" s="426" t="str">
        <f>X3</f>
        <v>2023年度</v>
      </c>
      <c r="AH3" s="426" t="str">
        <f>Z3</f>
        <v>2022年度</v>
      </c>
      <c r="AI3" s="426" t="str">
        <f>AB3</f>
        <v>2021年度</v>
      </c>
    </row>
    <row r="4" spans="1:35" x14ac:dyDescent="0.3">
      <c r="A4" s="454"/>
      <c r="B4" s="95" t="s">
        <v>729</v>
      </c>
      <c r="C4" s="95" t="s">
        <v>763</v>
      </c>
      <c r="D4" s="95" t="s">
        <v>729</v>
      </c>
      <c r="E4" s="95" t="s">
        <v>763</v>
      </c>
      <c r="F4" s="95" t="s">
        <v>729</v>
      </c>
      <c r="G4" s="95" t="s">
        <v>763</v>
      </c>
      <c r="H4" s="95" t="s">
        <v>729</v>
      </c>
      <c r="I4" s="95" t="s">
        <v>763</v>
      </c>
      <c r="K4" s="450"/>
      <c r="L4" s="95" t="s">
        <v>729</v>
      </c>
      <c r="M4" s="95" t="s">
        <v>763</v>
      </c>
      <c r="N4" s="95" t="s">
        <v>729</v>
      </c>
      <c r="O4" s="95" t="s">
        <v>763</v>
      </c>
      <c r="P4" s="95" t="s">
        <v>729</v>
      </c>
      <c r="Q4" s="95" t="s">
        <v>763</v>
      </c>
      <c r="R4" s="95" t="s">
        <v>729</v>
      </c>
      <c r="S4" s="95" t="s">
        <v>763</v>
      </c>
      <c r="U4" s="450"/>
      <c r="V4" s="95" t="s">
        <v>729</v>
      </c>
      <c r="W4" s="95" t="s">
        <v>763</v>
      </c>
      <c r="X4" s="95" t="s">
        <v>729</v>
      </c>
      <c r="Y4" s="95" t="s">
        <v>763</v>
      </c>
      <c r="Z4" s="95" t="s">
        <v>729</v>
      </c>
      <c r="AA4" s="95" t="s">
        <v>763</v>
      </c>
      <c r="AB4" s="95" t="s">
        <v>729</v>
      </c>
      <c r="AC4" s="95" t="s">
        <v>763</v>
      </c>
      <c r="AE4" s="431"/>
      <c r="AF4" s="431"/>
      <c r="AG4" s="431"/>
      <c r="AH4" s="431"/>
      <c r="AI4" s="431"/>
    </row>
    <row r="5" spans="1:35" x14ac:dyDescent="0.3">
      <c r="A5" s="91" t="str">
        <f>A20</f>
        <v>房屋销售</v>
      </c>
      <c r="B5" s="96">
        <f>B20/$A$1</f>
        <v>0</v>
      </c>
      <c r="C5" s="97" t="e">
        <f>B5/$B$15</f>
        <v>#DIV/0!</v>
      </c>
      <c r="D5" s="96">
        <f>D20/$A$1</f>
        <v>0</v>
      </c>
      <c r="E5" s="97" t="e">
        <f>D5/$D$15</f>
        <v>#DIV/0!</v>
      </c>
      <c r="F5" s="96">
        <f>F20/$A$1</f>
        <v>88458.595394000004</v>
      </c>
      <c r="G5" s="97">
        <f>F5/$F$15</f>
        <v>0.24409922764415057</v>
      </c>
      <c r="H5" s="96">
        <f>H20/$A$1</f>
        <v>67757.16750499999</v>
      </c>
      <c r="I5" s="97">
        <f>H5/$H$15</f>
        <v>0.26723329055560197</v>
      </c>
      <c r="K5" s="31" t="str">
        <f>K20</f>
        <v>房屋销售</v>
      </c>
      <c r="L5" s="34">
        <f>L20/$A$1</f>
        <v>0</v>
      </c>
      <c r="M5" s="35" t="e">
        <f>L5/$L$15</f>
        <v>#DIV/0!</v>
      </c>
      <c r="N5" s="34">
        <f>N20/$A$1</f>
        <v>0</v>
      </c>
      <c r="O5" s="35" t="e">
        <f>N5/$N$15</f>
        <v>#DIV/0!</v>
      </c>
      <c r="P5" s="34">
        <f>P20/$A$1</f>
        <v>85942.373070000001</v>
      </c>
      <c r="Q5" s="35">
        <f>P5/$P$15</f>
        <v>0.24282980523816597</v>
      </c>
      <c r="R5" s="34">
        <f>R20/$A$1</f>
        <v>57229.246952999994</v>
      </c>
      <c r="S5" s="35">
        <f>R5/$R$15</f>
        <v>0.23256839955493547</v>
      </c>
      <c r="U5" s="31" t="str">
        <f>A5</f>
        <v>房屋销售</v>
      </c>
      <c r="V5" s="34">
        <f>B5-L5</f>
        <v>0</v>
      </c>
      <c r="W5" s="35" t="e">
        <f>V5/$V$15</f>
        <v>#DIV/0!</v>
      </c>
      <c r="X5" s="34">
        <f t="shared" ref="X5:AB14" si="6">D5-N5</f>
        <v>0</v>
      </c>
      <c r="Y5" s="35" t="e">
        <f>X5/$X$15</f>
        <v>#DIV/0!</v>
      </c>
      <c r="Z5" s="34">
        <f t="shared" si="6"/>
        <v>2516.2223240000021</v>
      </c>
      <c r="AA5" s="35">
        <f>Z5/$Z$15</f>
        <v>0.29715691842126302</v>
      </c>
      <c r="AB5" s="34">
        <f t="shared" si="6"/>
        <v>10527.920551999996</v>
      </c>
      <c r="AC5" s="34">
        <f>AB5/$AB$15</f>
        <v>1.4696885887508817</v>
      </c>
      <c r="AE5" s="31" t="str">
        <f>U5</f>
        <v>房屋销售</v>
      </c>
      <c r="AF5" s="35" t="e">
        <f>V5/B5</f>
        <v>#DIV/0!</v>
      </c>
      <c r="AG5" s="35" t="e">
        <f>X5/D5</f>
        <v>#DIV/0!</v>
      </c>
      <c r="AH5" s="35">
        <f>Z5/F5</f>
        <v>2.8445198714636986E-2</v>
      </c>
      <c r="AI5" s="35">
        <f>AB5/H5</f>
        <v>0.15537722339445656</v>
      </c>
    </row>
    <row r="6" spans="1:35" x14ac:dyDescent="0.3">
      <c r="A6" s="91" t="str">
        <f t="shared" ref="A6:A14" si="7">A21</f>
        <v>粮食销售</v>
      </c>
      <c r="B6" s="96">
        <f t="shared" ref="B6:B14" si="8">B21/$A$1</f>
        <v>0</v>
      </c>
      <c r="C6" s="97" t="e">
        <f t="shared" ref="C6:C14" si="9">B6/$B$15</f>
        <v>#DIV/0!</v>
      </c>
      <c r="D6" s="96">
        <f t="shared" ref="D6:D14" si="10">D21/$A$1</f>
        <v>0</v>
      </c>
      <c r="E6" s="97" t="e">
        <f t="shared" ref="E6:E14" si="11">D6/$D$15</f>
        <v>#DIV/0!</v>
      </c>
      <c r="F6" s="96">
        <f t="shared" ref="F6:F14" si="12">F21/$A$1</f>
        <v>174514.20246</v>
      </c>
      <c r="G6" s="97">
        <f t="shared" ref="G6:G14" si="13">F6/$F$15</f>
        <v>0.4815674705627343</v>
      </c>
      <c r="H6" s="96">
        <f t="shared" ref="H6" si="14">H21/$A$1</f>
        <v>175419.66710799999</v>
      </c>
      <c r="I6" s="97">
        <f>H6/$H$15</f>
        <v>0.69185263486670812</v>
      </c>
      <c r="K6" s="31" t="str">
        <f t="shared" ref="K6:K14" si="15">K21</f>
        <v>粮食销售</v>
      </c>
      <c r="L6" s="34">
        <f t="shared" ref="L6:L14" si="16">L21/$A$1</f>
        <v>0</v>
      </c>
      <c r="M6" s="35" t="e">
        <f t="shared" ref="M6:M14" si="17">L6/$L$15</f>
        <v>#DIV/0!</v>
      </c>
      <c r="N6" s="34">
        <f t="shared" ref="N6:N14" si="18">N21/$A$1</f>
        <v>0</v>
      </c>
      <c r="O6" s="35" t="e">
        <f t="shared" ref="O6:O14" si="19">N6/$N$15</f>
        <v>#DIV/0!</v>
      </c>
      <c r="P6" s="34">
        <f t="shared" ref="P6:P14" si="20">P21/$A$1</f>
        <v>171792.39087599999</v>
      </c>
      <c r="Q6" s="35">
        <f t="shared" ref="Q6:Q14" si="21">P6/$P$15</f>
        <v>0.48539866107537022</v>
      </c>
      <c r="R6" s="34">
        <f t="shared" ref="R6:R14" si="22">R21/$A$1</f>
        <v>173129.67181300002</v>
      </c>
      <c r="S6" s="35">
        <f t="shared" ref="S6:S14" si="23">R6/$R$15</f>
        <v>0.70356492235671375</v>
      </c>
      <c r="U6" s="31" t="str">
        <f t="shared" ref="U6:U14" si="24">A6</f>
        <v>粮食销售</v>
      </c>
      <c r="V6" s="34">
        <f t="shared" ref="V6:V14" si="25">B6-L6</f>
        <v>0</v>
      </c>
      <c r="W6" s="35" t="e">
        <f t="shared" ref="W6:W15" si="26">V6/$V$15</f>
        <v>#DIV/0!</v>
      </c>
      <c r="X6" s="34">
        <f t="shared" si="6"/>
        <v>0</v>
      </c>
      <c r="Y6" s="35" t="e">
        <f t="shared" ref="Y6:Y14" si="27">X6/$X$15</f>
        <v>#DIV/0!</v>
      </c>
      <c r="Z6" s="34">
        <f t="shared" si="6"/>
        <v>2721.81158400001</v>
      </c>
      <c r="AA6" s="35">
        <f t="shared" ref="AA6:AA14" si="28">Z6/$Z$15</f>
        <v>0.32143627973977829</v>
      </c>
      <c r="AB6" s="34">
        <f t="shared" ref="AB6:AB14" si="29">H6-R6</f>
        <v>2289.9952949999715</v>
      </c>
      <c r="AC6" s="34">
        <f>AB6/$AB$15</f>
        <v>0.31968135936543574</v>
      </c>
      <c r="AE6" s="31" t="str">
        <f t="shared" ref="AE6:AE14" si="30">U6</f>
        <v>粮食销售</v>
      </c>
      <c r="AF6" s="35" t="e">
        <f t="shared" ref="AF6:AF14" si="31">V6/B6</f>
        <v>#DIV/0!</v>
      </c>
      <c r="AG6" s="35" t="e">
        <f t="shared" ref="AG6:AG14" si="32">X6/D6</f>
        <v>#DIV/0!</v>
      </c>
      <c r="AH6" s="35">
        <f t="shared" ref="AH6:AH14" si="33">Z6/F6</f>
        <v>1.5596504729314911E-2</v>
      </c>
      <c r="AI6" s="35">
        <f t="shared" ref="AI6:AI15" si="34">AB6/H6</f>
        <v>1.305438171644744E-2</v>
      </c>
    </row>
    <row r="7" spans="1:35" x14ac:dyDescent="0.3">
      <c r="A7" s="91" t="str">
        <f t="shared" si="7"/>
        <v>土地整理</v>
      </c>
      <c r="B7" s="96">
        <f t="shared" si="8"/>
        <v>0</v>
      </c>
      <c r="C7" s="97" t="e">
        <f t="shared" si="9"/>
        <v>#DIV/0!</v>
      </c>
      <c r="D7" s="96">
        <f t="shared" si="10"/>
        <v>0</v>
      </c>
      <c r="E7" s="97" t="e">
        <f t="shared" si="11"/>
        <v>#DIV/0!</v>
      </c>
      <c r="F7" s="96">
        <f t="shared" si="12"/>
        <v>83574.862385</v>
      </c>
      <c r="G7" s="97">
        <f t="shared" si="13"/>
        <v>0.23062269152906317</v>
      </c>
      <c r="H7" s="96"/>
      <c r="I7" s="97"/>
      <c r="K7" s="31" t="str">
        <f t="shared" si="15"/>
        <v>土地整理</v>
      </c>
      <c r="L7" s="34">
        <f t="shared" si="16"/>
        <v>0</v>
      </c>
      <c r="M7" s="35" t="e">
        <f t="shared" si="17"/>
        <v>#DIV/0!</v>
      </c>
      <c r="N7" s="34">
        <f t="shared" si="18"/>
        <v>0</v>
      </c>
      <c r="O7" s="35" t="e">
        <f t="shared" si="19"/>
        <v>#DIV/0!</v>
      </c>
      <c r="P7" s="34">
        <f t="shared" si="20"/>
        <v>71224.471120000002</v>
      </c>
      <c r="Q7" s="35">
        <f t="shared" si="21"/>
        <v>0.20124443662003452</v>
      </c>
      <c r="R7" s="34">
        <f t="shared" si="22"/>
        <v>0</v>
      </c>
      <c r="S7" s="35">
        <f t="shared" si="23"/>
        <v>0</v>
      </c>
      <c r="U7" s="31" t="str">
        <f t="shared" si="24"/>
        <v>土地整理</v>
      </c>
      <c r="V7" s="34">
        <f t="shared" si="25"/>
        <v>0</v>
      </c>
      <c r="W7" s="35" t="e">
        <f t="shared" si="26"/>
        <v>#DIV/0!</v>
      </c>
      <c r="X7" s="34">
        <f t="shared" si="6"/>
        <v>0</v>
      </c>
      <c r="Y7" s="35" t="e">
        <f t="shared" si="27"/>
        <v>#DIV/0!</v>
      </c>
      <c r="Z7" s="34">
        <f t="shared" si="6"/>
        <v>12350.391264999998</v>
      </c>
      <c r="AA7" s="35">
        <f t="shared" si="28"/>
        <v>1.4585373377381581</v>
      </c>
      <c r="AB7" s="34"/>
      <c r="AC7" s="34"/>
      <c r="AE7" s="31" t="str">
        <f t="shared" si="30"/>
        <v>土地整理</v>
      </c>
      <c r="AF7" s="35" t="e">
        <f t="shared" si="31"/>
        <v>#DIV/0!</v>
      </c>
      <c r="AG7" s="35" t="e">
        <f t="shared" si="32"/>
        <v>#DIV/0!</v>
      </c>
      <c r="AH7" s="35">
        <f t="shared" si="33"/>
        <v>0.14777638769066814</v>
      </c>
      <c r="AI7" s="35"/>
    </row>
    <row r="8" spans="1:35" x14ac:dyDescent="0.3">
      <c r="A8" s="91" t="str">
        <f t="shared" si="7"/>
        <v>工程施工</v>
      </c>
      <c r="B8" s="96">
        <f t="shared" si="8"/>
        <v>0</v>
      </c>
      <c r="C8" s="97" t="e">
        <f t="shared" si="9"/>
        <v>#DIV/0!</v>
      </c>
      <c r="D8" s="96">
        <f t="shared" si="10"/>
        <v>0</v>
      </c>
      <c r="E8" s="97" t="e">
        <f t="shared" si="11"/>
        <v>#DIV/0!</v>
      </c>
      <c r="F8" s="96">
        <f t="shared" si="12"/>
        <v>3054.3836200000001</v>
      </c>
      <c r="G8" s="97">
        <f t="shared" si="13"/>
        <v>8.4284933448255453E-3</v>
      </c>
      <c r="H8" s="96">
        <f t="shared" ref="H8:H13" si="35">H23/$A$1</f>
        <v>1988.8083710000001</v>
      </c>
      <c r="I8" s="97">
        <f t="shared" ref="I8:I14" si="36">H8/$H$15</f>
        <v>7.8438315064991073E-3</v>
      </c>
      <c r="K8" s="31" t="str">
        <f t="shared" si="15"/>
        <v>工程施工</v>
      </c>
      <c r="L8" s="34">
        <f t="shared" si="16"/>
        <v>0</v>
      </c>
      <c r="M8" s="35" t="e">
        <f t="shared" si="17"/>
        <v>#DIV/0!</v>
      </c>
      <c r="N8" s="34">
        <f t="shared" si="18"/>
        <v>0</v>
      </c>
      <c r="O8" s="35" t="e">
        <f t="shared" si="19"/>
        <v>#DIV/0!</v>
      </c>
      <c r="P8" s="34">
        <f t="shared" si="20"/>
        <v>2158.525932</v>
      </c>
      <c r="Q8" s="35">
        <f t="shared" si="21"/>
        <v>6.0989057311946378E-3</v>
      </c>
      <c r="R8" s="34">
        <f t="shared" si="22"/>
        <v>1857.025171</v>
      </c>
      <c r="S8" s="35">
        <f t="shared" si="23"/>
        <v>7.5465849185013725E-3</v>
      </c>
      <c r="U8" s="31" t="str">
        <f t="shared" si="24"/>
        <v>工程施工</v>
      </c>
      <c r="V8" s="34">
        <f t="shared" si="25"/>
        <v>0</v>
      </c>
      <c r="W8" s="35" t="e">
        <f t="shared" si="26"/>
        <v>#DIV/0!</v>
      </c>
      <c r="X8" s="34">
        <f t="shared" si="6"/>
        <v>0</v>
      </c>
      <c r="Y8" s="35" t="e">
        <f t="shared" si="27"/>
        <v>#DIV/0!</v>
      </c>
      <c r="Z8" s="34">
        <f t="shared" si="6"/>
        <v>895.85768800000005</v>
      </c>
      <c r="AA8" s="35">
        <f t="shared" si="28"/>
        <v>0.10579761071624492</v>
      </c>
      <c r="AB8" s="34">
        <f t="shared" si="29"/>
        <v>131.78320000000008</v>
      </c>
      <c r="AC8" s="34">
        <f>AB8/$AB$15</f>
        <v>1.8396820556580068E-2</v>
      </c>
      <c r="AE8" s="31" t="str">
        <f t="shared" si="30"/>
        <v>工程施工</v>
      </c>
      <c r="AF8" s="35" t="e">
        <f t="shared" si="31"/>
        <v>#DIV/0!</v>
      </c>
      <c r="AG8" s="35" t="e">
        <f t="shared" si="32"/>
        <v>#DIV/0!</v>
      </c>
      <c r="AH8" s="35">
        <f t="shared" si="33"/>
        <v>0.29330228270409597</v>
      </c>
      <c r="AI8" s="35">
        <f t="shared" si="34"/>
        <v>6.6262392054261959E-2</v>
      </c>
    </row>
    <row r="9" spans="1:35" x14ac:dyDescent="0.3">
      <c r="A9" s="91" t="str">
        <f t="shared" si="7"/>
        <v>绿化养护</v>
      </c>
      <c r="B9" s="96">
        <f t="shared" si="8"/>
        <v>0</v>
      </c>
      <c r="C9" s="97" t="e">
        <f t="shared" si="9"/>
        <v>#DIV/0!</v>
      </c>
      <c r="D9" s="96">
        <f>D24/$A$1</f>
        <v>0</v>
      </c>
      <c r="E9" s="97" t="e">
        <f t="shared" si="11"/>
        <v>#DIV/0!</v>
      </c>
      <c r="F9" s="96">
        <f>F24/$A$1</f>
        <v>2783.6964760000001</v>
      </c>
      <c r="G9" s="97">
        <f t="shared" si="13"/>
        <v>7.6815391060734949E-3</v>
      </c>
      <c r="H9" s="96">
        <f t="shared" si="35"/>
        <v>0</v>
      </c>
      <c r="I9" s="97">
        <f t="shared" si="36"/>
        <v>0</v>
      </c>
      <c r="K9" s="31" t="str">
        <f t="shared" si="15"/>
        <v>绿化养护</v>
      </c>
      <c r="L9" s="34">
        <f t="shared" si="16"/>
        <v>0</v>
      </c>
      <c r="M9" s="35" t="e">
        <f t="shared" si="17"/>
        <v>#DIV/0!</v>
      </c>
      <c r="N9" s="34">
        <f t="shared" si="18"/>
        <v>0</v>
      </c>
      <c r="O9" s="35" t="e">
        <f t="shared" si="19"/>
        <v>#DIV/0!</v>
      </c>
      <c r="P9" s="34">
        <f t="shared" si="20"/>
        <v>1928.1683989999999</v>
      </c>
      <c r="Q9" s="35">
        <f t="shared" si="21"/>
        <v>5.4480315130953395E-3</v>
      </c>
      <c r="R9" s="34">
        <f t="shared" si="22"/>
        <v>0</v>
      </c>
      <c r="S9" s="35">
        <f t="shared" si="23"/>
        <v>0</v>
      </c>
      <c r="U9" s="31" t="str">
        <f t="shared" si="24"/>
        <v>绿化养护</v>
      </c>
      <c r="V9" s="34">
        <f t="shared" si="25"/>
        <v>0</v>
      </c>
      <c r="W9" s="35" t="e">
        <f t="shared" si="26"/>
        <v>#DIV/0!</v>
      </c>
      <c r="X9" s="34">
        <f t="shared" si="6"/>
        <v>0</v>
      </c>
      <c r="Y9" s="35" t="e">
        <f t="shared" si="27"/>
        <v>#DIV/0!</v>
      </c>
      <c r="Z9" s="34">
        <f t="shared" si="6"/>
        <v>855.52807700000017</v>
      </c>
      <c r="AA9" s="35">
        <f t="shared" si="28"/>
        <v>0.10103482691467802</v>
      </c>
      <c r="AB9" s="34">
        <f t="shared" si="29"/>
        <v>0</v>
      </c>
      <c r="AC9" s="34">
        <f>AB9/$AB$15</f>
        <v>0</v>
      </c>
      <c r="AE9" s="31" t="str">
        <f t="shared" si="30"/>
        <v>绿化养护</v>
      </c>
      <c r="AF9" s="35" t="e">
        <f t="shared" si="31"/>
        <v>#DIV/0!</v>
      </c>
      <c r="AG9" s="35" t="e">
        <f t="shared" si="32"/>
        <v>#DIV/0!</v>
      </c>
      <c r="AH9" s="35">
        <f t="shared" si="33"/>
        <v>0.30733525884594326</v>
      </c>
      <c r="AI9" s="35" t="e">
        <f t="shared" si="34"/>
        <v>#DIV/0!</v>
      </c>
    </row>
    <row r="10" spans="1:35" x14ac:dyDescent="0.3">
      <c r="A10" s="91" t="str">
        <f t="shared" si="7"/>
        <v>物管</v>
      </c>
      <c r="B10" s="96">
        <f t="shared" si="8"/>
        <v>0</v>
      </c>
      <c r="C10" s="97" t="e">
        <f t="shared" si="9"/>
        <v>#DIV/0!</v>
      </c>
      <c r="D10" s="96">
        <f>D25/$A$1</f>
        <v>0</v>
      </c>
      <c r="E10" s="97" t="e">
        <f t="shared" si="11"/>
        <v>#DIV/0!</v>
      </c>
      <c r="F10" s="96">
        <f>F25/$A$1</f>
        <v>0</v>
      </c>
      <c r="G10" s="97">
        <f t="shared" si="13"/>
        <v>0</v>
      </c>
      <c r="H10" s="96">
        <f t="shared" si="35"/>
        <v>59.419600000000003</v>
      </c>
      <c r="I10" s="97">
        <f t="shared" si="36"/>
        <v>2.3435004466982625E-4</v>
      </c>
      <c r="K10" s="31" t="str">
        <f t="shared" si="15"/>
        <v>物管</v>
      </c>
      <c r="L10" s="34">
        <f t="shared" si="16"/>
        <v>0</v>
      </c>
      <c r="M10" s="35" t="e">
        <f t="shared" si="17"/>
        <v>#DIV/0!</v>
      </c>
      <c r="N10" s="34">
        <f t="shared" si="18"/>
        <v>0</v>
      </c>
      <c r="O10" s="35" t="e">
        <f t="shared" si="19"/>
        <v>#DIV/0!</v>
      </c>
      <c r="P10" s="34">
        <f t="shared" si="20"/>
        <v>0</v>
      </c>
      <c r="Q10" s="35">
        <f t="shared" si="21"/>
        <v>0</v>
      </c>
      <c r="R10" s="34">
        <f t="shared" si="22"/>
        <v>625.20187099999998</v>
      </c>
      <c r="S10" s="35">
        <f t="shared" si="23"/>
        <v>2.5406973930066565E-3</v>
      </c>
      <c r="U10" s="31" t="str">
        <f t="shared" si="24"/>
        <v>物管</v>
      </c>
      <c r="V10" s="34">
        <f t="shared" si="25"/>
        <v>0</v>
      </c>
      <c r="W10" s="35" t="e">
        <f t="shared" si="26"/>
        <v>#DIV/0!</v>
      </c>
      <c r="X10" s="34">
        <f t="shared" si="6"/>
        <v>0</v>
      </c>
      <c r="Y10" s="35" t="e">
        <f t="shared" si="27"/>
        <v>#DIV/0!</v>
      </c>
      <c r="Z10" s="34">
        <f t="shared" si="6"/>
        <v>0</v>
      </c>
      <c r="AA10" s="35">
        <f t="shared" si="28"/>
        <v>0</v>
      </c>
      <c r="AB10" s="34">
        <f t="shared" si="29"/>
        <v>-565.78227100000004</v>
      </c>
      <c r="AC10" s="34">
        <f>AB10/$AB$15</f>
        <v>-7.8982714895990916E-2</v>
      </c>
      <c r="AE10" s="31" t="str">
        <f t="shared" si="30"/>
        <v>物管</v>
      </c>
      <c r="AF10" s="35" t="e">
        <f t="shared" si="31"/>
        <v>#DIV/0!</v>
      </c>
      <c r="AG10" s="35" t="e">
        <f t="shared" si="32"/>
        <v>#DIV/0!</v>
      </c>
      <c r="AH10" s="35" t="e">
        <f t="shared" si="33"/>
        <v>#DIV/0!</v>
      </c>
      <c r="AI10" s="35">
        <f t="shared" si="34"/>
        <v>-9.5218121798194542</v>
      </c>
    </row>
    <row r="11" spans="1:35" x14ac:dyDescent="0.3">
      <c r="A11" s="91" t="str">
        <f t="shared" si="7"/>
        <v>水费</v>
      </c>
      <c r="B11" s="96">
        <f t="shared" si="8"/>
        <v>0</v>
      </c>
      <c r="C11" s="97" t="e">
        <f t="shared" si="9"/>
        <v>#DIV/0!</v>
      </c>
      <c r="D11" s="96">
        <f>D26/$A$1</f>
        <v>0</v>
      </c>
      <c r="E11" s="97" t="e">
        <f t="shared" si="11"/>
        <v>#DIV/0!</v>
      </c>
      <c r="F11" s="96">
        <f>F26/$A$1</f>
        <v>7478.1868840000006</v>
      </c>
      <c r="G11" s="97">
        <f t="shared" si="13"/>
        <v>2.0635865112174641E-2</v>
      </c>
      <c r="H11" s="96">
        <f t="shared" si="35"/>
        <v>6844.2221730000001</v>
      </c>
      <c r="I11" s="97">
        <f t="shared" si="36"/>
        <v>2.6993513453014921E-2</v>
      </c>
      <c r="K11" s="31" t="str">
        <f t="shared" si="15"/>
        <v>水费</v>
      </c>
      <c r="L11" s="34">
        <f t="shared" si="16"/>
        <v>0</v>
      </c>
      <c r="M11" s="35" t="e">
        <f t="shared" si="17"/>
        <v>#DIV/0!</v>
      </c>
      <c r="N11" s="34">
        <f t="shared" si="18"/>
        <v>0</v>
      </c>
      <c r="O11" s="35" t="e">
        <f t="shared" si="19"/>
        <v>#DIV/0!</v>
      </c>
      <c r="P11" s="34">
        <f t="shared" si="20"/>
        <v>18166.390549</v>
      </c>
      <c r="Q11" s="35">
        <f t="shared" si="21"/>
        <v>5.1329058313308321E-2</v>
      </c>
      <c r="R11" s="34">
        <f t="shared" si="22"/>
        <v>12333.802497000001</v>
      </c>
      <c r="S11" s="35">
        <f t="shared" si="23"/>
        <v>5.0122146627400117E-2</v>
      </c>
      <c r="U11" s="31" t="str">
        <f t="shared" si="24"/>
        <v>水费</v>
      </c>
      <c r="V11" s="34">
        <f t="shared" si="25"/>
        <v>0</v>
      </c>
      <c r="W11" s="35" t="e">
        <f t="shared" si="26"/>
        <v>#DIV/0!</v>
      </c>
      <c r="X11" s="34">
        <f t="shared" si="6"/>
        <v>0</v>
      </c>
      <c r="Y11" s="35" t="e">
        <f t="shared" si="27"/>
        <v>#DIV/0!</v>
      </c>
      <c r="Z11" s="34">
        <f t="shared" si="6"/>
        <v>-10688.203664999999</v>
      </c>
      <c r="AA11" s="35">
        <f t="shared" si="28"/>
        <v>-1.2622388865469134</v>
      </c>
      <c r="AB11" s="34">
        <f t="shared" ref="AB11" si="37">H11-R11</f>
        <v>-5489.5803240000005</v>
      </c>
      <c r="AC11" s="34">
        <f>AB11/$AB$15</f>
        <v>-0.76634065762222059</v>
      </c>
      <c r="AE11" s="31" t="str">
        <f t="shared" si="30"/>
        <v>水费</v>
      </c>
      <c r="AF11" s="35" t="e">
        <f t="shared" si="31"/>
        <v>#DIV/0!</v>
      </c>
      <c r="AG11" s="35" t="e">
        <f t="shared" si="32"/>
        <v>#DIV/0!</v>
      </c>
      <c r="AH11" s="35">
        <f t="shared" si="33"/>
        <v>-1.4292506767740734</v>
      </c>
      <c r="AI11" s="35">
        <f t="shared" si="34"/>
        <v>-0.80207512047987406</v>
      </c>
    </row>
    <row r="12" spans="1:35" x14ac:dyDescent="0.3">
      <c r="A12" s="91" t="str">
        <f t="shared" si="7"/>
        <v>其他</v>
      </c>
      <c r="B12" s="96">
        <f t="shared" si="8"/>
        <v>0</v>
      </c>
      <c r="C12" s="97" t="e">
        <f t="shared" si="9"/>
        <v>#DIV/0!</v>
      </c>
      <c r="D12" s="96">
        <f>D27/$A$1</f>
        <v>0</v>
      </c>
      <c r="E12" s="97" t="e">
        <f t="shared" si="11"/>
        <v>#DIV/0!</v>
      </c>
      <c r="F12" s="96">
        <f>F27/$A$1</f>
        <v>1345.0156300000001</v>
      </c>
      <c r="G12" s="97">
        <f t="shared" si="13"/>
        <v>3.7115361711314242E-3</v>
      </c>
      <c r="H12" s="96">
        <f t="shared" si="35"/>
        <v>728.76028600000006</v>
      </c>
      <c r="I12" s="97">
        <f t="shared" si="36"/>
        <v>2.8742200482281162E-3</v>
      </c>
      <c r="K12" s="31" t="str">
        <f t="shared" si="15"/>
        <v>其他</v>
      </c>
      <c r="L12" s="34">
        <f t="shared" si="16"/>
        <v>0</v>
      </c>
      <c r="M12" s="35" t="e">
        <f t="shared" si="17"/>
        <v>#DIV/0!</v>
      </c>
      <c r="N12" s="34">
        <f t="shared" si="18"/>
        <v>0</v>
      </c>
      <c r="O12" s="35" t="e">
        <f t="shared" si="19"/>
        <v>#DIV/0!</v>
      </c>
      <c r="P12" s="34">
        <f t="shared" si="20"/>
        <v>2097.741344</v>
      </c>
      <c r="Q12" s="35">
        <f t="shared" si="21"/>
        <v>5.9271591393999252E-3</v>
      </c>
      <c r="R12" s="34">
        <f t="shared" si="22"/>
        <v>727.30298200000004</v>
      </c>
      <c r="S12" s="35">
        <f t="shared" si="23"/>
        <v>2.9556162193464827E-3</v>
      </c>
      <c r="U12" s="31" t="str">
        <f t="shared" si="24"/>
        <v>其他</v>
      </c>
      <c r="V12" s="34">
        <f t="shared" si="25"/>
        <v>0</v>
      </c>
      <c r="W12" s="35" t="e">
        <f t="shared" si="26"/>
        <v>#DIV/0!</v>
      </c>
      <c r="X12" s="34">
        <f t="shared" si="6"/>
        <v>0</v>
      </c>
      <c r="Y12" s="35" t="e">
        <f t="shared" si="27"/>
        <v>#DIV/0!</v>
      </c>
      <c r="Z12" s="34">
        <f t="shared" si="6"/>
        <v>-752.72571399999993</v>
      </c>
      <c r="AA12" s="35">
        <f t="shared" si="28"/>
        <v>-8.8894233015589741E-2</v>
      </c>
      <c r="AB12" s="34"/>
      <c r="AC12" s="34"/>
      <c r="AE12" s="31" t="str">
        <f t="shared" si="30"/>
        <v>其他</v>
      </c>
      <c r="AF12" s="35" t="e">
        <f t="shared" si="31"/>
        <v>#DIV/0!</v>
      </c>
      <c r="AG12" s="35" t="e">
        <f t="shared" si="32"/>
        <v>#DIV/0!</v>
      </c>
      <c r="AH12" s="35">
        <f t="shared" si="33"/>
        <v>-0.559640867519138</v>
      </c>
      <c r="AI12" s="35">
        <f t="shared" si="34"/>
        <v>0</v>
      </c>
    </row>
    <row r="13" spans="1:35" x14ac:dyDescent="0.3">
      <c r="A13" s="91" t="str">
        <f t="shared" si="7"/>
        <v>租赁业务</v>
      </c>
      <c r="B13" s="96">
        <f t="shared" si="8"/>
        <v>0</v>
      </c>
      <c r="C13" s="97" t="e">
        <f t="shared" si="9"/>
        <v>#DIV/0!</v>
      </c>
      <c r="D13" s="96">
        <f t="shared" si="10"/>
        <v>0</v>
      </c>
      <c r="E13" s="97" t="e">
        <f t="shared" si="11"/>
        <v>#DIV/0!</v>
      </c>
      <c r="F13" s="96">
        <f t="shared" si="12"/>
        <v>1010.7100210000001</v>
      </c>
      <c r="G13" s="97">
        <f t="shared" si="13"/>
        <v>2.7890284081431094E-3</v>
      </c>
      <c r="H13" s="96">
        <f t="shared" si="35"/>
        <v>483.54691600000001</v>
      </c>
      <c r="I13" s="97">
        <f t="shared" si="36"/>
        <v>1.9071020566371487E-3</v>
      </c>
      <c r="K13" s="31" t="str">
        <f t="shared" si="15"/>
        <v>租赁业务</v>
      </c>
      <c r="L13" s="34">
        <f t="shared" si="16"/>
        <v>0</v>
      </c>
      <c r="M13" s="35" t="e">
        <f t="shared" si="17"/>
        <v>#DIV/0!</v>
      </c>
      <c r="N13" s="34">
        <f t="shared" si="18"/>
        <v>0</v>
      </c>
      <c r="O13" s="35" t="e">
        <f t="shared" si="19"/>
        <v>#DIV/0!</v>
      </c>
      <c r="P13" s="34">
        <f t="shared" si="20"/>
        <v>313.94302700000003</v>
      </c>
      <c r="Q13" s="35">
        <f t="shared" si="21"/>
        <v>8.8704467166850459E-4</v>
      </c>
      <c r="R13" s="34">
        <f t="shared" si="22"/>
        <v>172.654257</v>
      </c>
      <c r="S13" s="35">
        <f t="shared" si="23"/>
        <v>7.016329300962717E-4</v>
      </c>
      <c r="U13" s="31" t="str">
        <f t="shared" si="24"/>
        <v>租赁业务</v>
      </c>
      <c r="V13" s="34">
        <f t="shared" si="25"/>
        <v>0</v>
      </c>
      <c r="W13" s="35" t="e">
        <f t="shared" si="26"/>
        <v>#DIV/0!</v>
      </c>
      <c r="X13" s="34">
        <f t="shared" si="6"/>
        <v>0</v>
      </c>
      <c r="Y13" s="35" t="e">
        <f t="shared" si="27"/>
        <v>#DIV/0!</v>
      </c>
      <c r="Z13" s="34">
        <f t="shared" si="6"/>
        <v>696.76699400000007</v>
      </c>
      <c r="AA13" s="35">
        <f t="shared" si="28"/>
        <v>8.228570695833573E-2</v>
      </c>
      <c r="AB13" s="34"/>
      <c r="AC13" s="34"/>
      <c r="AE13" s="31" t="str">
        <f t="shared" si="30"/>
        <v>租赁业务</v>
      </c>
      <c r="AF13" s="35" t="e">
        <f t="shared" si="31"/>
        <v>#DIV/0!</v>
      </c>
      <c r="AG13" s="35" t="e">
        <f t="shared" si="32"/>
        <v>#DIV/0!</v>
      </c>
      <c r="AH13" s="35">
        <f t="shared" si="33"/>
        <v>0.68938368030685626</v>
      </c>
      <c r="AI13" s="35">
        <f t="shared" si="34"/>
        <v>0</v>
      </c>
    </row>
    <row r="14" spans="1:35" x14ac:dyDescent="0.3">
      <c r="A14" s="91" t="str">
        <f t="shared" si="7"/>
        <v>其他</v>
      </c>
      <c r="B14" s="96">
        <f t="shared" si="8"/>
        <v>0</v>
      </c>
      <c r="C14" s="97" t="e">
        <f t="shared" si="9"/>
        <v>#DIV/0!</v>
      </c>
      <c r="D14" s="96">
        <f t="shared" si="10"/>
        <v>0</v>
      </c>
      <c r="E14" s="97" t="e">
        <f t="shared" si="11"/>
        <v>#DIV/0!</v>
      </c>
      <c r="F14" s="96">
        <f t="shared" si="12"/>
        <v>168.20164199999999</v>
      </c>
      <c r="G14" s="97">
        <f t="shared" si="13"/>
        <v>4.6414812170375932E-4</v>
      </c>
      <c r="H14" s="96">
        <f>H29/$A$1</f>
        <v>269.03178300000002</v>
      </c>
      <c r="I14" s="97">
        <f t="shared" si="36"/>
        <v>1.0610574686408694E-3</v>
      </c>
      <c r="K14" s="31" t="str">
        <f t="shared" si="15"/>
        <v>其他</v>
      </c>
      <c r="L14" s="34">
        <f t="shared" si="16"/>
        <v>0</v>
      </c>
      <c r="M14" s="35" t="e">
        <f t="shared" si="17"/>
        <v>#DIV/0!</v>
      </c>
      <c r="N14" s="34">
        <f t="shared" si="18"/>
        <v>0</v>
      </c>
      <c r="O14" s="35" t="e">
        <f t="shared" si="19"/>
        <v>#DIV/0!</v>
      </c>
      <c r="P14" s="34">
        <f t="shared" si="20"/>
        <v>296.19499999999999</v>
      </c>
      <c r="Q14" s="35">
        <f t="shared" si="21"/>
        <v>8.3689769776237996E-4</v>
      </c>
      <c r="R14" s="34">
        <f t="shared" si="22"/>
        <v>0</v>
      </c>
      <c r="S14" s="35">
        <f t="shared" si="23"/>
        <v>0</v>
      </c>
      <c r="U14" s="31" t="str">
        <f t="shared" si="24"/>
        <v>其他</v>
      </c>
      <c r="V14" s="34">
        <f t="shared" si="25"/>
        <v>0</v>
      </c>
      <c r="W14" s="35" t="e">
        <f t="shared" si="26"/>
        <v>#DIV/0!</v>
      </c>
      <c r="X14" s="34">
        <f t="shared" si="6"/>
        <v>0</v>
      </c>
      <c r="Y14" s="35" t="e">
        <f t="shared" si="27"/>
        <v>#DIV/0!</v>
      </c>
      <c r="Z14" s="34">
        <f t="shared" si="6"/>
        <v>-127.993358</v>
      </c>
      <c r="AA14" s="35">
        <f t="shared" si="28"/>
        <v>-1.5115560925954761E-2</v>
      </c>
      <c r="AB14" s="34">
        <f t="shared" si="29"/>
        <v>269.03178300000002</v>
      </c>
      <c r="AC14" s="34">
        <f>AB14/$AB$15</f>
        <v>3.7556603845314014E-2</v>
      </c>
      <c r="AE14" s="31" t="str">
        <f t="shared" si="30"/>
        <v>其他</v>
      </c>
      <c r="AF14" s="35" t="e">
        <f t="shared" si="31"/>
        <v>#DIV/0!</v>
      </c>
      <c r="AG14" s="35" t="e">
        <f t="shared" si="32"/>
        <v>#DIV/0!</v>
      </c>
      <c r="AH14" s="35">
        <f t="shared" si="33"/>
        <v>-0.76095189368008676</v>
      </c>
      <c r="AI14" s="35">
        <f t="shared" si="34"/>
        <v>1</v>
      </c>
    </row>
    <row r="15" spans="1:35" s="43" customFormat="1" x14ac:dyDescent="0.3">
      <c r="A15" s="95" t="s">
        <v>272</v>
      </c>
      <c r="B15" s="94">
        <f>SUM(B5:B14)</f>
        <v>0</v>
      </c>
      <c r="C15" s="98" t="e">
        <f t="shared" ref="C15:F15" si="38">SUM(C5:C14)</f>
        <v>#DIV/0!</v>
      </c>
      <c r="D15" s="94">
        <f t="shared" si="38"/>
        <v>0</v>
      </c>
      <c r="E15" s="98" t="e">
        <f t="shared" si="38"/>
        <v>#DIV/0!</v>
      </c>
      <c r="F15" s="94">
        <f t="shared" si="38"/>
        <v>362387.85451199999</v>
      </c>
      <c r="G15" s="98">
        <f t="shared" ref="G15:S15" si="39">SUM(G5:G14)</f>
        <v>1</v>
      </c>
      <c r="H15" s="94">
        <f t="shared" si="39"/>
        <v>253550.62374199997</v>
      </c>
      <c r="I15" s="104">
        <f t="shared" si="39"/>
        <v>1.0000000000000002</v>
      </c>
      <c r="J15" s="24"/>
      <c r="K15" s="104" t="str">
        <f t="shared" ref="K15" si="40">A15</f>
        <v>合计</v>
      </c>
      <c r="L15" s="94">
        <f>SUM(L5:L14)</f>
        <v>0</v>
      </c>
      <c r="M15" s="98" t="e">
        <f t="shared" si="39"/>
        <v>#DIV/0!</v>
      </c>
      <c r="N15" s="94">
        <f t="shared" si="39"/>
        <v>0</v>
      </c>
      <c r="O15" s="98" t="e">
        <f t="shared" si="39"/>
        <v>#DIV/0!</v>
      </c>
      <c r="P15" s="94">
        <f t="shared" si="39"/>
        <v>353920.19931700005</v>
      </c>
      <c r="Q15" s="98">
        <f t="shared" si="39"/>
        <v>1</v>
      </c>
      <c r="R15" s="94">
        <f t="shared" si="39"/>
        <v>246074.90554399998</v>
      </c>
      <c r="S15" s="98">
        <f t="shared" si="39"/>
        <v>1</v>
      </c>
      <c r="U15" s="28" t="str">
        <f t="shared" ref="U15" si="41">A15</f>
        <v>合计</v>
      </c>
      <c r="V15" s="34">
        <f>SUM(V5:V14)</f>
        <v>0</v>
      </c>
      <c r="W15" s="35" t="e">
        <f t="shared" si="26"/>
        <v>#DIV/0!</v>
      </c>
      <c r="X15" s="34">
        <f>SUM(X5:X14)</f>
        <v>0</v>
      </c>
      <c r="Y15" s="35" t="e">
        <f t="shared" ref="Y15:AC15" si="42">SUM(Y5:Y14)</f>
        <v>#DIV/0!</v>
      </c>
      <c r="Z15" s="34">
        <f t="shared" si="42"/>
        <v>8467.6551950000103</v>
      </c>
      <c r="AA15" s="35">
        <f t="shared" si="42"/>
        <v>1</v>
      </c>
      <c r="AB15" s="34">
        <f t="shared" si="42"/>
        <v>7163.3682349999672</v>
      </c>
      <c r="AC15" s="34">
        <f t="shared" si="42"/>
        <v>1</v>
      </c>
      <c r="AE15" s="28" t="str">
        <f t="shared" ref="AE15" si="43">A15</f>
        <v>合计</v>
      </c>
      <c r="AF15" s="35" t="e">
        <f t="shared" ref="AF15" si="44">V15/B15</f>
        <v>#DIV/0!</v>
      </c>
      <c r="AG15" s="35" t="e">
        <f t="shared" ref="AG15" si="45">X15/D15</f>
        <v>#DIV/0!</v>
      </c>
      <c r="AH15" s="35">
        <f t="shared" ref="AH15" si="46">Z15/F15</f>
        <v>2.3366277565794125E-2</v>
      </c>
      <c r="AI15" s="35">
        <f t="shared" si="34"/>
        <v>2.8252220914625086E-2</v>
      </c>
    </row>
    <row r="16" spans="1:35" x14ac:dyDescent="0.3">
      <c r="B16" s="25">
        <f>'合并-is'!B4</f>
        <v>105582.91987300001</v>
      </c>
      <c r="D16" s="25">
        <f>'合并-is'!C4</f>
        <v>304366.00656999997</v>
      </c>
      <c r="F16" s="25">
        <f>'合并-is'!D4</f>
        <v>362387.85451199999</v>
      </c>
      <c r="H16" s="25">
        <f>'合并-is'!E4</f>
        <v>253550.623742</v>
      </c>
      <c r="L16" s="25">
        <f>'合并-is'!B9</f>
        <v>113023.02680599999</v>
      </c>
      <c r="N16" s="25">
        <f>'合并-is'!C9</f>
        <v>299435.49200799997</v>
      </c>
      <c r="P16" s="25">
        <f>'合并-is'!D9</f>
        <v>353920.19931699999</v>
      </c>
      <c r="R16" s="25">
        <f>'合并-is'!E9</f>
        <v>246074.90552299999</v>
      </c>
    </row>
    <row r="17" spans="1:36" x14ac:dyDescent="0.3">
      <c r="D17" s="25"/>
    </row>
    <row r="18" spans="1:36" x14ac:dyDescent="0.3">
      <c r="A18" s="452" t="s">
        <v>278</v>
      </c>
      <c r="B18" s="451" t="str">
        <f>B3</f>
        <v>2024年1-9月</v>
      </c>
      <c r="C18" s="452"/>
      <c r="D18" s="451" t="str">
        <f t="shared" ref="D18" si="47">D3</f>
        <v>2023年度</v>
      </c>
      <c r="E18" s="452"/>
      <c r="F18" s="451" t="str">
        <f t="shared" ref="F18" si="48">F3</f>
        <v>2022年度</v>
      </c>
      <c r="G18" s="452"/>
      <c r="H18" s="451" t="str">
        <f t="shared" ref="H18" si="49">H3</f>
        <v>2021年度</v>
      </c>
      <c r="I18" s="452"/>
      <c r="K18" s="452" t="s">
        <v>278</v>
      </c>
      <c r="L18" s="451" t="str">
        <f>B18</f>
        <v>2024年1-9月</v>
      </c>
      <c r="M18" s="452"/>
      <c r="N18" s="451" t="str">
        <f t="shared" ref="N18" si="50">D18</f>
        <v>2023年度</v>
      </c>
      <c r="O18" s="452"/>
      <c r="P18" s="451" t="str">
        <f t="shared" ref="P18" si="51">F18</f>
        <v>2022年度</v>
      </c>
      <c r="Q18" s="452"/>
      <c r="R18" s="451" t="str">
        <f t="shared" ref="R18" si="52">H18</f>
        <v>2021年度</v>
      </c>
      <c r="S18" s="452"/>
      <c r="X18" s="26"/>
      <c r="Y18" s="26"/>
      <c r="Z18" s="26"/>
      <c r="AE18" s="24" t="s">
        <v>1060</v>
      </c>
      <c r="AF18" s="26" t="e">
        <f>SUM(V5:V11)/SUM(B5:B11)</f>
        <v>#DIV/0!</v>
      </c>
      <c r="AG18" s="26"/>
      <c r="AH18" s="26" t="e">
        <f t="shared" ref="AH18:AJ18" si="53">SUM(X5:X11)/SUM(D5:D11)</f>
        <v>#DIV/0!</v>
      </c>
      <c r="AI18" s="26"/>
      <c r="AJ18" s="26">
        <f t="shared" si="53"/>
        <v>2.404132956548034E-2</v>
      </c>
    </row>
    <row r="19" spans="1:36" x14ac:dyDescent="0.3">
      <c r="A19" s="452"/>
      <c r="B19" s="99" t="s">
        <v>729</v>
      </c>
      <c r="C19" s="99" t="s">
        <v>763</v>
      </c>
      <c r="D19" s="99" t="s">
        <v>729</v>
      </c>
      <c r="E19" s="99" t="s">
        <v>763</v>
      </c>
      <c r="F19" s="99" t="s">
        <v>729</v>
      </c>
      <c r="G19" s="99" t="s">
        <v>763</v>
      </c>
      <c r="H19" s="99" t="s">
        <v>729</v>
      </c>
      <c r="I19" s="99" t="s">
        <v>763</v>
      </c>
      <c r="K19" s="452"/>
      <c r="L19" s="99" t="s">
        <v>729</v>
      </c>
      <c r="M19" s="99" t="s">
        <v>763</v>
      </c>
      <c r="N19" s="99" t="s">
        <v>729</v>
      </c>
      <c r="O19" s="99" t="s">
        <v>763</v>
      </c>
      <c r="P19" s="99" t="s">
        <v>729</v>
      </c>
      <c r="Q19" s="99" t="s">
        <v>763</v>
      </c>
      <c r="R19" s="99" t="s">
        <v>729</v>
      </c>
      <c r="S19" s="99" t="s">
        <v>763</v>
      </c>
      <c r="X19" s="26">
        <f>X5/'合并-is'!C41</f>
        <v>0</v>
      </c>
      <c r="Y19" s="26"/>
      <c r="Z19" s="26">
        <f>Z5/'合并-is'!D41</f>
        <v>7.6343051529885256E-2</v>
      </c>
      <c r="AE19" s="24" t="s">
        <v>1061</v>
      </c>
      <c r="AF19" s="26" t="e">
        <f>SUM(V12:V14)/SUM(B12:B14)</f>
        <v>#DIV/0!</v>
      </c>
      <c r="AG19" s="26"/>
      <c r="AH19" s="26" t="e">
        <f t="shared" ref="AH19:AJ19" si="54">SUM(X12:X14)/SUM(D12:D14)</f>
        <v>#DIV/0!</v>
      </c>
      <c r="AI19" s="26"/>
      <c r="AJ19" s="26">
        <f t="shared" si="54"/>
        <v>-7.2883271443746719E-2</v>
      </c>
    </row>
    <row r="20" spans="1:36" x14ac:dyDescent="0.3">
      <c r="A20" s="100" t="s">
        <v>1062</v>
      </c>
      <c r="B20" s="101"/>
      <c r="C20" s="102"/>
      <c r="D20" s="101"/>
      <c r="E20" s="102"/>
      <c r="F20" s="101">
        <v>884585953.94000006</v>
      </c>
      <c r="G20" s="102"/>
      <c r="H20" s="101">
        <v>677571675.04999995</v>
      </c>
      <c r="I20" s="102"/>
      <c r="K20" s="105" t="str">
        <f>A20</f>
        <v>房屋销售</v>
      </c>
      <c r="L20" s="106"/>
      <c r="M20" s="106"/>
      <c r="N20" s="106"/>
      <c r="O20" s="106"/>
      <c r="P20" s="106">
        <v>859423730.70000005</v>
      </c>
      <c r="Q20" s="108"/>
      <c r="R20" s="109">
        <v>572292469.52999997</v>
      </c>
      <c r="S20" s="105"/>
      <c r="X20" s="26"/>
      <c r="Y20" s="26"/>
      <c r="Z20" s="26"/>
    </row>
    <row r="21" spans="1:36" x14ac:dyDescent="0.3">
      <c r="A21" s="100" t="s">
        <v>1063</v>
      </c>
      <c r="B21" s="101"/>
      <c r="C21" s="102"/>
      <c r="D21" s="101"/>
      <c r="E21" s="102"/>
      <c r="F21" s="101">
        <v>1745142024.5999999</v>
      </c>
      <c r="G21" s="102"/>
      <c r="H21" s="101">
        <v>1754196671.0799999</v>
      </c>
      <c r="I21" s="102"/>
      <c r="K21" s="105" t="str">
        <f t="shared" ref="K21:K29" si="55">A21</f>
        <v>粮食销售</v>
      </c>
      <c r="L21" s="106"/>
      <c r="M21" s="106"/>
      <c r="N21" s="106"/>
      <c r="O21" s="106"/>
      <c r="P21" s="106">
        <v>1717923908.76</v>
      </c>
      <c r="Q21" s="108"/>
      <c r="R21" s="109">
        <v>1731296718.1300001</v>
      </c>
      <c r="S21" s="105"/>
    </row>
    <row r="22" spans="1:36" x14ac:dyDescent="0.3">
      <c r="A22" s="100" t="s">
        <v>1064</v>
      </c>
      <c r="B22" s="101"/>
      <c r="C22" s="102"/>
      <c r="D22" s="101"/>
      <c r="E22" s="102"/>
      <c r="F22" s="101">
        <v>835748623.85000002</v>
      </c>
      <c r="G22" s="102"/>
      <c r="H22" s="101">
        <v>0</v>
      </c>
      <c r="I22" s="102"/>
      <c r="K22" s="105" t="s">
        <v>1064</v>
      </c>
      <c r="L22" s="106"/>
      <c r="M22" s="106"/>
      <c r="N22" s="106"/>
      <c r="O22" s="106"/>
      <c r="P22" s="106">
        <v>712244711.20000005</v>
      </c>
      <c r="Q22" s="108"/>
      <c r="R22" s="109">
        <v>0</v>
      </c>
      <c r="S22" s="105"/>
    </row>
    <row r="23" spans="1:36" x14ac:dyDescent="0.3">
      <c r="A23" s="100" t="s">
        <v>1065</v>
      </c>
      <c r="B23" s="101"/>
      <c r="C23" s="102"/>
      <c r="D23" s="101"/>
      <c r="E23" s="102"/>
      <c r="F23" s="101">
        <v>30543836.199999999</v>
      </c>
      <c r="G23" s="102"/>
      <c r="H23" s="101">
        <v>19888083.710000001</v>
      </c>
      <c r="I23" s="102"/>
      <c r="K23" s="105" t="str">
        <f t="shared" si="55"/>
        <v>工程施工</v>
      </c>
      <c r="L23" s="106"/>
      <c r="M23" s="106"/>
      <c r="N23" s="106"/>
      <c r="O23" s="106"/>
      <c r="P23" s="106">
        <v>21585259.32</v>
      </c>
      <c r="Q23" s="108"/>
      <c r="R23" s="109">
        <v>18570251.710000001</v>
      </c>
      <c r="S23" s="105"/>
    </row>
    <row r="24" spans="1:36" x14ac:dyDescent="0.3">
      <c r="A24" s="100" t="s">
        <v>1066</v>
      </c>
      <c r="B24" s="101"/>
      <c r="C24" s="102"/>
      <c r="D24" s="101"/>
      <c r="E24" s="102"/>
      <c r="F24" s="101">
        <v>27836964.760000002</v>
      </c>
      <c r="G24" s="102"/>
      <c r="H24" s="101"/>
      <c r="I24" s="102"/>
      <c r="K24" s="105" t="str">
        <f t="shared" si="55"/>
        <v>绿化养护</v>
      </c>
      <c r="L24" s="106"/>
      <c r="M24" s="106"/>
      <c r="N24" s="106"/>
      <c r="O24" s="106"/>
      <c r="P24" s="106">
        <v>19281683.989999998</v>
      </c>
      <c r="Q24" s="108"/>
      <c r="R24" s="105">
        <v>0</v>
      </c>
      <c r="S24" s="105"/>
    </row>
    <row r="25" spans="1:36" x14ac:dyDescent="0.3">
      <c r="A25" s="100" t="s">
        <v>1067</v>
      </c>
      <c r="B25" s="101"/>
      <c r="C25" s="102"/>
      <c r="D25" s="101"/>
      <c r="E25" s="102"/>
      <c r="F25" s="101">
        <v>0</v>
      </c>
      <c r="G25" s="102"/>
      <c r="H25" s="101">
        <v>594196</v>
      </c>
      <c r="I25" s="102"/>
      <c r="K25" s="105" t="str">
        <f t="shared" si="55"/>
        <v>物管</v>
      </c>
      <c r="L25" s="106"/>
      <c r="M25" s="106"/>
      <c r="N25" s="106"/>
      <c r="O25" s="106"/>
      <c r="P25" s="106">
        <v>0</v>
      </c>
      <c r="Q25" s="105"/>
      <c r="R25" s="109">
        <v>6252018.71</v>
      </c>
      <c r="S25" s="105"/>
    </row>
    <row r="26" spans="1:36" x14ac:dyDescent="0.3">
      <c r="A26" s="100" t="s">
        <v>1068</v>
      </c>
      <c r="B26" s="101"/>
      <c r="C26" s="102"/>
      <c r="D26" s="101"/>
      <c r="E26" s="102"/>
      <c r="F26" s="101">
        <v>74781868.840000004</v>
      </c>
      <c r="G26" s="100"/>
      <c r="H26" s="101">
        <v>68442221.730000004</v>
      </c>
      <c r="I26" s="102"/>
      <c r="K26" s="105" t="str">
        <f t="shared" si="55"/>
        <v>水费</v>
      </c>
      <c r="L26" s="106"/>
      <c r="M26" s="106"/>
      <c r="N26" s="106"/>
      <c r="O26" s="106"/>
      <c r="P26" s="106">
        <v>181663905.49000001</v>
      </c>
      <c r="Q26" s="105"/>
      <c r="R26" s="109">
        <v>123338024.97</v>
      </c>
      <c r="S26" s="105"/>
    </row>
    <row r="27" spans="1:36" x14ac:dyDescent="0.3">
      <c r="A27" s="100" t="s">
        <v>247</v>
      </c>
      <c r="B27" s="101"/>
      <c r="C27" s="100"/>
      <c r="D27" s="101"/>
      <c r="E27" s="100"/>
      <c r="F27" s="101">
        <v>13450156.300000001</v>
      </c>
      <c r="G27" s="102"/>
      <c r="H27" s="101">
        <v>7287602.8600000003</v>
      </c>
      <c r="I27" s="102"/>
      <c r="K27" s="105" t="str">
        <f t="shared" si="55"/>
        <v>其他</v>
      </c>
      <c r="L27" s="106"/>
      <c r="M27" s="106"/>
      <c r="N27" s="106"/>
      <c r="O27" s="106"/>
      <c r="P27" s="106">
        <v>20977413.440000001</v>
      </c>
      <c r="Q27" s="105"/>
      <c r="R27" s="109">
        <v>7273029.8200000003</v>
      </c>
      <c r="S27" s="105"/>
    </row>
    <row r="28" spans="1:36" x14ac:dyDescent="0.3">
      <c r="A28" s="100" t="s">
        <v>1069</v>
      </c>
      <c r="B28" s="101"/>
      <c r="C28" s="102"/>
      <c r="D28" s="101"/>
      <c r="E28" s="102"/>
      <c r="F28" s="101">
        <v>10107100.210000001</v>
      </c>
      <c r="G28" s="102"/>
      <c r="H28" s="101">
        <v>4835469.16</v>
      </c>
      <c r="I28" s="102"/>
      <c r="K28" s="105" t="str">
        <f t="shared" si="55"/>
        <v>租赁业务</v>
      </c>
      <c r="L28" s="106"/>
      <c r="M28" s="106"/>
      <c r="N28" s="106"/>
      <c r="O28" s="106"/>
      <c r="P28" s="106">
        <v>3139430.27</v>
      </c>
      <c r="Q28" s="105"/>
      <c r="R28" s="109">
        <v>1726542.57</v>
      </c>
      <c r="S28" s="105"/>
    </row>
    <row r="29" spans="1:36" x14ac:dyDescent="0.3">
      <c r="A29" s="100" t="s">
        <v>247</v>
      </c>
      <c r="B29" s="101"/>
      <c r="C29" s="102"/>
      <c r="D29" s="101"/>
      <c r="E29" s="102"/>
      <c r="F29" s="101">
        <v>1682016.42</v>
      </c>
      <c r="G29" s="102"/>
      <c r="H29" s="101">
        <v>2690317.83</v>
      </c>
      <c r="I29" s="102"/>
      <c r="K29" s="105" t="str">
        <f t="shared" si="55"/>
        <v>其他</v>
      </c>
      <c r="L29" s="106"/>
      <c r="M29" s="106"/>
      <c r="N29" s="106"/>
      <c r="O29" s="106"/>
      <c r="P29" s="106">
        <v>2961950</v>
      </c>
      <c r="Q29" s="105"/>
      <c r="R29" s="105">
        <v>0</v>
      </c>
      <c r="S29" s="105"/>
    </row>
    <row r="31" spans="1:36" x14ac:dyDescent="0.3">
      <c r="A31" s="31"/>
      <c r="B31" s="432" t="str">
        <f>'合并-is'!$C$2&amp;"相比"&amp;'合并-is'!$D$2</f>
        <v>2023年度相比2022年度</v>
      </c>
      <c r="C31" s="432"/>
      <c r="D31" s="432"/>
      <c r="E31" s="432" t="str">
        <f>'合并-is'!$D$2&amp;"相比"&amp;'合并-is'!$E$2</f>
        <v>2022年度相比2021年度</v>
      </c>
      <c r="F31" s="432"/>
      <c r="G31" s="432"/>
      <c r="K31" s="31"/>
      <c r="L31" s="432" t="str">
        <f>'合并-is'!$C$2&amp;"相比"&amp;'合并-is'!$D$2</f>
        <v>2023年度相比2022年度</v>
      </c>
      <c r="M31" s="432"/>
      <c r="N31" s="432"/>
      <c r="O31" s="432" t="str">
        <f>'合并-is'!$D$2&amp;"相比"&amp;'合并-is'!$E$2</f>
        <v>2022年度相比2021年度</v>
      </c>
      <c r="P31" s="432"/>
      <c r="Q31" s="432"/>
      <c r="U31" s="31"/>
      <c r="V31" s="432" t="str">
        <f>'合并-is'!$C$2&amp;"相比"&amp;'合并-is'!$D$2</f>
        <v>2023年度相比2022年度</v>
      </c>
      <c r="W31" s="432"/>
      <c r="X31" s="432"/>
      <c r="Y31" s="432" t="str">
        <f>'合并-is'!$D$2&amp;"相比"&amp;'合并-is'!$E$2</f>
        <v>2022年度相比2021年度</v>
      </c>
      <c r="Z31" s="432"/>
      <c r="AA31" s="432"/>
    </row>
    <row r="32" spans="1:36" x14ac:dyDescent="0.3">
      <c r="A32" s="31"/>
      <c r="B32" s="34" t="s">
        <v>1070</v>
      </c>
      <c r="C32" s="34" t="s">
        <v>740</v>
      </c>
      <c r="D32" s="34" t="s">
        <v>1071</v>
      </c>
      <c r="E32" s="34" t="s">
        <v>1070</v>
      </c>
      <c r="F32" s="34" t="s">
        <v>740</v>
      </c>
      <c r="G32" s="34" t="s">
        <v>1071</v>
      </c>
      <c r="K32" s="31"/>
      <c r="L32" s="34" t="s">
        <v>1070</v>
      </c>
      <c r="M32" s="34" t="s">
        <v>740</v>
      </c>
      <c r="N32" s="34" t="s">
        <v>1071</v>
      </c>
      <c r="O32" s="34" t="s">
        <v>1070</v>
      </c>
      <c r="P32" s="34" t="s">
        <v>740</v>
      </c>
      <c r="Q32" s="34" t="s">
        <v>1071</v>
      </c>
      <c r="U32" s="31"/>
      <c r="V32" s="34" t="s">
        <v>1070</v>
      </c>
      <c r="W32" s="34" t="s">
        <v>740</v>
      </c>
      <c r="X32" s="34" t="s">
        <v>1071</v>
      </c>
      <c r="Y32" s="34" t="s">
        <v>1070</v>
      </c>
      <c r="Z32" s="34" t="s">
        <v>740</v>
      </c>
      <c r="AA32" s="34" t="s">
        <v>1071</v>
      </c>
    </row>
    <row r="33" spans="1:27" x14ac:dyDescent="0.3">
      <c r="A33" s="31" t="str">
        <f>A5</f>
        <v>房屋销售</v>
      </c>
      <c r="B33" s="34">
        <f>D5-F5</f>
        <v>-88458.595394000004</v>
      </c>
      <c r="C33" s="35">
        <f>B33/F5</f>
        <v>-1</v>
      </c>
      <c r="D33" s="103"/>
      <c r="E33" s="34">
        <f>F5-H5</f>
        <v>20701.427889000013</v>
      </c>
      <c r="F33" s="31">
        <f>E33/H5</f>
        <v>0.30552380879074376</v>
      </c>
      <c r="G33" s="103"/>
      <c r="K33" s="31" t="str">
        <f>K5</f>
        <v>房屋销售</v>
      </c>
      <c r="L33" s="34">
        <f>N5-P5</f>
        <v>-85942.373070000001</v>
      </c>
      <c r="M33" s="35">
        <f>L33/P5</f>
        <v>-1</v>
      </c>
      <c r="N33" s="107"/>
      <c r="O33" s="34">
        <f>P5-R5</f>
        <v>28713.126117000007</v>
      </c>
      <c r="P33" s="31">
        <f>O33/R5</f>
        <v>0.50172119407024363</v>
      </c>
      <c r="Q33" s="107"/>
      <c r="U33" s="31" t="str">
        <f>U5</f>
        <v>房屋销售</v>
      </c>
      <c r="V33" s="34">
        <f>X5-Z5</f>
        <v>-2516.2223240000021</v>
      </c>
      <c r="W33" s="35">
        <f>V33/Z5</f>
        <v>-1</v>
      </c>
      <c r="X33" s="31"/>
      <c r="Y33" s="34">
        <f>Z5-AB5</f>
        <v>-8011.6982279999938</v>
      </c>
      <c r="Z33" s="31">
        <f>Y33/AB5</f>
        <v>-0.76099531606723669</v>
      </c>
      <c r="AA33" s="31"/>
    </row>
    <row r="34" spans="1:27" x14ac:dyDescent="0.3">
      <c r="A34" s="31" t="str">
        <f>A6</f>
        <v>粮食销售</v>
      </c>
      <c r="B34" s="34">
        <f>D6-F6</f>
        <v>-174514.20246</v>
      </c>
      <c r="C34" s="35">
        <f>B34/F6</f>
        <v>-1</v>
      </c>
      <c r="D34" s="103"/>
      <c r="E34" s="34">
        <f>F6-H6</f>
        <v>-905.46464799999376</v>
      </c>
      <c r="F34" s="31">
        <f>E34/H6</f>
        <v>-5.1617054286309276E-3</v>
      </c>
      <c r="G34" s="103"/>
      <c r="K34" s="31" t="str">
        <f>K6</f>
        <v>粮食销售</v>
      </c>
      <c r="L34" s="34">
        <f>N6-P6</f>
        <v>-171792.39087599999</v>
      </c>
      <c r="M34" s="35">
        <f>L34/P6</f>
        <v>-1</v>
      </c>
      <c r="N34" s="107"/>
      <c r="O34" s="34">
        <f>P6-R6</f>
        <v>-1337.2809370000323</v>
      </c>
      <c r="P34" s="31">
        <f>O34/R6</f>
        <v>-7.7241579851456636E-3</v>
      </c>
      <c r="Q34" s="107"/>
      <c r="U34" s="31" t="str">
        <f>U6</f>
        <v>粮食销售</v>
      </c>
      <c r="V34" s="34">
        <f>X6-Z6</f>
        <v>-2721.81158400001</v>
      </c>
      <c r="W34" s="35">
        <f>V34/Z6</f>
        <v>-1</v>
      </c>
      <c r="X34" s="31"/>
      <c r="Y34" s="34">
        <f>Z6-AB6</f>
        <v>431.81628900003852</v>
      </c>
      <c r="Z34" s="31">
        <f>Y34/AB6</f>
        <v>0.18856645249135495</v>
      </c>
      <c r="AA34" s="31"/>
    </row>
    <row r="35" spans="1:27" x14ac:dyDescent="0.3">
      <c r="A35" s="31" t="str">
        <f>A8</f>
        <v>工程施工</v>
      </c>
      <c r="B35" s="34">
        <f>D8-F8</f>
        <v>-3054.3836200000001</v>
      </c>
      <c r="C35" s="35">
        <f>B35/F8</f>
        <v>-1</v>
      </c>
      <c r="D35" s="103"/>
      <c r="E35" s="34">
        <f>F8-H8</f>
        <v>1065.575249</v>
      </c>
      <c r="F35" s="31">
        <f>E35/H8</f>
        <v>0.53578578234976659</v>
      </c>
      <c r="G35" s="103"/>
      <c r="K35" s="31" t="str">
        <f>K8</f>
        <v>工程施工</v>
      </c>
      <c r="L35" s="34">
        <f>N8-P8</f>
        <v>-2158.525932</v>
      </c>
      <c r="M35" s="35">
        <f>L35/P8</f>
        <v>-1</v>
      </c>
      <c r="N35" s="107"/>
      <c r="O35" s="34">
        <f>P8-R8</f>
        <v>301.50076100000001</v>
      </c>
      <c r="P35" s="31">
        <f>O35/R8</f>
        <v>0.1623568520816781</v>
      </c>
      <c r="Q35" s="107"/>
      <c r="U35" s="31" t="str">
        <f>U8</f>
        <v>工程施工</v>
      </c>
      <c r="V35" s="34">
        <f>X8-Z8</f>
        <v>-895.85768800000005</v>
      </c>
      <c r="W35" s="35">
        <f>V35/Z8</f>
        <v>-1</v>
      </c>
      <c r="X35" s="31"/>
      <c r="Y35" s="34">
        <f>Z8-AB8</f>
        <v>764.07448799999997</v>
      </c>
      <c r="Z35" s="31">
        <f>Y35/AB8</f>
        <v>5.7979658105130207</v>
      </c>
      <c r="AA35" s="31"/>
    </row>
    <row r="36" spans="1:27" x14ac:dyDescent="0.3">
      <c r="A36" s="31" t="str">
        <f>A9</f>
        <v>绿化养护</v>
      </c>
      <c r="B36" s="34">
        <f>D9-F9</f>
        <v>-2783.6964760000001</v>
      </c>
      <c r="C36" s="35">
        <f>B36/F9</f>
        <v>-1</v>
      </c>
      <c r="D36" s="103"/>
      <c r="E36" s="34">
        <f>F9-H9</f>
        <v>2783.6964760000001</v>
      </c>
      <c r="F36" s="31" t="e">
        <f>E36/H9</f>
        <v>#DIV/0!</v>
      </c>
      <c r="G36" s="103"/>
      <c r="K36" s="31" t="str">
        <f>K9</f>
        <v>绿化养护</v>
      </c>
      <c r="L36" s="34">
        <f>N9-P9</f>
        <v>-1928.1683989999999</v>
      </c>
      <c r="M36" s="35">
        <f>L36/P9</f>
        <v>-1</v>
      </c>
      <c r="N36" s="107"/>
      <c r="O36" s="34">
        <f>P9-R9</f>
        <v>1928.1683989999999</v>
      </c>
      <c r="P36" s="31" t="e">
        <f>O36/R9</f>
        <v>#DIV/0!</v>
      </c>
      <c r="Q36" s="107"/>
      <c r="U36" s="31" t="str">
        <f>U9</f>
        <v>绿化养护</v>
      </c>
      <c r="V36" s="34">
        <f>X9-Z9</f>
        <v>-855.52807700000017</v>
      </c>
      <c r="W36" s="35">
        <f>V36/Z9</f>
        <v>-1</v>
      </c>
      <c r="X36" s="31"/>
      <c r="Y36" s="34">
        <f>Z9-AB9</f>
        <v>855.52807700000017</v>
      </c>
      <c r="Z36" s="31" t="e">
        <f>Y36/AB9</f>
        <v>#DIV/0!</v>
      </c>
      <c r="AA36" s="31"/>
    </row>
    <row r="37" spans="1:27" x14ac:dyDescent="0.3">
      <c r="A37" s="31" t="str">
        <f>A10</f>
        <v>物管</v>
      </c>
      <c r="B37" s="34">
        <f>D10-F10</f>
        <v>0</v>
      </c>
      <c r="C37" s="35" t="e">
        <f>B37/F10</f>
        <v>#DIV/0!</v>
      </c>
      <c r="D37" s="103"/>
      <c r="E37" s="34">
        <f>F10-H10</f>
        <v>-59.419600000000003</v>
      </c>
      <c r="F37" s="31">
        <f>E37/H10</f>
        <v>-1</v>
      </c>
      <c r="G37" s="103"/>
      <c r="K37" s="31" t="str">
        <f>K10</f>
        <v>物管</v>
      </c>
      <c r="L37" s="34">
        <f>N10-P10</f>
        <v>0</v>
      </c>
      <c r="M37" s="35" t="e">
        <f>L37/P10</f>
        <v>#DIV/0!</v>
      </c>
      <c r="N37" s="107"/>
      <c r="O37" s="34">
        <f>P10-R10</f>
        <v>-625.20187099999998</v>
      </c>
      <c r="P37" s="31">
        <f>O37/R10</f>
        <v>-1</v>
      </c>
      <c r="Q37" s="107"/>
      <c r="U37" s="31" t="str">
        <f>U10</f>
        <v>物管</v>
      </c>
      <c r="V37" s="34">
        <f>X10-Z10</f>
        <v>0</v>
      </c>
      <c r="W37" s="35" t="e">
        <f>V37/Z10</f>
        <v>#DIV/0!</v>
      </c>
      <c r="X37" s="31"/>
      <c r="Y37" s="34">
        <f>Z10-AB10</f>
        <v>565.78227100000004</v>
      </c>
      <c r="Z37" s="31">
        <f>Y37/AB10</f>
        <v>-1</v>
      </c>
      <c r="AA37" s="31"/>
    </row>
    <row r="38" spans="1:27" x14ac:dyDescent="0.3">
      <c r="A38" s="31" t="str">
        <f>A11</f>
        <v>水费</v>
      </c>
      <c r="B38" s="34">
        <f>D11-F11</f>
        <v>-7478.1868840000006</v>
      </c>
      <c r="C38" s="35">
        <f>B38/F11</f>
        <v>-1</v>
      </c>
      <c r="D38" s="103"/>
      <c r="E38" s="34">
        <f>F11-H11</f>
        <v>633.96471100000053</v>
      </c>
      <c r="F38" s="31">
        <f>E38/H11</f>
        <v>9.2627722329200385E-2</v>
      </c>
      <c r="G38" s="103"/>
      <c r="K38" s="31" t="str">
        <f>K11</f>
        <v>水费</v>
      </c>
      <c r="L38" s="34">
        <f>N11-P11</f>
        <v>-18166.390549</v>
      </c>
      <c r="M38" s="35">
        <f>L38/P11</f>
        <v>-1</v>
      </c>
      <c r="N38" s="107"/>
      <c r="O38" s="34">
        <f>P11-R11</f>
        <v>5832.5880519999992</v>
      </c>
      <c r="P38" s="31">
        <f>O38/R11</f>
        <v>0.47289455570726729</v>
      </c>
      <c r="Q38" s="107"/>
      <c r="U38" s="31" t="str">
        <f>U11</f>
        <v>水费</v>
      </c>
      <c r="V38" s="34">
        <f>X11-Z11</f>
        <v>10688.203664999999</v>
      </c>
      <c r="W38" s="35">
        <f>V38/Z11</f>
        <v>-1</v>
      </c>
      <c r="X38" s="31"/>
      <c r="Y38" s="34">
        <f>Z11-AB11</f>
        <v>-5198.6233409999986</v>
      </c>
      <c r="Z38" s="31">
        <f>Y38/AB11</f>
        <v>0.94699831939283929</v>
      </c>
      <c r="AA38" s="31"/>
    </row>
    <row r="39" spans="1:27" x14ac:dyDescent="0.3">
      <c r="A39" s="31" t="str">
        <f>A14</f>
        <v>其他</v>
      </c>
      <c r="B39" s="34">
        <f>D14-F14</f>
        <v>-168.20164199999999</v>
      </c>
      <c r="C39" s="35">
        <f>B39/F14</f>
        <v>-1</v>
      </c>
      <c r="D39" s="103"/>
      <c r="E39" s="34">
        <f>F14-H14</f>
        <v>-100.83014100000003</v>
      </c>
      <c r="F39" s="31">
        <f>E39/H14</f>
        <v>-0.37478895569747617</v>
      </c>
      <c r="G39" s="103"/>
      <c r="K39" s="31" t="str">
        <f>K14</f>
        <v>其他</v>
      </c>
      <c r="L39" s="34">
        <f>N14-P14</f>
        <v>-296.19499999999999</v>
      </c>
      <c r="M39" s="35">
        <f>L39/P14</f>
        <v>-1</v>
      </c>
      <c r="N39" s="107"/>
      <c r="O39" s="34">
        <f>P14-R14</f>
        <v>296.19499999999999</v>
      </c>
      <c r="P39" s="31" t="e">
        <f>O39/R14</f>
        <v>#DIV/0!</v>
      </c>
      <c r="Q39" s="107"/>
      <c r="U39" s="31" t="str">
        <f>U14</f>
        <v>其他</v>
      </c>
      <c r="V39" s="34">
        <f>X14-Z14</f>
        <v>127.993358</v>
      </c>
      <c r="W39" s="35">
        <f>V39/Z14</f>
        <v>-1</v>
      </c>
      <c r="X39" s="31"/>
      <c r="Y39" s="34">
        <f>Z14-AB14</f>
        <v>-397.02514100000002</v>
      </c>
      <c r="Z39" s="31">
        <f>Y39/AB14</f>
        <v>-1.4757555281117101</v>
      </c>
      <c r="AA39" s="31"/>
    </row>
    <row r="40" spans="1:27" x14ac:dyDescent="0.3">
      <c r="A40" s="31" t="str">
        <f>A15</f>
        <v>合计</v>
      </c>
      <c r="B40" s="34">
        <f>D15-F15</f>
        <v>-362387.85451199999</v>
      </c>
      <c r="C40" s="35">
        <f>B40/F15</f>
        <v>-1</v>
      </c>
      <c r="D40" s="103"/>
      <c r="E40" s="34">
        <f>F15-H15</f>
        <v>108837.23077000002</v>
      </c>
      <c r="F40" s="31">
        <f>E40/H15</f>
        <v>0.42925246707634673</v>
      </c>
      <c r="G40" s="103"/>
      <c r="K40" s="31" t="str">
        <f>K15</f>
        <v>合计</v>
      </c>
      <c r="L40" s="34">
        <f>N15-P15</f>
        <v>-353920.19931700005</v>
      </c>
      <c r="M40" s="35">
        <f>L40/P15</f>
        <v>-1</v>
      </c>
      <c r="N40" s="107"/>
      <c r="O40" s="34">
        <f>P15-R15</f>
        <v>107845.29377300007</v>
      </c>
      <c r="P40" s="31">
        <f>O40/R15</f>
        <v>0.43826205494048864</v>
      </c>
      <c r="Q40" s="107"/>
      <c r="U40" s="31" t="str">
        <f>U15</f>
        <v>合计</v>
      </c>
      <c r="V40" s="34">
        <f>X15-Z15</f>
        <v>-8467.6551950000103</v>
      </c>
      <c r="W40" s="35">
        <f>V40/Z15</f>
        <v>-1</v>
      </c>
      <c r="X40" s="31"/>
      <c r="Y40" s="34">
        <f>Z15-AB15</f>
        <v>1304.2869600000431</v>
      </c>
      <c r="Z40" s="31">
        <f>Y40/AB15</f>
        <v>0.18207732971583709</v>
      </c>
      <c r="AA40" s="31"/>
    </row>
    <row r="41" spans="1:27" x14ac:dyDescent="0.3">
      <c r="A41" s="25">
        <f>ABS(B33)</f>
        <v>88458.595394000004</v>
      </c>
      <c r="B41" s="26">
        <f>ABS(C33)</f>
        <v>1</v>
      </c>
      <c r="C41" s="24" t="str">
        <f>IF(C33&gt;0,"增长","下降")</f>
        <v>下降</v>
      </c>
      <c r="D41" s="24" t="str">
        <f>IF(C33&gt;0,"增幅","降幅")</f>
        <v>降幅</v>
      </c>
      <c r="K41" s="25">
        <f>ABS(L33)</f>
        <v>85942.373070000001</v>
      </c>
      <c r="L41" s="26">
        <f>ABS(M33)</f>
        <v>1</v>
      </c>
      <c r="M41" s="24" t="str">
        <f>IF(M33&gt;0,"增长","下降")</f>
        <v>下降</v>
      </c>
      <c r="N41" s="24" t="str">
        <f>IF(M33&gt;0,"增幅","降幅")</f>
        <v>降幅</v>
      </c>
      <c r="U41" s="25">
        <f>ABS(V33)</f>
        <v>2516.2223240000021</v>
      </c>
      <c r="V41" s="26">
        <f>ABS(W33)</f>
        <v>1</v>
      </c>
      <c r="W41" s="24" t="str">
        <f>IF(W33&gt;0,"增长","下降")</f>
        <v>下降</v>
      </c>
      <c r="X41" s="24" t="str">
        <f>IF(W33&gt;0,"增幅","降幅")</f>
        <v>降幅</v>
      </c>
    </row>
    <row r="42" spans="1:27" x14ac:dyDescent="0.3">
      <c r="A42" s="25">
        <f t="shared" ref="A42:B42" si="56">ABS(B34)</f>
        <v>174514.20246</v>
      </c>
      <c r="B42" s="26">
        <f t="shared" si="56"/>
        <v>1</v>
      </c>
      <c r="C42" s="24" t="str">
        <f>IF(C34&gt;0,"增长","下降")</f>
        <v>下降</v>
      </c>
      <c r="D42" s="24" t="str">
        <f>IF(C34&gt;0,"增幅","降幅")</f>
        <v>降幅</v>
      </c>
      <c r="K42" s="25">
        <f t="shared" ref="K42:L42" si="57">ABS(L34)</f>
        <v>171792.39087599999</v>
      </c>
      <c r="L42" s="26">
        <f t="shared" si="57"/>
        <v>1</v>
      </c>
      <c r="M42" s="24" t="str">
        <f>IF(M34&gt;0,"增长","下降")</f>
        <v>下降</v>
      </c>
      <c r="N42" s="24" t="str">
        <f>IF(M34&gt;0,"增幅","降幅")</f>
        <v>降幅</v>
      </c>
      <c r="U42" s="25">
        <f t="shared" ref="U42:V42" si="58">ABS(V34)</f>
        <v>2721.81158400001</v>
      </c>
      <c r="V42" s="26">
        <f t="shared" si="58"/>
        <v>1</v>
      </c>
      <c r="W42" s="24" t="str">
        <f>IF(W34&gt;0,"增长","下降")</f>
        <v>下降</v>
      </c>
      <c r="X42" s="24" t="str">
        <f>IF(W34&gt;0,"增幅","降幅")</f>
        <v>降幅</v>
      </c>
    </row>
    <row r="43" spans="1:27" x14ac:dyDescent="0.3">
      <c r="A43" s="25">
        <f t="shared" ref="A43:B43" si="59">ABS(B35)</f>
        <v>3054.3836200000001</v>
      </c>
      <c r="B43" s="26">
        <f t="shared" si="59"/>
        <v>1</v>
      </c>
      <c r="C43" s="24" t="str">
        <f>IF(C35&gt;0,"增长","下降")</f>
        <v>下降</v>
      </c>
      <c r="D43" s="24" t="str">
        <f>IF(C35&gt;0,"增幅","降幅")</f>
        <v>降幅</v>
      </c>
      <c r="K43" s="25">
        <f t="shared" ref="K43:L43" si="60">ABS(L35)</f>
        <v>2158.525932</v>
      </c>
      <c r="L43" s="26">
        <f t="shared" si="60"/>
        <v>1</v>
      </c>
      <c r="M43" s="24" t="str">
        <f>IF(M35&gt;0,"增长","下降")</f>
        <v>下降</v>
      </c>
      <c r="N43" s="24" t="str">
        <f>IF(M35&gt;0,"增幅","降幅")</f>
        <v>降幅</v>
      </c>
      <c r="U43" s="25">
        <f t="shared" ref="U43:V43" si="61">ABS(V35)</f>
        <v>895.85768800000005</v>
      </c>
      <c r="V43" s="26">
        <f t="shared" si="61"/>
        <v>1</v>
      </c>
      <c r="W43" s="24" t="str">
        <f>IF(W35&gt;0,"增长","下降")</f>
        <v>下降</v>
      </c>
      <c r="X43" s="24" t="str">
        <f>IF(W35&gt;0,"增幅","降幅")</f>
        <v>降幅</v>
      </c>
    </row>
    <row r="44" spans="1:27" x14ac:dyDescent="0.3">
      <c r="A44" s="25">
        <f t="shared" ref="A44:B44" si="62">ABS(B36)</f>
        <v>2783.6964760000001</v>
      </c>
      <c r="B44" s="26">
        <f t="shared" si="62"/>
        <v>1</v>
      </c>
      <c r="C44" s="24" t="str">
        <f>IF(C36&gt;0,"增长","下降")</f>
        <v>下降</v>
      </c>
      <c r="D44" s="24" t="str">
        <f>IF(C36&gt;0,"增幅","降幅")</f>
        <v>降幅</v>
      </c>
      <c r="K44" s="25">
        <f t="shared" ref="K44:L44" si="63">ABS(L36)</f>
        <v>1928.1683989999999</v>
      </c>
      <c r="L44" s="26">
        <f t="shared" si="63"/>
        <v>1</v>
      </c>
      <c r="M44" s="24" t="str">
        <f>IF(M36&gt;0,"增长","下降")</f>
        <v>下降</v>
      </c>
      <c r="N44" s="24" t="str">
        <f>IF(M36&gt;0,"增幅","降幅")</f>
        <v>降幅</v>
      </c>
      <c r="U44" s="25">
        <f t="shared" ref="U44:V44" si="64">ABS(V36)</f>
        <v>855.52807700000017</v>
      </c>
      <c r="V44" s="26">
        <f t="shared" si="64"/>
        <v>1</v>
      </c>
      <c r="W44" s="24" t="str">
        <f>IF(W36&gt;0,"增长","下降")</f>
        <v>下降</v>
      </c>
      <c r="X44" s="24" t="str">
        <f>IF(W36&gt;0,"增幅","降幅")</f>
        <v>降幅</v>
      </c>
    </row>
    <row r="45" spans="1:27" x14ac:dyDescent="0.3">
      <c r="A45" s="25">
        <f t="shared" ref="A45:B45" si="65">ABS(B37)</f>
        <v>0</v>
      </c>
      <c r="B45" s="26" t="e">
        <f t="shared" si="65"/>
        <v>#DIV/0!</v>
      </c>
      <c r="C45" s="24" t="e">
        <f>IF(C37&gt;0,"增长","下降")</f>
        <v>#DIV/0!</v>
      </c>
      <c r="D45" s="24" t="e">
        <f>IF(C37&gt;0,"增幅","降幅")</f>
        <v>#DIV/0!</v>
      </c>
      <c r="K45" s="25">
        <f t="shared" ref="K45:L45" si="66">ABS(L37)</f>
        <v>0</v>
      </c>
      <c r="L45" s="26" t="e">
        <f t="shared" si="66"/>
        <v>#DIV/0!</v>
      </c>
      <c r="M45" s="24" t="e">
        <f>IF(M37&gt;0,"增长","下降")</f>
        <v>#DIV/0!</v>
      </c>
      <c r="N45" s="24" t="e">
        <f>IF(M37&gt;0,"增幅","降幅")</f>
        <v>#DIV/0!</v>
      </c>
      <c r="U45" s="25">
        <f t="shared" ref="U45:V45" si="67">ABS(V37)</f>
        <v>0</v>
      </c>
      <c r="V45" s="26" t="e">
        <f t="shared" si="67"/>
        <v>#DIV/0!</v>
      </c>
      <c r="W45" s="24" t="e">
        <f>IF(W37&gt;0,"增长","下降")</f>
        <v>#DIV/0!</v>
      </c>
      <c r="X45" s="24" t="e">
        <f>IF(W37&gt;0,"增幅","降幅")</f>
        <v>#DIV/0!</v>
      </c>
    </row>
    <row r="46" spans="1:27" x14ac:dyDescent="0.3">
      <c r="A46" s="25">
        <f t="shared" ref="A46:B46" si="68">ABS(B39)</f>
        <v>168.20164199999999</v>
      </c>
      <c r="B46" s="26">
        <f t="shared" si="68"/>
        <v>1</v>
      </c>
      <c r="C46" s="24" t="str">
        <f t="shared" ref="C46:C47" si="69">IF(C39&gt;0,"增长","下降")</f>
        <v>下降</v>
      </c>
      <c r="D46" s="24" t="str">
        <f t="shared" ref="D46:D47" si="70">IF(C39&gt;0,"增幅","降幅")</f>
        <v>降幅</v>
      </c>
      <c r="K46" s="25">
        <f t="shared" ref="K46:L46" si="71">ABS(L39)</f>
        <v>296.19499999999999</v>
      </c>
      <c r="L46" s="26">
        <f t="shared" si="71"/>
        <v>1</v>
      </c>
      <c r="M46" s="24" t="str">
        <f t="shared" ref="M46:M47" si="72">IF(M39&gt;0,"增长","下降")</f>
        <v>下降</v>
      </c>
      <c r="N46" s="24" t="str">
        <f t="shared" ref="N46:N47" si="73">IF(M39&gt;0,"增幅","降幅")</f>
        <v>降幅</v>
      </c>
      <c r="U46" s="25">
        <f t="shared" ref="U46:V46" si="74">ABS(V39)</f>
        <v>127.993358</v>
      </c>
      <c r="V46" s="26">
        <f t="shared" si="74"/>
        <v>1</v>
      </c>
      <c r="W46" s="24" t="str">
        <f t="shared" ref="W46:W47" si="75">IF(W39&gt;0,"增长","下降")</f>
        <v>下降</v>
      </c>
      <c r="X46" s="24" t="str">
        <f t="shared" ref="X46:X47" si="76">IF(W39&gt;0,"增幅","降幅")</f>
        <v>降幅</v>
      </c>
    </row>
    <row r="47" spans="1:27" x14ac:dyDescent="0.3">
      <c r="A47" s="25">
        <f t="shared" ref="A47:B47" si="77">ABS(B40)</f>
        <v>362387.85451199999</v>
      </c>
      <c r="B47" s="26">
        <f t="shared" si="77"/>
        <v>1</v>
      </c>
      <c r="C47" s="24" t="str">
        <f t="shared" si="69"/>
        <v>下降</v>
      </c>
      <c r="D47" s="24" t="str">
        <f t="shared" si="70"/>
        <v>降幅</v>
      </c>
      <c r="K47" s="25">
        <f t="shared" ref="K47:L47" si="78">ABS(L40)</f>
        <v>353920.19931700005</v>
      </c>
      <c r="L47" s="26">
        <f t="shared" si="78"/>
        <v>1</v>
      </c>
      <c r="M47" s="24" t="str">
        <f t="shared" si="72"/>
        <v>下降</v>
      </c>
      <c r="N47" s="24" t="str">
        <f t="shared" si="73"/>
        <v>降幅</v>
      </c>
      <c r="U47" s="25">
        <f t="shared" ref="U47:V47" si="79">ABS(V40)</f>
        <v>8467.6551950000103</v>
      </c>
      <c r="V47" s="26">
        <f t="shared" si="79"/>
        <v>1</v>
      </c>
      <c r="W47" s="24" t="str">
        <f t="shared" si="75"/>
        <v>下降</v>
      </c>
      <c r="X47" s="24" t="str">
        <f t="shared" si="76"/>
        <v>降幅</v>
      </c>
    </row>
    <row r="60" spans="2:4" x14ac:dyDescent="0.3">
      <c r="B60" s="25"/>
    </row>
    <row r="61" spans="2:4" ht="13.15" x14ac:dyDescent="0.3">
      <c r="B61" s="25"/>
      <c r="C61" s="110"/>
      <c r="D61" s="111"/>
    </row>
    <row r="62" spans="2:4" x14ac:dyDescent="0.3">
      <c r="C62" s="25"/>
    </row>
  </sheetData>
  <autoFilter ref="A4:I16" xr:uid="{00000000-0009-0000-0000-000015000000}"/>
  <mergeCells count="40">
    <mergeCell ref="AG3:AG4"/>
    <mergeCell ref="AH3:AH4"/>
    <mergeCell ref="AI3:AI4"/>
    <mergeCell ref="V31:X31"/>
    <mergeCell ref="Y31:AA31"/>
    <mergeCell ref="AE3:AE4"/>
    <mergeCell ref="AF3:AF4"/>
    <mergeCell ref="A3:A4"/>
    <mergeCell ref="A18:A19"/>
    <mergeCell ref="K3:K4"/>
    <mergeCell ref="K18:K19"/>
    <mergeCell ref="U3:U4"/>
    <mergeCell ref="N18:O18"/>
    <mergeCell ref="P18:Q18"/>
    <mergeCell ref="R18:S18"/>
    <mergeCell ref="B31:D31"/>
    <mergeCell ref="E31:G31"/>
    <mergeCell ref="L31:N31"/>
    <mergeCell ref="O31:Q31"/>
    <mergeCell ref="B18:C18"/>
    <mergeCell ref="D18:E18"/>
    <mergeCell ref="F18:G18"/>
    <mergeCell ref="H18:I18"/>
    <mergeCell ref="L18:M18"/>
    <mergeCell ref="A2:I2"/>
    <mergeCell ref="K2:S2"/>
    <mergeCell ref="U2:AC2"/>
    <mergeCell ref="AE2:AI2"/>
    <mergeCell ref="B3:C3"/>
    <mergeCell ref="D3:E3"/>
    <mergeCell ref="F3:G3"/>
    <mergeCell ref="H3:I3"/>
    <mergeCell ref="L3:M3"/>
    <mergeCell ref="N3:O3"/>
    <mergeCell ref="P3:Q3"/>
    <mergeCell ref="R3:S3"/>
    <mergeCell ref="V3:W3"/>
    <mergeCell ref="X3:Y3"/>
    <mergeCell ref="Z3:AA3"/>
    <mergeCell ref="AB3:AC3"/>
  </mergeCells>
  <phoneticPr fontId="41" type="noConversion"/>
  <pageMargins left="0.7" right="0.7" top="0.75" bottom="0.75" header="0.3" footer="0.3"/>
  <pageSetup paperSize="9" orientation="portrait" verticalDpi="30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AJ76"/>
  <sheetViews>
    <sheetView topLeftCell="A21" zoomScale="90" zoomScaleNormal="90" workbookViewId="0">
      <selection activeCell="N33" sqref="N33:N50"/>
    </sheetView>
  </sheetViews>
  <sheetFormatPr defaultColWidth="9" defaultRowHeight="12.75" x14ac:dyDescent="0.3"/>
  <cols>
    <col min="1" max="1" width="14.3984375" style="24" customWidth="1"/>
    <col min="2" max="2" width="17.9296875" style="24" customWidth="1"/>
    <col min="3" max="3" width="9.46484375" style="24" customWidth="1"/>
    <col min="4" max="4" width="18.06640625" style="24" customWidth="1"/>
    <col min="5" max="5" width="12.1328125" style="24" customWidth="1"/>
    <col min="6" max="6" width="18.06640625" style="24" customWidth="1"/>
    <col min="7" max="7" width="8.59765625" style="24" customWidth="1"/>
    <col min="8" max="8" width="18.1328125" style="24" customWidth="1"/>
    <col min="9" max="9" width="8.46484375" style="24" customWidth="1"/>
    <col min="10" max="10" width="9" style="24"/>
    <col min="11" max="11" width="16.46484375" style="24" customWidth="1"/>
    <col min="12" max="12" width="18.1328125" style="24" customWidth="1"/>
    <col min="13" max="13" width="9.06640625" style="24" customWidth="1"/>
    <col min="14" max="14" width="18.1328125" style="24" customWidth="1"/>
    <col min="15" max="15" width="12.1328125" style="24" customWidth="1"/>
    <col min="16" max="16" width="18.1328125" style="24" customWidth="1"/>
    <col min="17" max="17" width="11.3984375" style="24" customWidth="1"/>
    <col min="18" max="18" width="16.1328125" style="24" customWidth="1"/>
    <col min="19" max="19" width="9.06640625" style="24" customWidth="1"/>
    <col min="20" max="20" width="9" style="24"/>
    <col min="21" max="21" width="11.46484375" style="24" customWidth="1"/>
    <col min="22" max="22" width="12.46484375" style="24" customWidth="1"/>
    <col min="23" max="23" width="9.3984375" style="24" customWidth="1"/>
    <col min="24" max="26" width="11.3984375" style="24" customWidth="1"/>
    <col min="27" max="27" width="9.06640625" style="24" customWidth="1"/>
    <col min="28" max="28" width="11.1328125" style="24" customWidth="1"/>
    <col min="29" max="29" width="9.06640625" style="24" customWidth="1"/>
    <col min="30" max="30" width="9" style="24"/>
    <col min="31" max="31" width="11.46484375" style="24" customWidth="1"/>
    <col min="32" max="32" width="14.46484375" style="24" customWidth="1"/>
    <col min="33" max="35" width="11.1328125" style="24" customWidth="1"/>
    <col min="36" max="16384" width="9" style="24"/>
  </cols>
  <sheetData>
    <row r="1" spans="1:35" x14ac:dyDescent="0.3">
      <c r="A1" s="24">
        <v>10000</v>
      </c>
    </row>
    <row r="2" spans="1:35" x14ac:dyDescent="0.3">
      <c r="A2" s="447" t="s">
        <v>1056</v>
      </c>
      <c r="B2" s="447"/>
      <c r="C2" s="447"/>
      <c r="D2" s="447"/>
      <c r="E2" s="447"/>
      <c r="F2" s="447"/>
      <c r="G2" s="447"/>
      <c r="H2" s="447"/>
      <c r="I2" s="447"/>
      <c r="K2" s="448" t="s">
        <v>1057</v>
      </c>
      <c r="L2" s="448"/>
      <c r="M2" s="448"/>
      <c r="N2" s="448"/>
      <c r="O2" s="448"/>
      <c r="P2" s="448"/>
      <c r="Q2" s="448"/>
      <c r="R2" s="448"/>
      <c r="S2" s="448"/>
      <c r="U2" s="448" t="s">
        <v>1058</v>
      </c>
      <c r="V2" s="448"/>
      <c r="W2" s="448"/>
      <c r="X2" s="448"/>
      <c r="Y2" s="448"/>
      <c r="Z2" s="448"/>
      <c r="AA2" s="448"/>
      <c r="AB2" s="448"/>
      <c r="AC2" s="448"/>
      <c r="AE2" s="448" t="s">
        <v>1059</v>
      </c>
      <c r="AF2" s="448"/>
      <c r="AG2" s="448"/>
      <c r="AH2" s="448"/>
      <c r="AI2" s="448"/>
    </row>
    <row r="3" spans="1:35" x14ac:dyDescent="0.3">
      <c r="A3" s="453" t="s">
        <v>278</v>
      </c>
      <c r="B3" s="449" t="str">
        <f>'合并-is'!B2</f>
        <v>2024年1-9月</v>
      </c>
      <c r="C3" s="450"/>
      <c r="D3" s="449" t="str">
        <f>'合并-is'!C2</f>
        <v>2023年度</v>
      </c>
      <c r="E3" s="450"/>
      <c r="F3" s="449" t="str">
        <f>'合并-is'!D2</f>
        <v>2022年度</v>
      </c>
      <c r="G3" s="450"/>
      <c r="H3" s="449" t="str">
        <f>'合并-is'!E2</f>
        <v>2021年度</v>
      </c>
      <c r="I3" s="450"/>
      <c r="K3" s="450" t="s">
        <v>278</v>
      </c>
      <c r="L3" s="449" t="str">
        <f>B3</f>
        <v>2024年1-9月</v>
      </c>
      <c r="M3" s="450"/>
      <c r="N3" s="449" t="str">
        <f t="shared" ref="N3" si="0">D3</f>
        <v>2023年度</v>
      </c>
      <c r="O3" s="450"/>
      <c r="P3" s="449" t="str">
        <f t="shared" ref="P3" si="1">F3</f>
        <v>2022年度</v>
      </c>
      <c r="Q3" s="450"/>
      <c r="R3" s="449" t="str">
        <f t="shared" ref="R3" si="2">H3</f>
        <v>2021年度</v>
      </c>
      <c r="S3" s="450"/>
      <c r="U3" s="450" t="s">
        <v>278</v>
      </c>
      <c r="V3" s="449" t="str">
        <f>L3</f>
        <v>2024年1-9月</v>
      </c>
      <c r="W3" s="450"/>
      <c r="X3" s="449" t="str">
        <f t="shared" ref="X3" si="3">N3</f>
        <v>2023年度</v>
      </c>
      <c r="Y3" s="450"/>
      <c r="Z3" s="449" t="str">
        <f t="shared" ref="Z3" si="4">P3</f>
        <v>2022年度</v>
      </c>
      <c r="AA3" s="450"/>
      <c r="AB3" s="449" t="str">
        <f t="shared" ref="AB3" si="5">R3</f>
        <v>2021年度</v>
      </c>
      <c r="AC3" s="450"/>
      <c r="AE3" s="431" t="s">
        <v>278</v>
      </c>
      <c r="AF3" s="426" t="str">
        <f>V3</f>
        <v>2024年1-9月</v>
      </c>
      <c r="AG3" s="426" t="str">
        <f>X3</f>
        <v>2023年度</v>
      </c>
      <c r="AH3" s="426" t="str">
        <f>Z3</f>
        <v>2022年度</v>
      </c>
      <c r="AI3" s="426" t="str">
        <f>AB3</f>
        <v>2021年度</v>
      </c>
    </row>
    <row r="4" spans="1:35" x14ac:dyDescent="0.3">
      <c r="A4" s="454"/>
      <c r="B4" s="95" t="s">
        <v>729</v>
      </c>
      <c r="C4" s="95" t="s">
        <v>763</v>
      </c>
      <c r="D4" s="95" t="s">
        <v>729</v>
      </c>
      <c r="E4" s="95" t="s">
        <v>763</v>
      </c>
      <c r="F4" s="95" t="s">
        <v>729</v>
      </c>
      <c r="G4" s="95" t="s">
        <v>763</v>
      </c>
      <c r="H4" s="95" t="s">
        <v>729</v>
      </c>
      <c r="I4" s="95" t="s">
        <v>763</v>
      </c>
      <c r="K4" s="450"/>
      <c r="L4" s="95" t="s">
        <v>729</v>
      </c>
      <c r="M4" s="95" t="s">
        <v>763</v>
      </c>
      <c r="N4" s="95" t="s">
        <v>729</v>
      </c>
      <c r="O4" s="95" t="s">
        <v>763</v>
      </c>
      <c r="P4" s="95" t="s">
        <v>729</v>
      </c>
      <c r="Q4" s="95" t="s">
        <v>763</v>
      </c>
      <c r="R4" s="95" t="s">
        <v>729</v>
      </c>
      <c r="S4" s="95" t="s">
        <v>763</v>
      </c>
      <c r="U4" s="450"/>
      <c r="V4" s="95" t="s">
        <v>729</v>
      </c>
      <c r="W4" s="95" t="s">
        <v>763</v>
      </c>
      <c r="X4" s="95" t="s">
        <v>729</v>
      </c>
      <c r="Y4" s="95" t="s">
        <v>763</v>
      </c>
      <c r="Z4" s="95" t="s">
        <v>729</v>
      </c>
      <c r="AA4" s="95" t="s">
        <v>763</v>
      </c>
      <c r="AB4" s="95" t="s">
        <v>729</v>
      </c>
      <c r="AC4" s="95" t="s">
        <v>763</v>
      </c>
      <c r="AE4" s="431"/>
      <c r="AF4" s="431"/>
      <c r="AG4" s="431"/>
      <c r="AH4" s="431"/>
      <c r="AI4" s="431"/>
    </row>
    <row r="5" spans="1:35" x14ac:dyDescent="0.3">
      <c r="A5" s="91" t="str">
        <f>A33</f>
        <v>粮食销售</v>
      </c>
      <c r="B5" s="96">
        <f t="shared" ref="B5:B13" si="6">B33/$A$1</f>
        <v>0</v>
      </c>
      <c r="C5" s="97" t="e">
        <f t="shared" ref="C5:C13" si="7">B5/$B$28</f>
        <v>#DIV/0!</v>
      </c>
      <c r="D5" s="34">
        <f>D33/$A$1</f>
        <v>0</v>
      </c>
      <c r="E5" s="97" t="e">
        <f>D5/$D$28</f>
        <v>#DIV/0!</v>
      </c>
      <c r="F5" s="96">
        <f t="shared" ref="F5:F13" si="8">F33/$A$1</f>
        <v>174514.20246</v>
      </c>
      <c r="G5" s="97">
        <f t="shared" ref="G5:G13" si="9">F5/$F$28</f>
        <v>0.43250076435848311</v>
      </c>
      <c r="H5" s="96">
        <f>H33/$A$1</f>
        <v>0</v>
      </c>
      <c r="I5" s="97" t="e">
        <f>H5/$H$28</f>
        <v>#DIV/0!</v>
      </c>
      <c r="K5" s="31" t="str">
        <f>K33</f>
        <v>粮食销售</v>
      </c>
      <c r="L5" s="34">
        <f t="shared" ref="L5:L13" si="10">L33/$A$1</f>
        <v>0</v>
      </c>
      <c r="M5" s="35" t="e">
        <f t="shared" ref="M5:M13" si="11">L5/$L$28</f>
        <v>#DIV/0!</v>
      </c>
      <c r="N5" s="34">
        <f>N33/$A$1</f>
        <v>0</v>
      </c>
      <c r="O5" s="35" t="e">
        <f t="shared" ref="O5:O13" si="12">N5/$N$28</f>
        <v>#DIV/0!</v>
      </c>
      <c r="P5" s="34">
        <f t="shared" ref="P5:P13" si="13">P33/$A$1</f>
        <v>171792.39087599999</v>
      </c>
      <c r="Q5" s="35">
        <f t="shared" ref="Q5:Q13" si="14">P5/$P$28</f>
        <v>0.42948479635348763</v>
      </c>
      <c r="R5" s="34">
        <f>R33/$A$1</f>
        <v>0</v>
      </c>
      <c r="S5" s="31" t="e">
        <f t="shared" ref="S5:S13" si="15">R5/$R$28</f>
        <v>#DIV/0!</v>
      </c>
      <c r="U5" s="31" t="str">
        <f>A5</f>
        <v>粮食销售</v>
      </c>
      <c r="V5" s="34">
        <f>B5-L5</f>
        <v>0</v>
      </c>
      <c r="W5" s="35" t="e">
        <f t="shared" ref="W5:W13" si="16">V5/$V$28</f>
        <v>#DIV/0!</v>
      </c>
      <c r="X5" s="34">
        <f t="shared" ref="X5:AB27" si="17">D5-N5</f>
        <v>0</v>
      </c>
      <c r="Y5" s="35" t="e">
        <f t="shared" ref="Y5:Y13" si="18">X5/$X$28</f>
        <v>#DIV/0!</v>
      </c>
      <c r="Z5" s="34">
        <f t="shared" si="17"/>
        <v>2721.81158400001</v>
      </c>
      <c r="AA5" s="35">
        <f t="shared" ref="AA5:AA13" si="19">Z5/$Z$28</f>
        <v>0.776797094756984</v>
      </c>
      <c r="AB5" s="34">
        <f t="shared" si="17"/>
        <v>0</v>
      </c>
      <c r="AC5" s="34" t="e">
        <f>AB5/$AB$28</f>
        <v>#DIV/0!</v>
      </c>
      <c r="AE5" s="31" t="str">
        <f>U5</f>
        <v>粮食销售</v>
      </c>
      <c r="AF5" s="35" t="e">
        <f>V5/B5</f>
        <v>#DIV/0!</v>
      </c>
      <c r="AG5" s="35" t="e">
        <f>X5/D5</f>
        <v>#DIV/0!</v>
      </c>
      <c r="AH5" s="35">
        <f>Z5/F5</f>
        <v>1.5596504729314911E-2</v>
      </c>
      <c r="AI5" s="35" t="e">
        <f>AB5/H5</f>
        <v>#DIV/0!</v>
      </c>
    </row>
    <row r="6" spans="1:35" x14ac:dyDescent="0.3">
      <c r="A6" s="91" t="str">
        <f t="shared" ref="A6:A27" si="20">A34</f>
        <v>代建工程</v>
      </c>
      <c r="B6" s="96">
        <f t="shared" si="6"/>
        <v>0</v>
      </c>
      <c r="C6" s="97" t="e">
        <f t="shared" si="7"/>
        <v>#DIV/0!</v>
      </c>
      <c r="D6" s="34">
        <f t="shared" ref="D6:D27" si="21">D34/$A$1</f>
        <v>0</v>
      </c>
      <c r="E6" s="97" t="e">
        <f t="shared" ref="E6:E27" si="22">D6/$D$28</f>
        <v>#DIV/0!</v>
      </c>
      <c r="F6" s="96">
        <f t="shared" si="8"/>
        <v>118191.354612</v>
      </c>
      <c r="G6" s="97">
        <f t="shared" si="9"/>
        <v>0.29291513521354301</v>
      </c>
      <c r="H6" s="96">
        <f t="shared" ref="H6" si="23">H34/$A$1</f>
        <v>0</v>
      </c>
      <c r="I6" s="97" t="e">
        <f>H6/$H$28</f>
        <v>#DIV/0!</v>
      </c>
      <c r="K6" s="31" t="str">
        <f t="shared" ref="K6:K27" si="24">K34</f>
        <v>代建工程</v>
      </c>
      <c r="L6" s="34">
        <f t="shared" si="10"/>
        <v>0</v>
      </c>
      <c r="M6" s="35" t="e">
        <f t="shared" si="11"/>
        <v>#DIV/0!</v>
      </c>
      <c r="N6" s="34">
        <f t="shared" ref="N6:N27" si="25">N34/$A$1</f>
        <v>0</v>
      </c>
      <c r="O6" s="35" t="e">
        <f t="shared" si="12"/>
        <v>#DIV/0!</v>
      </c>
      <c r="P6" s="34">
        <f t="shared" si="13"/>
        <v>94119.270810000002</v>
      </c>
      <c r="Q6" s="35">
        <f t="shared" si="14"/>
        <v>0.23530026941617477</v>
      </c>
      <c r="R6" s="34">
        <f t="shared" ref="R6" si="26">R34/$A$1</f>
        <v>0</v>
      </c>
      <c r="S6" s="31" t="e">
        <f t="shared" si="15"/>
        <v>#DIV/0!</v>
      </c>
      <c r="U6" s="31" t="str">
        <f t="shared" ref="U6:U28" si="27">A6</f>
        <v>代建工程</v>
      </c>
      <c r="V6" s="34">
        <f t="shared" ref="V6:V27" si="28">B6-L6</f>
        <v>0</v>
      </c>
      <c r="W6" s="35" t="e">
        <f t="shared" si="16"/>
        <v>#DIV/0!</v>
      </c>
      <c r="X6" s="34">
        <f t="shared" si="17"/>
        <v>0</v>
      </c>
      <c r="Y6" s="35" t="e">
        <f t="shared" si="18"/>
        <v>#DIV/0!</v>
      </c>
      <c r="Z6" s="34">
        <f t="shared" si="17"/>
        <v>24072.083801999994</v>
      </c>
      <c r="AA6" s="35">
        <f t="shared" si="19"/>
        <v>6.8701025714130326</v>
      </c>
      <c r="AB6" s="34">
        <f t="shared" si="17"/>
        <v>0</v>
      </c>
      <c r="AC6" s="34" t="e">
        <f>AB6/$AB$28</f>
        <v>#DIV/0!</v>
      </c>
      <c r="AE6" s="31" t="str">
        <f t="shared" ref="AE6:AE27" si="29">U6</f>
        <v>代建工程</v>
      </c>
      <c r="AF6" s="35" t="e">
        <f t="shared" ref="AF6:AF28" si="30">V6/B6</f>
        <v>#DIV/0!</v>
      </c>
      <c r="AG6" s="35" t="e">
        <f t="shared" ref="AG6:AG28" si="31">X6/D6</f>
        <v>#DIV/0!</v>
      </c>
      <c r="AH6" s="35">
        <f t="shared" ref="AH6:AH28" si="32">Z6/F6</f>
        <v>0.20367042818845862</v>
      </c>
      <c r="AI6" s="35" t="e">
        <f t="shared" ref="AI6:AI28" si="33">AB6/H6</f>
        <v>#DIV/0!</v>
      </c>
    </row>
    <row r="7" spans="1:35" x14ac:dyDescent="0.3">
      <c r="A7" s="91" t="str">
        <f t="shared" si="20"/>
        <v>房屋销售</v>
      </c>
      <c r="B7" s="96">
        <f t="shared" si="6"/>
        <v>0</v>
      </c>
      <c r="C7" s="97" t="e">
        <f t="shared" si="7"/>
        <v>#DIV/0!</v>
      </c>
      <c r="D7" s="34">
        <f t="shared" si="21"/>
        <v>0</v>
      </c>
      <c r="E7" s="97" t="e">
        <f t="shared" si="22"/>
        <v>#DIV/0!</v>
      </c>
      <c r="F7" s="96">
        <f t="shared" si="8"/>
        <v>88458.595394000004</v>
      </c>
      <c r="G7" s="97">
        <f t="shared" si="9"/>
        <v>0.21922806042535087</v>
      </c>
      <c r="H7" s="96"/>
      <c r="I7" s="97"/>
      <c r="K7" s="31" t="str">
        <f t="shared" si="24"/>
        <v>房屋销售</v>
      </c>
      <c r="L7" s="34">
        <f t="shared" si="10"/>
        <v>0</v>
      </c>
      <c r="M7" s="35" t="e">
        <f t="shared" si="11"/>
        <v>#DIV/0!</v>
      </c>
      <c r="N7" s="34">
        <f t="shared" si="25"/>
        <v>0</v>
      </c>
      <c r="O7" s="35" t="e">
        <f t="shared" si="12"/>
        <v>#DIV/0!</v>
      </c>
      <c r="P7" s="34">
        <f t="shared" si="13"/>
        <v>85942.373070000001</v>
      </c>
      <c r="Q7" s="35">
        <f t="shared" si="14"/>
        <v>0.21485784328333135</v>
      </c>
      <c r="R7" s="34"/>
      <c r="S7" s="31" t="e">
        <f t="shared" si="15"/>
        <v>#DIV/0!</v>
      </c>
      <c r="U7" s="31" t="str">
        <f t="shared" si="27"/>
        <v>房屋销售</v>
      </c>
      <c r="V7" s="34">
        <f t="shared" si="28"/>
        <v>0</v>
      </c>
      <c r="W7" s="35" t="e">
        <f t="shared" si="16"/>
        <v>#DIV/0!</v>
      </c>
      <c r="X7" s="34">
        <f t="shared" si="17"/>
        <v>0</v>
      </c>
      <c r="Y7" s="35" t="e">
        <f t="shared" si="18"/>
        <v>#DIV/0!</v>
      </c>
      <c r="Z7" s="34">
        <f t="shared" si="17"/>
        <v>2516.2223240000021</v>
      </c>
      <c r="AA7" s="35">
        <f t="shared" si="19"/>
        <v>0.71812251903688751</v>
      </c>
      <c r="AB7" s="34"/>
      <c r="AC7" s="34"/>
      <c r="AE7" s="31" t="str">
        <f t="shared" si="29"/>
        <v>房屋销售</v>
      </c>
      <c r="AF7" s="35" t="e">
        <f t="shared" si="30"/>
        <v>#DIV/0!</v>
      </c>
      <c r="AG7" s="35" t="e">
        <f t="shared" si="31"/>
        <v>#DIV/0!</v>
      </c>
      <c r="AH7" s="35">
        <f t="shared" si="32"/>
        <v>2.8445198714636986E-2</v>
      </c>
      <c r="AI7" s="35"/>
    </row>
    <row r="8" spans="1:35" x14ac:dyDescent="0.3">
      <c r="A8" s="91" t="str">
        <f t="shared" si="20"/>
        <v>供水、污水处理</v>
      </c>
      <c r="B8" s="96">
        <f t="shared" si="6"/>
        <v>0</v>
      </c>
      <c r="C8" s="97" t="e">
        <f t="shared" si="7"/>
        <v>#DIV/0!</v>
      </c>
      <c r="D8" s="34">
        <f t="shared" si="21"/>
        <v>0</v>
      </c>
      <c r="E8" s="97" t="e">
        <f t="shared" si="22"/>
        <v>#DIV/0!</v>
      </c>
      <c r="F8" s="96">
        <f t="shared" si="8"/>
        <v>7478.1868840000006</v>
      </c>
      <c r="G8" s="97">
        <f t="shared" si="9"/>
        <v>1.8533285530654243E-2</v>
      </c>
      <c r="H8" s="96">
        <f t="shared" ref="H8:H13" si="34">H36/$A$1</f>
        <v>0</v>
      </c>
      <c r="I8" s="97" t="e">
        <f t="shared" ref="I8:I13" si="35">H8/$H$28</f>
        <v>#DIV/0!</v>
      </c>
      <c r="K8" s="31" t="str">
        <f t="shared" si="24"/>
        <v>供水、污水处理</v>
      </c>
      <c r="L8" s="34">
        <f t="shared" si="10"/>
        <v>0</v>
      </c>
      <c r="M8" s="35" t="e">
        <f t="shared" si="11"/>
        <v>#DIV/0!</v>
      </c>
      <c r="N8" s="34">
        <f t="shared" si="25"/>
        <v>0</v>
      </c>
      <c r="O8" s="35" t="e">
        <f t="shared" si="12"/>
        <v>#DIV/0!</v>
      </c>
      <c r="P8" s="34">
        <f t="shared" si="13"/>
        <v>18166.390549</v>
      </c>
      <c r="Q8" s="35">
        <f t="shared" si="14"/>
        <v>4.5416380234482086E-2</v>
      </c>
      <c r="R8" s="34">
        <f>R36/$A$1</f>
        <v>0</v>
      </c>
      <c r="S8" s="31" t="e">
        <f t="shared" si="15"/>
        <v>#DIV/0!</v>
      </c>
      <c r="U8" s="31" t="str">
        <f t="shared" si="27"/>
        <v>供水、污水处理</v>
      </c>
      <c r="V8" s="34">
        <f t="shared" si="28"/>
        <v>0</v>
      </c>
      <c r="W8" s="35" t="e">
        <f t="shared" si="16"/>
        <v>#DIV/0!</v>
      </c>
      <c r="X8" s="34">
        <f t="shared" si="17"/>
        <v>0</v>
      </c>
      <c r="Y8" s="35" t="e">
        <f t="shared" si="18"/>
        <v>#DIV/0!</v>
      </c>
      <c r="Z8" s="34">
        <f t="shared" si="17"/>
        <v>-10688.203664999999</v>
      </c>
      <c r="AA8" s="35">
        <f t="shared" si="19"/>
        <v>-3.0503821807317717</v>
      </c>
      <c r="AB8" s="34">
        <f t="shared" si="17"/>
        <v>0</v>
      </c>
      <c r="AC8" s="34" t="e">
        <f>AB8/$AB$28</f>
        <v>#DIV/0!</v>
      </c>
      <c r="AE8" s="31" t="str">
        <f t="shared" si="29"/>
        <v>供水、污水处理</v>
      </c>
      <c r="AF8" s="35" t="e">
        <f t="shared" si="30"/>
        <v>#DIV/0!</v>
      </c>
      <c r="AG8" s="35" t="e">
        <f t="shared" si="31"/>
        <v>#DIV/0!</v>
      </c>
      <c r="AH8" s="35">
        <f t="shared" si="32"/>
        <v>-1.4292506767740734</v>
      </c>
      <c r="AI8" s="35" t="e">
        <f t="shared" si="33"/>
        <v>#DIV/0!</v>
      </c>
    </row>
    <row r="9" spans="1:35" x14ac:dyDescent="0.3">
      <c r="A9" s="91" t="str">
        <f t="shared" si="20"/>
        <v>供水管网施工</v>
      </c>
      <c r="B9" s="96">
        <f t="shared" si="6"/>
        <v>0</v>
      </c>
      <c r="C9" s="97" t="e">
        <f t="shared" si="7"/>
        <v>#DIV/0!</v>
      </c>
      <c r="D9" s="34">
        <f t="shared" si="21"/>
        <v>0</v>
      </c>
      <c r="E9" s="97" t="e">
        <f t="shared" si="22"/>
        <v>#DIV/0!</v>
      </c>
      <c r="F9" s="96">
        <f t="shared" si="8"/>
        <v>0</v>
      </c>
      <c r="G9" s="97">
        <f t="shared" si="9"/>
        <v>0</v>
      </c>
      <c r="H9" s="96">
        <f t="shared" si="34"/>
        <v>0</v>
      </c>
      <c r="I9" s="97" t="e">
        <f t="shared" si="35"/>
        <v>#DIV/0!</v>
      </c>
      <c r="K9" s="31" t="str">
        <f t="shared" si="24"/>
        <v>供水管网施工</v>
      </c>
      <c r="L9" s="34">
        <f t="shared" si="10"/>
        <v>0</v>
      </c>
      <c r="M9" s="35" t="e">
        <f t="shared" si="11"/>
        <v>#DIV/0!</v>
      </c>
      <c r="N9" s="34">
        <f t="shared" si="25"/>
        <v>0</v>
      </c>
      <c r="O9" s="35" t="e">
        <f t="shared" si="12"/>
        <v>#DIV/0!</v>
      </c>
      <c r="P9" s="34">
        <f t="shared" si="13"/>
        <v>0</v>
      </c>
      <c r="Q9" s="35">
        <f t="shared" si="14"/>
        <v>0</v>
      </c>
      <c r="R9" s="34">
        <f>R37/$A$1</f>
        <v>0</v>
      </c>
      <c r="S9" s="31" t="e">
        <f t="shared" si="15"/>
        <v>#DIV/0!</v>
      </c>
      <c r="U9" s="31" t="str">
        <f t="shared" si="27"/>
        <v>供水管网施工</v>
      </c>
      <c r="V9" s="34">
        <f t="shared" si="28"/>
        <v>0</v>
      </c>
      <c r="W9" s="35" t="e">
        <f t="shared" si="16"/>
        <v>#DIV/0!</v>
      </c>
      <c r="X9" s="34">
        <f t="shared" si="17"/>
        <v>0</v>
      </c>
      <c r="Y9" s="35" t="e">
        <f t="shared" si="18"/>
        <v>#DIV/0!</v>
      </c>
      <c r="Z9" s="34">
        <f t="shared" si="17"/>
        <v>0</v>
      </c>
      <c r="AA9" s="35">
        <f t="shared" si="19"/>
        <v>0</v>
      </c>
      <c r="AB9" s="34">
        <f t="shared" si="17"/>
        <v>0</v>
      </c>
      <c r="AC9" s="34" t="e">
        <f>AB9/$AB$28</f>
        <v>#DIV/0!</v>
      </c>
      <c r="AE9" s="31" t="str">
        <f t="shared" si="29"/>
        <v>供水管网施工</v>
      </c>
      <c r="AF9" s="35" t="e">
        <f t="shared" si="30"/>
        <v>#DIV/0!</v>
      </c>
      <c r="AG9" s="35" t="e">
        <f t="shared" si="31"/>
        <v>#DIV/0!</v>
      </c>
      <c r="AH9" s="35" t="e">
        <f t="shared" si="32"/>
        <v>#DIV/0!</v>
      </c>
      <c r="AI9" s="35" t="e">
        <f t="shared" si="33"/>
        <v>#DIV/0!</v>
      </c>
    </row>
    <row r="10" spans="1:35" x14ac:dyDescent="0.3">
      <c r="A10" s="91" t="str">
        <f t="shared" si="20"/>
        <v>保安、押运</v>
      </c>
      <c r="B10" s="96">
        <f t="shared" si="6"/>
        <v>0</v>
      </c>
      <c r="C10" s="97" t="e">
        <f t="shared" si="7"/>
        <v>#DIV/0!</v>
      </c>
      <c r="D10" s="34">
        <f t="shared" si="21"/>
        <v>0</v>
      </c>
      <c r="E10" s="97" t="e">
        <f t="shared" si="22"/>
        <v>#DIV/0!</v>
      </c>
      <c r="F10" s="96">
        <f t="shared" si="8"/>
        <v>6138.914229</v>
      </c>
      <c r="G10" s="97">
        <f t="shared" si="9"/>
        <v>1.5214149100456358E-2</v>
      </c>
      <c r="H10" s="96">
        <f t="shared" si="34"/>
        <v>0</v>
      </c>
      <c r="I10" s="97" t="e">
        <f t="shared" si="35"/>
        <v>#DIV/0!</v>
      </c>
      <c r="K10" s="31" t="str">
        <f t="shared" si="24"/>
        <v>保安、押运</v>
      </c>
      <c r="L10" s="34">
        <f t="shared" si="10"/>
        <v>0</v>
      </c>
      <c r="M10" s="35" t="e">
        <f t="shared" si="11"/>
        <v>#DIV/0!</v>
      </c>
      <c r="N10" s="34">
        <f t="shared" si="25"/>
        <v>0</v>
      </c>
      <c r="O10" s="35" t="e">
        <f t="shared" si="12"/>
        <v>#DIV/0!</v>
      </c>
      <c r="P10" s="34">
        <f t="shared" si="13"/>
        <v>5187.9418260000002</v>
      </c>
      <c r="Q10" s="35">
        <f t="shared" si="14"/>
        <v>1.2969969899549435E-2</v>
      </c>
      <c r="R10" s="34">
        <f>R38/$A$1</f>
        <v>0</v>
      </c>
      <c r="S10" s="31" t="e">
        <f t="shared" si="15"/>
        <v>#DIV/0!</v>
      </c>
      <c r="U10" s="31" t="str">
        <f t="shared" si="27"/>
        <v>保安、押运</v>
      </c>
      <c r="V10" s="34">
        <f t="shared" si="28"/>
        <v>0</v>
      </c>
      <c r="W10" s="35" t="e">
        <f t="shared" si="16"/>
        <v>#DIV/0!</v>
      </c>
      <c r="X10" s="34">
        <f t="shared" si="17"/>
        <v>0</v>
      </c>
      <c r="Y10" s="35" t="e">
        <f t="shared" si="18"/>
        <v>#DIV/0!</v>
      </c>
      <c r="Z10" s="34">
        <f t="shared" si="17"/>
        <v>950.97240299999976</v>
      </c>
      <c r="AA10" s="35">
        <f t="shared" si="19"/>
        <v>0.27140475269740966</v>
      </c>
      <c r="AB10" s="34">
        <f t="shared" si="17"/>
        <v>0</v>
      </c>
      <c r="AC10" s="34" t="e">
        <f>AB10/$AB$28</f>
        <v>#DIV/0!</v>
      </c>
      <c r="AE10" s="31" t="str">
        <f t="shared" si="29"/>
        <v>保安、押运</v>
      </c>
      <c r="AF10" s="35" t="e">
        <f t="shared" si="30"/>
        <v>#DIV/0!</v>
      </c>
      <c r="AG10" s="35" t="e">
        <f t="shared" si="31"/>
        <v>#DIV/0!</v>
      </c>
      <c r="AH10" s="35">
        <f t="shared" si="32"/>
        <v>0.15490889227734148</v>
      </c>
      <c r="AI10" s="35" t="e">
        <f t="shared" si="33"/>
        <v>#DIV/0!</v>
      </c>
    </row>
    <row r="11" spans="1:35" x14ac:dyDescent="0.3">
      <c r="A11" s="91" t="str">
        <f t="shared" si="20"/>
        <v>校车、公交</v>
      </c>
      <c r="B11" s="96">
        <f t="shared" si="6"/>
        <v>0</v>
      </c>
      <c r="C11" s="97" t="e">
        <f t="shared" si="7"/>
        <v>#DIV/0!</v>
      </c>
      <c r="D11" s="34">
        <f t="shared" si="21"/>
        <v>0</v>
      </c>
      <c r="E11" s="97" t="e">
        <f t="shared" si="22"/>
        <v>#DIV/0!</v>
      </c>
      <c r="F11" s="96">
        <f t="shared" si="8"/>
        <v>4200.284721</v>
      </c>
      <c r="G11" s="97">
        <f t="shared" si="9"/>
        <v>1.0409618969391002E-2</v>
      </c>
      <c r="H11" s="96">
        <f t="shared" si="34"/>
        <v>0</v>
      </c>
      <c r="I11" s="97" t="e">
        <f t="shared" si="35"/>
        <v>#DIV/0!</v>
      </c>
      <c r="K11" s="31" t="str">
        <f t="shared" si="24"/>
        <v>校车、公交</v>
      </c>
      <c r="L11" s="34">
        <f t="shared" si="10"/>
        <v>0</v>
      </c>
      <c r="M11" s="35" t="e">
        <f t="shared" si="11"/>
        <v>#DIV/0!</v>
      </c>
      <c r="N11" s="34">
        <f t="shared" si="25"/>
        <v>0</v>
      </c>
      <c r="O11" s="35" t="e">
        <f t="shared" si="12"/>
        <v>#DIV/0!</v>
      </c>
      <c r="P11" s="34">
        <f t="shared" si="13"/>
        <v>17214.664990999998</v>
      </c>
      <c r="Q11" s="35">
        <f t="shared" si="14"/>
        <v>4.3037045181411673E-2</v>
      </c>
      <c r="R11" s="34">
        <f>R39/$A$1</f>
        <v>0</v>
      </c>
      <c r="S11" s="31" t="e">
        <f t="shared" si="15"/>
        <v>#DIV/0!</v>
      </c>
      <c r="U11" s="31" t="str">
        <f t="shared" si="27"/>
        <v>校车、公交</v>
      </c>
      <c r="V11" s="34">
        <f t="shared" si="28"/>
        <v>0</v>
      </c>
      <c r="W11" s="35" t="e">
        <f t="shared" si="16"/>
        <v>#DIV/0!</v>
      </c>
      <c r="X11" s="34">
        <f t="shared" si="17"/>
        <v>0</v>
      </c>
      <c r="Y11" s="35" t="e">
        <f t="shared" si="18"/>
        <v>#DIV/0!</v>
      </c>
      <c r="Z11" s="34">
        <f t="shared" si="17"/>
        <v>-13014.380269999998</v>
      </c>
      <c r="AA11" s="35">
        <f t="shared" si="19"/>
        <v>-3.7142662053563273</v>
      </c>
      <c r="AB11" s="34">
        <f t="shared" si="17"/>
        <v>0</v>
      </c>
      <c r="AC11" s="34" t="e">
        <f>AB11/$AB$28</f>
        <v>#DIV/0!</v>
      </c>
      <c r="AE11" s="31" t="str">
        <f t="shared" si="29"/>
        <v>校车、公交</v>
      </c>
      <c r="AF11" s="35" t="e">
        <f t="shared" si="30"/>
        <v>#DIV/0!</v>
      </c>
      <c r="AG11" s="35" t="e">
        <f t="shared" si="31"/>
        <v>#DIV/0!</v>
      </c>
      <c r="AH11" s="35">
        <f t="shared" si="32"/>
        <v>-3.0984519227785934</v>
      </c>
      <c r="AI11" s="35" t="e">
        <f t="shared" si="33"/>
        <v>#DIV/0!</v>
      </c>
    </row>
    <row r="12" spans="1:35" x14ac:dyDescent="0.3">
      <c r="A12" s="91" t="str">
        <f t="shared" si="20"/>
        <v>其他商品销售</v>
      </c>
      <c r="B12" s="96">
        <f t="shared" si="6"/>
        <v>0</v>
      </c>
      <c r="C12" s="97" t="e">
        <f t="shared" si="7"/>
        <v>#DIV/0!</v>
      </c>
      <c r="D12" s="34">
        <f t="shared" si="21"/>
        <v>0</v>
      </c>
      <c r="E12" s="97" t="e">
        <f t="shared" si="22"/>
        <v>#DIV/0!</v>
      </c>
      <c r="F12" s="96">
        <f t="shared" si="8"/>
        <v>3913.7530979999997</v>
      </c>
      <c r="G12" s="97">
        <f t="shared" si="9"/>
        <v>9.6995040090411041E-3</v>
      </c>
      <c r="H12" s="96">
        <f t="shared" si="34"/>
        <v>0</v>
      </c>
      <c r="I12" s="97" t="e">
        <f t="shared" si="35"/>
        <v>#DIV/0!</v>
      </c>
      <c r="K12" s="31" t="str">
        <f t="shared" si="24"/>
        <v>其他商品销售</v>
      </c>
      <c r="L12" s="34">
        <f t="shared" si="10"/>
        <v>0</v>
      </c>
      <c r="M12" s="35" t="e">
        <f t="shared" si="11"/>
        <v>#DIV/0!</v>
      </c>
      <c r="N12" s="34">
        <f t="shared" si="25"/>
        <v>0</v>
      </c>
      <c r="O12" s="35" t="e">
        <f t="shared" si="12"/>
        <v>#DIV/0!</v>
      </c>
      <c r="P12" s="34">
        <f t="shared" si="13"/>
        <v>3575.467842</v>
      </c>
      <c r="Q12" s="35">
        <f t="shared" si="14"/>
        <v>8.9387490922005902E-3</v>
      </c>
      <c r="R12" s="34"/>
      <c r="S12" s="31" t="e">
        <f t="shared" si="15"/>
        <v>#DIV/0!</v>
      </c>
      <c r="U12" s="31" t="str">
        <f t="shared" si="27"/>
        <v>其他商品销售</v>
      </c>
      <c r="V12" s="34">
        <f t="shared" si="28"/>
        <v>0</v>
      </c>
      <c r="W12" s="35" t="e">
        <f t="shared" si="16"/>
        <v>#DIV/0!</v>
      </c>
      <c r="X12" s="34">
        <f t="shared" si="17"/>
        <v>0</v>
      </c>
      <c r="Y12" s="35" t="e">
        <f t="shared" si="18"/>
        <v>#DIV/0!</v>
      </c>
      <c r="Z12" s="34">
        <f t="shared" si="17"/>
        <v>338.28525599999966</v>
      </c>
      <c r="AA12" s="35">
        <f t="shared" si="19"/>
        <v>9.6545626304425841E-2</v>
      </c>
      <c r="AB12" s="34"/>
      <c r="AC12" s="34"/>
      <c r="AE12" s="31" t="str">
        <f t="shared" si="29"/>
        <v>其他商品销售</v>
      </c>
      <c r="AF12" s="35" t="e">
        <f t="shared" si="30"/>
        <v>#DIV/0!</v>
      </c>
      <c r="AG12" s="35" t="e">
        <f t="shared" si="31"/>
        <v>#DIV/0!</v>
      </c>
      <c r="AH12" s="35">
        <f t="shared" si="32"/>
        <v>8.6435001782015755E-2</v>
      </c>
      <c r="AI12" s="35" t="e">
        <f t="shared" si="33"/>
        <v>#DIV/0!</v>
      </c>
    </row>
    <row r="13" spans="1:35" x14ac:dyDescent="0.3">
      <c r="A13" s="91" t="str">
        <f t="shared" si="20"/>
        <v>景区运营</v>
      </c>
      <c r="B13" s="96">
        <f t="shared" si="6"/>
        <v>0</v>
      </c>
      <c r="C13" s="97" t="e">
        <f t="shared" si="7"/>
        <v>#DIV/0!</v>
      </c>
      <c r="D13" s="34">
        <f t="shared" si="21"/>
        <v>0</v>
      </c>
      <c r="E13" s="97" t="e">
        <f t="shared" si="22"/>
        <v>#DIV/0!</v>
      </c>
      <c r="F13" s="96">
        <f t="shared" si="8"/>
        <v>605.04164500000002</v>
      </c>
      <c r="G13" s="97">
        <f t="shared" si="9"/>
        <v>1.4994823930802612E-3</v>
      </c>
      <c r="H13" s="96">
        <f t="shared" si="34"/>
        <v>0</v>
      </c>
      <c r="I13" s="97" t="e">
        <f t="shared" si="35"/>
        <v>#DIV/0!</v>
      </c>
      <c r="K13" s="31" t="str">
        <f t="shared" si="24"/>
        <v>景区运营</v>
      </c>
      <c r="L13" s="34">
        <f t="shared" si="10"/>
        <v>0</v>
      </c>
      <c r="M13" s="35" t="e">
        <f t="shared" si="11"/>
        <v>#DIV/0!</v>
      </c>
      <c r="N13" s="34">
        <f t="shared" si="25"/>
        <v>0</v>
      </c>
      <c r="O13" s="35" t="e">
        <f t="shared" si="12"/>
        <v>#DIV/0!</v>
      </c>
      <c r="P13" s="34">
        <f t="shared" si="13"/>
        <v>3997.943064</v>
      </c>
      <c r="Q13" s="35">
        <f t="shared" si="14"/>
        <v>9.9949465393624551E-3</v>
      </c>
      <c r="R13" s="34"/>
      <c r="S13" s="31" t="e">
        <f t="shared" si="15"/>
        <v>#DIV/0!</v>
      </c>
      <c r="U13" s="31" t="str">
        <f t="shared" si="27"/>
        <v>景区运营</v>
      </c>
      <c r="V13" s="34">
        <f t="shared" si="28"/>
        <v>0</v>
      </c>
      <c r="W13" s="35" t="e">
        <f t="shared" si="16"/>
        <v>#DIV/0!</v>
      </c>
      <c r="X13" s="34">
        <f t="shared" si="17"/>
        <v>0</v>
      </c>
      <c r="Y13" s="35" t="e">
        <f t="shared" si="18"/>
        <v>#DIV/0!</v>
      </c>
      <c r="Z13" s="34">
        <f t="shared" si="17"/>
        <v>-3392.9014189999998</v>
      </c>
      <c r="AA13" s="35">
        <f t="shared" si="19"/>
        <v>-0.96832417812064053</v>
      </c>
      <c r="AB13" s="34"/>
      <c r="AC13" s="34"/>
      <c r="AE13" s="31" t="str">
        <f t="shared" si="29"/>
        <v>景区运营</v>
      </c>
      <c r="AF13" s="35" t="e">
        <f t="shared" si="30"/>
        <v>#DIV/0!</v>
      </c>
      <c r="AG13" s="35" t="e">
        <f t="shared" si="31"/>
        <v>#DIV/0!</v>
      </c>
      <c r="AH13" s="35">
        <f t="shared" si="32"/>
        <v>-5.6077155135329564</v>
      </c>
      <c r="AI13" s="35" t="e">
        <f t="shared" si="33"/>
        <v>#DIV/0!</v>
      </c>
    </row>
    <row r="14" spans="1:35" x14ac:dyDescent="0.3">
      <c r="A14" s="91" t="str">
        <f t="shared" si="20"/>
        <v>物管</v>
      </c>
      <c r="B14" s="96"/>
      <c r="C14" s="97"/>
      <c r="D14" s="34">
        <f t="shared" si="21"/>
        <v>0</v>
      </c>
      <c r="E14" s="97" t="e">
        <f t="shared" si="22"/>
        <v>#DIV/0!</v>
      </c>
      <c r="F14" s="96"/>
      <c r="G14" s="97"/>
      <c r="H14" s="96"/>
      <c r="I14" s="97"/>
      <c r="K14" s="31" t="str">
        <f t="shared" si="24"/>
        <v>物管</v>
      </c>
      <c r="L14" s="34"/>
      <c r="M14" s="35"/>
      <c r="N14" s="34">
        <f t="shared" si="25"/>
        <v>0</v>
      </c>
      <c r="O14" s="35"/>
      <c r="P14" s="34"/>
      <c r="Q14" s="35"/>
      <c r="R14" s="34"/>
      <c r="S14" s="31"/>
      <c r="U14" s="31"/>
      <c r="V14" s="34"/>
      <c r="W14" s="35"/>
      <c r="X14" s="34"/>
      <c r="Y14" s="35"/>
      <c r="Z14" s="34"/>
      <c r="AA14" s="35"/>
      <c r="AB14" s="34"/>
      <c r="AC14" s="34"/>
      <c r="AE14" s="31"/>
      <c r="AF14" s="35"/>
      <c r="AG14" s="35"/>
      <c r="AH14" s="35"/>
      <c r="AI14" s="35"/>
    </row>
    <row r="15" spans="1:35" x14ac:dyDescent="0.3">
      <c r="A15" s="91" t="str">
        <f t="shared" si="20"/>
        <v>土地转让</v>
      </c>
      <c r="B15" s="96"/>
      <c r="C15" s="97"/>
      <c r="D15" s="34">
        <f t="shared" si="21"/>
        <v>0</v>
      </c>
      <c r="E15" s="97" t="e">
        <f t="shared" si="22"/>
        <v>#DIV/0!</v>
      </c>
      <c r="F15" s="96"/>
      <c r="G15" s="97"/>
      <c r="H15" s="96"/>
      <c r="I15" s="97"/>
      <c r="K15" s="31" t="str">
        <f t="shared" si="24"/>
        <v>土地转让</v>
      </c>
      <c r="L15" s="34"/>
      <c r="M15" s="35"/>
      <c r="N15" s="34">
        <f t="shared" si="25"/>
        <v>0</v>
      </c>
      <c r="O15" s="35"/>
      <c r="P15" s="34"/>
      <c r="Q15" s="35"/>
      <c r="R15" s="34"/>
      <c r="S15" s="31"/>
      <c r="U15" s="31"/>
      <c r="V15" s="34"/>
      <c r="W15" s="35"/>
      <c r="X15" s="34"/>
      <c r="Y15" s="35"/>
      <c r="Z15" s="34"/>
      <c r="AA15" s="35"/>
      <c r="AB15" s="34"/>
      <c r="AC15" s="34"/>
      <c r="AE15" s="31"/>
      <c r="AF15" s="35"/>
      <c r="AG15" s="35"/>
      <c r="AH15" s="35"/>
      <c r="AI15" s="35"/>
    </row>
    <row r="16" spans="1:35" x14ac:dyDescent="0.3">
      <c r="A16" s="91" t="str">
        <f t="shared" si="20"/>
        <v>工程施工</v>
      </c>
      <c r="B16" s="96"/>
      <c r="C16" s="97"/>
      <c r="D16" s="34">
        <f t="shared" si="21"/>
        <v>0</v>
      </c>
      <c r="E16" s="97" t="e">
        <f t="shared" si="22"/>
        <v>#DIV/0!</v>
      </c>
      <c r="F16" s="96"/>
      <c r="G16" s="97"/>
      <c r="H16" s="96"/>
      <c r="I16" s="97"/>
      <c r="K16" s="31" t="str">
        <f t="shared" si="24"/>
        <v>工程施工</v>
      </c>
      <c r="L16" s="34"/>
      <c r="M16" s="35"/>
      <c r="N16" s="34">
        <f t="shared" si="25"/>
        <v>0</v>
      </c>
      <c r="O16" s="35"/>
      <c r="P16" s="34"/>
      <c r="Q16" s="35"/>
      <c r="R16" s="34"/>
      <c r="S16" s="31"/>
      <c r="U16" s="31"/>
      <c r="V16" s="34"/>
      <c r="W16" s="35"/>
      <c r="X16" s="34"/>
      <c r="Y16" s="35"/>
      <c r="Z16" s="34"/>
      <c r="AA16" s="35"/>
      <c r="AB16" s="34"/>
      <c r="AC16" s="34"/>
      <c r="AE16" s="31"/>
      <c r="AF16" s="35"/>
      <c r="AG16" s="35"/>
      <c r="AH16" s="35"/>
      <c r="AI16" s="35"/>
    </row>
    <row r="17" spans="1:36" x14ac:dyDescent="0.3">
      <c r="A17" s="91" t="str">
        <f t="shared" si="20"/>
        <v>绿化养护</v>
      </c>
      <c r="B17" s="96"/>
      <c r="C17" s="97"/>
      <c r="D17" s="34">
        <f t="shared" si="21"/>
        <v>0</v>
      </c>
      <c r="E17" s="97" t="e">
        <f t="shared" si="22"/>
        <v>#DIV/0!</v>
      </c>
      <c r="F17" s="96"/>
      <c r="G17" s="97"/>
      <c r="H17" s="96"/>
      <c r="I17" s="97"/>
      <c r="K17" s="31" t="str">
        <f t="shared" si="24"/>
        <v>绿化养护</v>
      </c>
      <c r="L17" s="34"/>
      <c r="M17" s="35"/>
      <c r="N17" s="34">
        <f t="shared" si="25"/>
        <v>0</v>
      </c>
      <c r="O17" s="35"/>
      <c r="P17" s="34"/>
      <c r="Q17" s="35"/>
      <c r="R17" s="34"/>
      <c r="S17" s="31"/>
      <c r="U17" s="31"/>
      <c r="V17" s="34"/>
      <c r="W17" s="35"/>
      <c r="X17" s="34"/>
      <c r="Y17" s="35"/>
      <c r="Z17" s="34"/>
      <c r="AA17" s="35"/>
      <c r="AB17" s="34"/>
      <c r="AC17" s="34"/>
      <c r="AE17" s="31"/>
      <c r="AF17" s="35"/>
      <c r="AG17" s="35"/>
      <c r="AH17" s="35"/>
      <c r="AI17" s="35"/>
    </row>
    <row r="18" spans="1:36" x14ac:dyDescent="0.3">
      <c r="A18" s="91" t="str">
        <f t="shared" si="20"/>
        <v>其他</v>
      </c>
      <c r="B18" s="96"/>
      <c r="C18" s="97"/>
      <c r="D18" s="34">
        <f t="shared" si="21"/>
        <v>0</v>
      </c>
      <c r="E18" s="97" t="e">
        <f t="shared" si="22"/>
        <v>#DIV/0!</v>
      </c>
      <c r="F18" s="96"/>
      <c r="G18" s="97"/>
      <c r="H18" s="96"/>
      <c r="I18" s="97"/>
      <c r="K18" s="31" t="str">
        <f t="shared" si="24"/>
        <v>其他</v>
      </c>
      <c r="L18" s="34"/>
      <c r="M18" s="35"/>
      <c r="N18" s="34">
        <f t="shared" si="25"/>
        <v>0</v>
      </c>
      <c r="O18" s="35"/>
      <c r="P18" s="34"/>
      <c r="Q18" s="35"/>
      <c r="R18" s="34"/>
      <c r="S18" s="31"/>
      <c r="U18" s="31"/>
      <c r="V18" s="34"/>
      <c r="W18" s="35"/>
      <c r="X18" s="34"/>
      <c r="Y18" s="35"/>
      <c r="Z18" s="34"/>
      <c r="AA18" s="35"/>
      <c r="AB18" s="34"/>
      <c r="AC18" s="34"/>
      <c r="AE18" s="31"/>
      <c r="AF18" s="35"/>
      <c r="AG18" s="35"/>
      <c r="AH18" s="35"/>
      <c r="AI18" s="35"/>
    </row>
    <row r="19" spans="1:36" x14ac:dyDescent="0.3">
      <c r="A19" s="91" t="str">
        <f t="shared" si="20"/>
        <v>租赁收入</v>
      </c>
      <c r="B19" s="96"/>
      <c r="C19" s="97"/>
      <c r="D19" s="34">
        <f t="shared" si="21"/>
        <v>0</v>
      </c>
      <c r="E19" s="97" t="e">
        <f t="shared" si="22"/>
        <v>#DIV/0!</v>
      </c>
      <c r="F19" s="96"/>
      <c r="G19" s="97"/>
      <c r="H19" s="96"/>
      <c r="I19" s="97"/>
      <c r="K19" s="31" t="str">
        <f t="shared" si="24"/>
        <v>租赁收入</v>
      </c>
      <c r="L19" s="34"/>
      <c r="M19" s="35"/>
      <c r="N19" s="34">
        <f t="shared" si="25"/>
        <v>0</v>
      </c>
      <c r="O19" s="35"/>
      <c r="P19" s="34"/>
      <c r="Q19" s="35"/>
      <c r="R19" s="34"/>
      <c r="S19" s="31"/>
      <c r="U19" s="31"/>
      <c r="V19" s="34"/>
      <c r="W19" s="35"/>
      <c r="X19" s="34"/>
      <c r="Y19" s="35"/>
      <c r="Z19" s="34"/>
      <c r="AA19" s="35"/>
      <c r="AB19" s="34"/>
      <c r="AC19" s="34"/>
      <c r="AE19" s="31"/>
      <c r="AF19" s="35"/>
      <c r="AG19" s="35"/>
      <c r="AH19" s="35"/>
      <c r="AI19" s="35"/>
    </row>
    <row r="20" spans="1:36" x14ac:dyDescent="0.3">
      <c r="A20" s="91" t="str">
        <f t="shared" si="20"/>
        <v>利息收入</v>
      </c>
      <c r="B20" s="96"/>
      <c r="C20" s="97"/>
      <c r="D20" s="34">
        <f t="shared" si="21"/>
        <v>0</v>
      </c>
      <c r="E20" s="97" t="e">
        <f t="shared" si="22"/>
        <v>#DIV/0!</v>
      </c>
      <c r="F20" s="96"/>
      <c r="G20" s="97"/>
      <c r="H20" s="96"/>
      <c r="I20" s="97"/>
      <c r="K20" s="31" t="str">
        <f t="shared" si="24"/>
        <v>利息收入</v>
      </c>
      <c r="L20" s="34"/>
      <c r="M20" s="35"/>
      <c r="N20" s="34">
        <f t="shared" si="25"/>
        <v>0</v>
      </c>
      <c r="O20" s="35"/>
      <c r="P20" s="34"/>
      <c r="Q20" s="35"/>
      <c r="R20" s="34"/>
      <c r="S20" s="31"/>
      <c r="U20" s="31"/>
      <c r="V20" s="34"/>
      <c r="W20" s="35"/>
      <c r="X20" s="34"/>
      <c r="Y20" s="35"/>
      <c r="Z20" s="34"/>
      <c r="AA20" s="35"/>
      <c r="AB20" s="34"/>
      <c r="AC20" s="34"/>
      <c r="AE20" s="31"/>
      <c r="AF20" s="35"/>
      <c r="AG20" s="35"/>
      <c r="AH20" s="35"/>
      <c r="AI20" s="35"/>
    </row>
    <row r="21" spans="1:36" x14ac:dyDescent="0.3">
      <c r="A21" s="91" t="str">
        <f t="shared" si="20"/>
        <v>销售投资性房地产</v>
      </c>
      <c r="B21" s="96"/>
      <c r="C21" s="97"/>
      <c r="D21" s="34">
        <f t="shared" si="21"/>
        <v>0</v>
      </c>
      <c r="E21" s="97" t="e">
        <f t="shared" si="22"/>
        <v>#DIV/0!</v>
      </c>
      <c r="F21" s="96"/>
      <c r="G21" s="97"/>
      <c r="H21" s="96"/>
      <c r="I21" s="97"/>
      <c r="K21" s="31" t="str">
        <f t="shared" si="24"/>
        <v>销售投资性房地产</v>
      </c>
      <c r="L21" s="34"/>
      <c r="M21" s="35"/>
      <c r="N21" s="34">
        <f t="shared" si="25"/>
        <v>0</v>
      </c>
      <c r="O21" s="35"/>
      <c r="P21" s="34"/>
      <c r="Q21" s="35"/>
      <c r="R21" s="34"/>
      <c r="S21" s="31"/>
      <c r="U21" s="31"/>
      <c r="V21" s="34"/>
      <c r="W21" s="35"/>
      <c r="X21" s="34"/>
      <c r="Y21" s="35"/>
      <c r="Z21" s="34"/>
      <c r="AA21" s="35"/>
      <c r="AB21" s="34"/>
      <c r="AC21" s="34"/>
      <c r="AE21" s="31"/>
      <c r="AF21" s="35"/>
      <c r="AG21" s="35"/>
      <c r="AH21" s="35"/>
      <c r="AI21" s="35"/>
    </row>
    <row r="22" spans="1:36" x14ac:dyDescent="0.3">
      <c r="A22" s="91" t="str">
        <f t="shared" si="20"/>
        <v>其他</v>
      </c>
      <c r="B22" s="96"/>
      <c r="C22" s="97"/>
      <c r="D22" s="34">
        <f t="shared" si="21"/>
        <v>0</v>
      </c>
      <c r="E22" s="97" t="e">
        <f t="shared" si="22"/>
        <v>#DIV/0!</v>
      </c>
      <c r="F22" s="96"/>
      <c r="G22" s="97"/>
      <c r="H22" s="96"/>
      <c r="I22" s="97"/>
      <c r="K22" s="31" t="str">
        <f t="shared" si="24"/>
        <v>其他</v>
      </c>
      <c r="L22" s="34"/>
      <c r="M22" s="35"/>
      <c r="N22" s="34">
        <f t="shared" si="25"/>
        <v>0</v>
      </c>
      <c r="O22" s="35"/>
      <c r="P22" s="34"/>
      <c r="Q22" s="35"/>
      <c r="R22" s="34"/>
      <c r="S22" s="31"/>
      <c r="U22" s="31"/>
      <c r="V22" s="34"/>
      <c r="W22" s="35"/>
      <c r="X22" s="34"/>
      <c r="Y22" s="35"/>
      <c r="Z22" s="34"/>
      <c r="AA22" s="35"/>
      <c r="AB22" s="34"/>
      <c r="AC22" s="34"/>
      <c r="AE22" s="31"/>
      <c r="AF22" s="35"/>
      <c r="AG22" s="35"/>
      <c r="AH22" s="35"/>
      <c r="AI22" s="35"/>
    </row>
    <row r="23" spans="1:36" x14ac:dyDescent="0.3">
      <c r="A23" s="91">
        <f t="shared" si="20"/>
        <v>0</v>
      </c>
      <c r="B23" s="96"/>
      <c r="C23" s="97"/>
      <c r="D23" s="34">
        <f t="shared" si="21"/>
        <v>0</v>
      </c>
      <c r="E23" s="97" t="e">
        <f t="shared" si="22"/>
        <v>#DIV/0!</v>
      </c>
      <c r="F23" s="96"/>
      <c r="G23" s="97"/>
      <c r="H23" s="96"/>
      <c r="I23" s="97"/>
      <c r="K23" s="31">
        <f t="shared" si="24"/>
        <v>0</v>
      </c>
      <c r="L23" s="34"/>
      <c r="M23" s="35"/>
      <c r="N23" s="34">
        <f t="shared" si="25"/>
        <v>0</v>
      </c>
      <c r="O23" s="35"/>
      <c r="P23" s="34"/>
      <c r="Q23" s="35"/>
      <c r="R23" s="34"/>
      <c r="S23" s="31"/>
      <c r="U23" s="31"/>
      <c r="V23" s="34"/>
      <c r="W23" s="35"/>
      <c r="X23" s="34"/>
      <c r="Y23" s="35"/>
      <c r="Z23" s="34"/>
      <c r="AA23" s="35"/>
      <c r="AB23" s="34"/>
      <c r="AC23" s="34"/>
      <c r="AE23" s="31"/>
      <c r="AF23" s="35"/>
      <c r="AG23" s="35"/>
      <c r="AH23" s="35"/>
      <c r="AI23" s="35"/>
    </row>
    <row r="24" spans="1:36" x14ac:dyDescent="0.3">
      <c r="A24" s="91">
        <f t="shared" si="20"/>
        <v>0</v>
      </c>
      <c r="B24" s="96"/>
      <c r="C24" s="97"/>
      <c r="D24" s="34">
        <f t="shared" si="21"/>
        <v>0</v>
      </c>
      <c r="E24" s="97" t="e">
        <f t="shared" si="22"/>
        <v>#DIV/0!</v>
      </c>
      <c r="F24" s="96"/>
      <c r="G24" s="97"/>
      <c r="H24" s="96"/>
      <c r="I24" s="97"/>
      <c r="K24" s="31">
        <f t="shared" si="24"/>
        <v>0</v>
      </c>
      <c r="L24" s="34"/>
      <c r="M24" s="35"/>
      <c r="N24" s="34">
        <f t="shared" si="25"/>
        <v>0</v>
      </c>
      <c r="O24" s="35"/>
      <c r="P24" s="34"/>
      <c r="Q24" s="35"/>
      <c r="R24" s="34"/>
      <c r="S24" s="31"/>
      <c r="U24" s="31"/>
      <c r="V24" s="34"/>
      <c r="W24" s="35"/>
      <c r="X24" s="34"/>
      <c r="Y24" s="35"/>
      <c r="Z24" s="34"/>
      <c r="AA24" s="35"/>
      <c r="AB24" s="34"/>
      <c r="AC24" s="34"/>
      <c r="AE24" s="31"/>
      <c r="AF24" s="35"/>
      <c r="AG24" s="35"/>
      <c r="AH24" s="35"/>
      <c r="AI24" s="35"/>
    </row>
    <row r="25" spans="1:36" x14ac:dyDescent="0.3">
      <c r="A25" s="91">
        <f t="shared" si="20"/>
        <v>0</v>
      </c>
      <c r="B25" s="96"/>
      <c r="C25" s="97"/>
      <c r="D25" s="34">
        <f t="shared" si="21"/>
        <v>0</v>
      </c>
      <c r="E25" s="97" t="e">
        <f t="shared" si="22"/>
        <v>#DIV/0!</v>
      </c>
      <c r="F25" s="96"/>
      <c r="G25" s="97"/>
      <c r="H25" s="96"/>
      <c r="I25" s="97"/>
      <c r="K25" s="31">
        <f t="shared" si="24"/>
        <v>0</v>
      </c>
      <c r="L25" s="34"/>
      <c r="M25" s="35"/>
      <c r="N25" s="34">
        <f t="shared" si="25"/>
        <v>0</v>
      </c>
      <c r="O25" s="35"/>
      <c r="P25" s="34"/>
      <c r="Q25" s="35"/>
      <c r="R25" s="34"/>
      <c r="S25" s="31"/>
      <c r="U25" s="31"/>
      <c r="V25" s="34"/>
      <c r="W25" s="35"/>
      <c r="X25" s="34"/>
      <c r="Y25" s="35"/>
      <c r="Z25" s="34"/>
      <c r="AA25" s="35"/>
      <c r="AB25" s="34"/>
      <c r="AC25" s="34"/>
      <c r="AE25" s="31"/>
      <c r="AF25" s="35"/>
      <c r="AG25" s="35"/>
      <c r="AH25" s="35"/>
      <c r="AI25" s="35"/>
    </row>
    <row r="26" spans="1:36" x14ac:dyDescent="0.3">
      <c r="A26" s="91">
        <f t="shared" si="20"/>
        <v>0</v>
      </c>
      <c r="B26" s="96"/>
      <c r="C26" s="97"/>
      <c r="D26" s="34">
        <f t="shared" si="21"/>
        <v>0</v>
      </c>
      <c r="E26" s="97" t="e">
        <f t="shared" si="22"/>
        <v>#DIV/0!</v>
      </c>
      <c r="F26" s="96"/>
      <c r="G26" s="97"/>
      <c r="H26" s="96"/>
      <c r="I26" s="97"/>
      <c r="K26" s="31">
        <f t="shared" si="24"/>
        <v>0</v>
      </c>
      <c r="L26" s="34"/>
      <c r="M26" s="35"/>
      <c r="N26" s="34">
        <f t="shared" si="25"/>
        <v>0</v>
      </c>
      <c r="O26" s="35"/>
      <c r="P26" s="34"/>
      <c r="Q26" s="35"/>
      <c r="R26" s="34"/>
      <c r="S26" s="31"/>
      <c r="U26" s="31"/>
      <c r="V26" s="34"/>
      <c r="W26" s="35"/>
      <c r="X26" s="34"/>
      <c r="Y26" s="35"/>
      <c r="Z26" s="34"/>
      <c r="AA26" s="35"/>
      <c r="AB26" s="34"/>
      <c r="AC26" s="34"/>
      <c r="AE26" s="31"/>
      <c r="AF26" s="35"/>
      <c r="AG26" s="35"/>
      <c r="AH26" s="35"/>
      <c r="AI26" s="35"/>
    </row>
    <row r="27" spans="1:36" x14ac:dyDescent="0.3">
      <c r="A27" s="91">
        <f t="shared" si="20"/>
        <v>0</v>
      </c>
      <c r="B27" s="96">
        <f t="shared" ref="B27" si="36">B42/$A$1</f>
        <v>0</v>
      </c>
      <c r="C27" s="97" t="e">
        <f>B27/$B$28</f>
        <v>#DIV/0!</v>
      </c>
      <c r="D27" s="34">
        <f t="shared" si="21"/>
        <v>0</v>
      </c>
      <c r="E27" s="97" t="e">
        <f t="shared" si="22"/>
        <v>#DIV/0!</v>
      </c>
      <c r="F27" s="96">
        <f t="shared" ref="F27" si="37">F42/$A$1</f>
        <v>0</v>
      </c>
      <c r="G27" s="97">
        <f>F27/$F$28</f>
        <v>0</v>
      </c>
      <c r="H27" s="96">
        <f t="shared" ref="H27" si="38">H42/$A$1</f>
        <v>0</v>
      </c>
      <c r="I27" s="97" t="e">
        <f>H27/$H$28</f>
        <v>#DIV/0!</v>
      </c>
      <c r="K27" s="31">
        <f t="shared" si="24"/>
        <v>0</v>
      </c>
      <c r="L27" s="34">
        <f t="shared" ref="L27" si="39">L42/$A$1</f>
        <v>0</v>
      </c>
      <c r="M27" s="35" t="e">
        <f>L27/$L$28</f>
        <v>#DIV/0!</v>
      </c>
      <c r="N27" s="34">
        <f t="shared" si="25"/>
        <v>0</v>
      </c>
      <c r="O27" s="35" t="e">
        <f>N27/$N$28</f>
        <v>#DIV/0!</v>
      </c>
      <c r="P27" s="34">
        <f t="shared" ref="P27" si="40">P42/$A$1</f>
        <v>0</v>
      </c>
      <c r="Q27" s="35">
        <f>P27/$P$28</f>
        <v>0</v>
      </c>
      <c r="R27" s="34">
        <f>R40/$A$1</f>
        <v>0</v>
      </c>
      <c r="S27" s="31" t="e">
        <f>R27/$R$28</f>
        <v>#DIV/0!</v>
      </c>
      <c r="U27" s="31">
        <f t="shared" si="27"/>
        <v>0</v>
      </c>
      <c r="V27" s="34">
        <f t="shared" si="28"/>
        <v>0</v>
      </c>
      <c r="W27" s="35" t="e">
        <f>V27/$V$28</f>
        <v>#DIV/0!</v>
      </c>
      <c r="X27" s="34">
        <f t="shared" si="17"/>
        <v>0</v>
      </c>
      <c r="Y27" s="35" t="e">
        <f>X27/$X$28</f>
        <v>#DIV/0!</v>
      </c>
      <c r="Z27" s="34">
        <f t="shared" si="17"/>
        <v>0</v>
      </c>
      <c r="AA27" s="35">
        <f>Z27/$Z$28</f>
        <v>0</v>
      </c>
      <c r="AB27" s="34">
        <f t="shared" si="17"/>
        <v>0</v>
      </c>
      <c r="AC27" s="34" t="e">
        <f>AB27/$AB$28</f>
        <v>#DIV/0!</v>
      </c>
      <c r="AE27" s="31">
        <f t="shared" si="29"/>
        <v>0</v>
      </c>
      <c r="AF27" s="35" t="e">
        <f t="shared" si="30"/>
        <v>#DIV/0!</v>
      </c>
      <c r="AG27" s="35" t="e">
        <f t="shared" si="31"/>
        <v>#DIV/0!</v>
      </c>
      <c r="AH27" s="35" t="e">
        <f t="shared" si="32"/>
        <v>#DIV/0!</v>
      </c>
      <c r="AI27" s="35" t="e">
        <f t="shared" si="33"/>
        <v>#DIV/0!</v>
      </c>
    </row>
    <row r="28" spans="1:36" s="43" customFormat="1" x14ac:dyDescent="0.3">
      <c r="A28" s="95" t="s">
        <v>272</v>
      </c>
      <c r="B28" s="94">
        <f>SUM(B5:B27)</f>
        <v>0</v>
      </c>
      <c r="C28" s="98" t="e">
        <f t="shared" ref="C28:S28" si="41">SUM(C5:C27)</f>
        <v>#DIV/0!</v>
      </c>
      <c r="D28" s="94">
        <f t="shared" si="41"/>
        <v>0</v>
      </c>
      <c r="E28" s="98" t="e">
        <f t="shared" si="41"/>
        <v>#DIV/0!</v>
      </c>
      <c r="F28" s="94">
        <f t="shared" si="41"/>
        <v>403500.33304300002</v>
      </c>
      <c r="G28" s="98">
        <f t="shared" si="41"/>
        <v>1</v>
      </c>
      <c r="H28" s="94">
        <f t="shared" si="41"/>
        <v>0</v>
      </c>
      <c r="I28" s="104" t="e">
        <f t="shared" si="41"/>
        <v>#DIV/0!</v>
      </c>
      <c r="J28" s="24"/>
      <c r="K28" s="104" t="str">
        <f t="shared" ref="K28" si="42">A28</f>
        <v>合计</v>
      </c>
      <c r="L28" s="94">
        <f>SUM(L5:L27)</f>
        <v>0</v>
      </c>
      <c r="M28" s="98" t="e">
        <f t="shared" si="41"/>
        <v>#DIV/0!</v>
      </c>
      <c r="N28" s="94">
        <f t="shared" si="41"/>
        <v>0</v>
      </c>
      <c r="O28" s="98" t="e">
        <f t="shared" si="41"/>
        <v>#DIV/0!</v>
      </c>
      <c r="P28" s="94">
        <f t="shared" si="41"/>
        <v>399996.44302800001</v>
      </c>
      <c r="Q28" s="98">
        <f t="shared" si="41"/>
        <v>1</v>
      </c>
      <c r="R28" s="94">
        <f t="shared" si="41"/>
        <v>0</v>
      </c>
      <c r="S28" s="104" t="e">
        <f t="shared" si="41"/>
        <v>#DIV/0!</v>
      </c>
      <c r="U28" s="28" t="str">
        <f t="shared" si="27"/>
        <v>合计</v>
      </c>
      <c r="V28" s="34">
        <f>SUM(V5:V27)</f>
        <v>0</v>
      </c>
      <c r="W28" s="35" t="e">
        <f>V28/$V$28</f>
        <v>#DIV/0!</v>
      </c>
      <c r="X28" s="34">
        <f>SUM(X5:X27)</f>
        <v>0</v>
      </c>
      <c r="Y28" s="35" t="e">
        <f t="shared" ref="Y28:AC28" si="43">SUM(Y5:Y27)</f>
        <v>#DIV/0!</v>
      </c>
      <c r="Z28" s="34">
        <f t="shared" si="43"/>
        <v>3503.8900150000063</v>
      </c>
      <c r="AA28" s="35">
        <f t="shared" si="43"/>
        <v>0.99999999999999967</v>
      </c>
      <c r="AB28" s="34">
        <f t="shared" si="43"/>
        <v>0</v>
      </c>
      <c r="AC28" s="34" t="e">
        <f t="shared" si="43"/>
        <v>#DIV/0!</v>
      </c>
      <c r="AE28" s="28" t="str">
        <f t="shared" ref="AE28" si="44">A28</f>
        <v>合计</v>
      </c>
      <c r="AF28" s="35" t="e">
        <f t="shared" si="30"/>
        <v>#DIV/0!</v>
      </c>
      <c r="AG28" s="35" t="e">
        <f t="shared" si="31"/>
        <v>#DIV/0!</v>
      </c>
      <c r="AH28" s="35">
        <f t="shared" si="32"/>
        <v>8.6837351250131575E-3</v>
      </c>
      <c r="AI28" s="35" t="e">
        <f t="shared" si="33"/>
        <v>#DIV/0!</v>
      </c>
    </row>
    <row r="29" spans="1:36" x14ac:dyDescent="0.3">
      <c r="B29" s="25"/>
      <c r="D29" s="25"/>
      <c r="F29" s="25"/>
      <c r="H29" s="25"/>
      <c r="L29" s="25"/>
      <c r="N29" s="25"/>
      <c r="P29" s="25"/>
      <c r="R29" s="25"/>
    </row>
    <row r="30" spans="1:36" x14ac:dyDescent="0.3">
      <c r="D30" s="25"/>
    </row>
    <row r="31" spans="1:36" x14ac:dyDescent="0.3">
      <c r="A31" s="452" t="s">
        <v>278</v>
      </c>
      <c r="B31" s="451" t="str">
        <f>B3</f>
        <v>2024年1-9月</v>
      </c>
      <c r="C31" s="452"/>
      <c r="D31" s="451" t="str">
        <f t="shared" ref="D31" si="45">D3</f>
        <v>2023年度</v>
      </c>
      <c r="E31" s="452"/>
      <c r="F31" s="451" t="str">
        <f t="shared" ref="F31" si="46">F3</f>
        <v>2022年度</v>
      </c>
      <c r="G31" s="452"/>
      <c r="H31" s="451" t="str">
        <f t="shared" ref="H31" si="47">H3</f>
        <v>2021年度</v>
      </c>
      <c r="I31" s="452"/>
      <c r="K31" s="452" t="s">
        <v>278</v>
      </c>
      <c r="L31" s="451" t="str">
        <f>B31</f>
        <v>2024年1-9月</v>
      </c>
      <c r="M31" s="452"/>
      <c r="N31" s="451" t="str">
        <f t="shared" ref="N31" si="48">D31</f>
        <v>2023年度</v>
      </c>
      <c r="O31" s="452"/>
      <c r="P31" s="451" t="str">
        <f t="shared" ref="P31" si="49">F31</f>
        <v>2022年度</v>
      </c>
      <c r="Q31" s="452"/>
      <c r="R31" s="451" t="str">
        <f t="shared" ref="R31" si="50">H31</f>
        <v>2021年度</v>
      </c>
      <c r="S31" s="452"/>
      <c r="X31" s="26"/>
      <c r="Y31" s="26"/>
      <c r="Z31" s="26"/>
      <c r="AE31" s="24" t="s">
        <v>1060</v>
      </c>
      <c r="AF31" s="26" t="e">
        <f>SUM(V5:V11)/SUM(B5:B11)</f>
        <v>#DIV/0!</v>
      </c>
      <c r="AG31" s="26"/>
      <c r="AH31" s="26" t="e">
        <f t="shared" ref="AH31:AJ31" si="51">SUM(X5:X11)/SUM(D5:D11)</f>
        <v>#DIV/0!</v>
      </c>
      <c r="AI31" s="26"/>
      <c r="AJ31" s="26">
        <f t="shared" si="51"/>
        <v>1.6438119432655478E-2</v>
      </c>
    </row>
    <row r="32" spans="1:36" x14ac:dyDescent="0.3">
      <c r="A32" s="452"/>
      <c r="B32" s="99" t="s">
        <v>729</v>
      </c>
      <c r="C32" s="99" t="s">
        <v>763</v>
      </c>
      <c r="D32" s="99" t="s">
        <v>729</v>
      </c>
      <c r="E32" s="99" t="s">
        <v>763</v>
      </c>
      <c r="F32" s="99" t="s">
        <v>729</v>
      </c>
      <c r="G32" s="99" t="s">
        <v>763</v>
      </c>
      <c r="H32" s="99" t="s">
        <v>729</v>
      </c>
      <c r="I32" s="99" t="s">
        <v>763</v>
      </c>
      <c r="K32" s="452"/>
      <c r="L32" s="99" t="s">
        <v>729</v>
      </c>
      <c r="M32" s="99" t="s">
        <v>763</v>
      </c>
      <c r="N32" s="99" t="s">
        <v>729</v>
      </c>
      <c r="O32" s="99" t="s">
        <v>763</v>
      </c>
      <c r="P32" s="99" t="s">
        <v>729</v>
      </c>
      <c r="Q32" s="99" t="s">
        <v>763</v>
      </c>
      <c r="R32" s="99" t="s">
        <v>729</v>
      </c>
      <c r="S32" s="99" t="s">
        <v>763</v>
      </c>
      <c r="X32" s="26">
        <f>X5/'合并-is'!C41</f>
        <v>0</v>
      </c>
      <c r="Y32" s="26"/>
      <c r="Z32" s="26">
        <f>Z5/'合并-is'!D41</f>
        <v>8.2580700453220843E-2</v>
      </c>
      <c r="AE32" s="24" t="s">
        <v>1061</v>
      </c>
      <c r="AF32" s="26" t="e">
        <f>SUM(V12:V27)/SUM(B12:B27)</f>
        <v>#DIV/0!</v>
      </c>
      <c r="AG32" s="26"/>
      <c r="AH32" s="26" t="e">
        <f t="shared" ref="AH32:AJ32" si="52">SUM(X12:X27)/SUM(D12:D27)</f>
        <v>#DIV/0!</v>
      </c>
      <c r="AI32" s="26"/>
      <c r="AJ32" s="26">
        <f t="shared" si="52"/>
        <v>-0.67598028605567062</v>
      </c>
    </row>
    <row r="33" spans="1:26" x14ac:dyDescent="0.3">
      <c r="A33" s="100" t="s">
        <v>1063</v>
      </c>
      <c r="B33" s="101"/>
      <c r="C33" s="102"/>
      <c r="D33" s="101"/>
      <c r="E33" s="102"/>
      <c r="F33" s="101">
        <v>1745142024.5999999</v>
      </c>
      <c r="G33" s="102"/>
      <c r="H33" s="101"/>
      <c r="I33" s="102"/>
      <c r="K33" s="105" t="str">
        <f>A33</f>
        <v>粮食销售</v>
      </c>
      <c r="L33" s="106"/>
      <c r="M33" s="106"/>
      <c r="N33" s="106"/>
      <c r="O33" s="106"/>
      <c r="P33" s="106">
        <v>1717923908.76</v>
      </c>
      <c r="Q33" s="108"/>
      <c r="R33" s="109"/>
      <c r="S33" s="105"/>
      <c r="X33" s="26"/>
      <c r="Y33" s="26"/>
      <c r="Z33" s="26"/>
    </row>
    <row r="34" spans="1:26" x14ac:dyDescent="0.3">
      <c r="A34" s="100" t="s">
        <v>1072</v>
      </c>
      <c r="B34" s="101"/>
      <c r="C34" s="102"/>
      <c r="D34" s="101"/>
      <c r="E34" s="102"/>
      <c r="F34" s="101">
        <v>1181913546.1199999</v>
      </c>
      <c r="G34" s="102"/>
      <c r="H34" s="101"/>
      <c r="I34" s="102"/>
      <c r="K34" s="105" t="str">
        <f t="shared" ref="K34:K58" si="53">A34</f>
        <v>代建工程</v>
      </c>
      <c r="L34" s="106"/>
      <c r="M34" s="106"/>
      <c r="N34" s="106"/>
      <c r="O34" s="106"/>
      <c r="P34" s="106">
        <v>941192708.10000002</v>
      </c>
      <c r="Q34" s="108"/>
      <c r="R34" s="109"/>
      <c r="S34" s="105"/>
    </row>
    <row r="35" spans="1:26" x14ac:dyDescent="0.3">
      <c r="A35" s="100" t="s">
        <v>1062</v>
      </c>
      <c r="B35" s="101"/>
      <c r="C35" s="102"/>
      <c r="D35" s="101"/>
      <c r="E35" s="102"/>
      <c r="F35" s="101">
        <v>884585953.94000006</v>
      </c>
      <c r="G35" s="102"/>
      <c r="H35" s="101"/>
      <c r="I35" s="102"/>
      <c r="K35" s="105" t="str">
        <f t="shared" si="53"/>
        <v>房屋销售</v>
      </c>
      <c r="L35" s="106"/>
      <c r="M35" s="106"/>
      <c r="N35" s="106"/>
      <c r="O35" s="106"/>
      <c r="P35" s="106">
        <v>859423730.70000005</v>
      </c>
      <c r="Q35" s="108"/>
      <c r="R35" s="109"/>
      <c r="S35" s="105"/>
    </row>
    <row r="36" spans="1:26" x14ac:dyDescent="0.3">
      <c r="A36" s="100" t="s">
        <v>1073</v>
      </c>
      <c r="B36" s="101"/>
      <c r="C36" s="102"/>
      <c r="D36" s="101"/>
      <c r="E36" s="102"/>
      <c r="F36" s="101">
        <v>74781868.840000004</v>
      </c>
      <c r="G36" s="102"/>
      <c r="H36" s="101"/>
      <c r="I36" s="102"/>
      <c r="K36" s="105" t="str">
        <f t="shared" si="53"/>
        <v>供水、污水处理</v>
      </c>
      <c r="L36" s="106"/>
      <c r="M36" s="106"/>
      <c r="N36" s="106"/>
      <c r="O36" s="106"/>
      <c r="P36" s="106">
        <v>181663905.49000001</v>
      </c>
      <c r="Q36" s="108"/>
      <c r="R36" s="109"/>
      <c r="S36" s="105"/>
    </row>
    <row r="37" spans="1:26" x14ac:dyDescent="0.3">
      <c r="A37" s="100" t="s">
        <v>1074</v>
      </c>
      <c r="B37" s="101"/>
      <c r="C37" s="102"/>
      <c r="D37" s="101"/>
      <c r="E37" s="102"/>
      <c r="F37" s="101">
        <v>0</v>
      </c>
      <c r="G37" s="102"/>
      <c r="H37" s="101"/>
      <c r="I37" s="102"/>
      <c r="K37" s="105" t="str">
        <f t="shared" si="53"/>
        <v>供水管网施工</v>
      </c>
      <c r="L37" s="106"/>
      <c r="M37" s="106"/>
      <c r="N37" s="106"/>
      <c r="O37" s="106"/>
      <c r="P37" s="106">
        <v>0</v>
      </c>
      <c r="Q37" s="108"/>
      <c r="R37" s="105"/>
      <c r="S37" s="105"/>
    </row>
    <row r="38" spans="1:26" x14ac:dyDescent="0.3">
      <c r="A38" s="100" t="s">
        <v>1075</v>
      </c>
      <c r="B38" s="101"/>
      <c r="C38" s="102"/>
      <c r="D38" s="101"/>
      <c r="E38" s="102"/>
      <c r="F38" s="101">
        <v>61389142.289999999</v>
      </c>
      <c r="G38" s="102"/>
      <c r="H38" s="101"/>
      <c r="I38" s="102"/>
      <c r="K38" s="105" t="str">
        <f t="shared" si="53"/>
        <v>保安、押运</v>
      </c>
      <c r="L38" s="106"/>
      <c r="M38" s="106"/>
      <c r="N38" s="106"/>
      <c r="O38" s="106"/>
      <c r="P38" s="106">
        <v>51879418.259999998</v>
      </c>
      <c r="Q38" s="105"/>
      <c r="R38" s="109"/>
      <c r="S38" s="105"/>
    </row>
    <row r="39" spans="1:26" x14ac:dyDescent="0.3">
      <c r="A39" s="100" t="s">
        <v>1076</v>
      </c>
      <c r="B39" s="101"/>
      <c r="C39" s="102"/>
      <c r="D39" s="101"/>
      <c r="E39" s="102"/>
      <c r="F39" s="101">
        <v>42002847.210000001</v>
      </c>
      <c r="G39" s="100"/>
      <c r="H39" s="101"/>
      <c r="I39" s="102"/>
      <c r="K39" s="105" t="str">
        <f t="shared" si="53"/>
        <v>校车、公交</v>
      </c>
      <c r="L39" s="106"/>
      <c r="M39" s="106"/>
      <c r="N39" s="106"/>
      <c r="O39" s="106"/>
      <c r="P39" s="106">
        <v>172146649.91</v>
      </c>
      <c r="Q39" s="105"/>
      <c r="R39" s="109"/>
      <c r="S39" s="105"/>
    </row>
    <row r="40" spans="1:26" x14ac:dyDescent="0.3">
      <c r="A40" s="100" t="s">
        <v>1077</v>
      </c>
      <c r="B40" s="101"/>
      <c r="C40" s="100"/>
      <c r="D40" s="101"/>
      <c r="E40" s="100"/>
      <c r="F40" s="101">
        <v>39137530.979999997</v>
      </c>
      <c r="G40" s="102"/>
      <c r="H40" s="101"/>
      <c r="I40" s="102"/>
      <c r="K40" s="105" t="str">
        <f t="shared" si="53"/>
        <v>其他商品销售</v>
      </c>
      <c r="L40" s="106"/>
      <c r="M40" s="106"/>
      <c r="N40" s="106"/>
      <c r="O40" s="106"/>
      <c r="P40" s="106">
        <v>35754678.420000002</v>
      </c>
      <c r="Q40" s="105"/>
      <c r="R40" s="109"/>
      <c r="S40" s="105"/>
    </row>
    <row r="41" spans="1:26" x14ac:dyDescent="0.3">
      <c r="A41" s="100" t="s">
        <v>1078</v>
      </c>
      <c r="B41" s="101"/>
      <c r="C41" s="102"/>
      <c r="D41" s="101"/>
      <c r="E41" s="102"/>
      <c r="F41" s="101">
        <v>6050416.4500000002</v>
      </c>
      <c r="G41" s="102"/>
      <c r="H41" s="101"/>
      <c r="I41" s="102"/>
      <c r="K41" s="105" t="str">
        <f t="shared" si="53"/>
        <v>景区运营</v>
      </c>
      <c r="L41" s="106"/>
      <c r="M41" s="106"/>
      <c r="N41" s="106"/>
      <c r="O41" s="106"/>
      <c r="P41" s="106">
        <v>39979430.640000001</v>
      </c>
      <c r="Q41" s="105"/>
      <c r="R41" s="109"/>
      <c r="S41" s="105"/>
    </row>
    <row r="42" spans="1:26" x14ac:dyDescent="0.3">
      <c r="A42" s="100" t="s">
        <v>1067</v>
      </c>
      <c r="B42" s="101"/>
      <c r="C42" s="102"/>
      <c r="D42" s="101"/>
      <c r="E42" s="102"/>
      <c r="F42" s="101">
        <v>0</v>
      </c>
      <c r="G42" s="102"/>
      <c r="H42" s="101"/>
      <c r="I42" s="102"/>
      <c r="K42" s="105" t="str">
        <f t="shared" si="53"/>
        <v>物管</v>
      </c>
      <c r="L42" s="106"/>
      <c r="M42" s="106"/>
      <c r="N42" s="106"/>
      <c r="O42" s="106"/>
      <c r="P42" s="106">
        <v>0</v>
      </c>
      <c r="Q42" s="105"/>
      <c r="R42" s="105"/>
      <c r="S42" s="105"/>
    </row>
    <row r="43" spans="1:26" x14ac:dyDescent="0.3">
      <c r="A43" s="100" t="s">
        <v>1079</v>
      </c>
      <c r="B43" s="101"/>
      <c r="C43" s="102"/>
      <c r="D43" s="101"/>
      <c r="E43" s="102"/>
      <c r="F43" s="101">
        <v>835748623.85000002</v>
      </c>
      <c r="G43" s="102"/>
      <c r="H43" s="101"/>
      <c r="I43" s="102"/>
      <c r="K43" s="105" t="str">
        <f t="shared" si="53"/>
        <v>土地转让</v>
      </c>
      <c r="L43" s="106"/>
      <c r="M43" s="106"/>
      <c r="N43" s="106"/>
      <c r="O43" s="106"/>
      <c r="P43" s="106">
        <v>712244711.20000005</v>
      </c>
      <c r="Q43" s="105"/>
      <c r="R43" s="105"/>
      <c r="S43" s="105"/>
    </row>
    <row r="44" spans="1:26" x14ac:dyDescent="0.3">
      <c r="A44" s="100" t="s">
        <v>1065</v>
      </c>
      <c r="B44" s="101"/>
      <c r="C44" s="102"/>
      <c r="D44" s="101"/>
      <c r="E44" s="102"/>
      <c r="F44" s="101">
        <v>42717055.670000002</v>
      </c>
      <c r="G44" s="102"/>
      <c r="H44" s="101"/>
      <c r="I44" s="102"/>
      <c r="K44" s="105" t="str">
        <f t="shared" si="53"/>
        <v>工程施工</v>
      </c>
      <c r="L44" s="106"/>
      <c r="M44" s="106"/>
      <c r="N44" s="106"/>
      <c r="O44" s="106"/>
      <c r="P44" s="106">
        <v>32073076.09</v>
      </c>
      <c r="Q44" s="105"/>
      <c r="R44" s="105"/>
      <c r="S44" s="105"/>
    </row>
    <row r="45" spans="1:26" x14ac:dyDescent="0.3">
      <c r="A45" s="100" t="s">
        <v>1066</v>
      </c>
      <c r="B45" s="101"/>
      <c r="C45" s="102"/>
      <c r="D45" s="101"/>
      <c r="E45" s="102"/>
      <c r="F45" s="101">
        <v>27836964.760000002</v>
      </c>
      <c r="G45" s="102"/>
      <c r="H45" s="101"/>
      <c r="I45" s="102"/>
      <c r="K45" s="105" t="str">
        <f t="shared" si="53"/>
        <v>绿化养护</v>
      </c>
      <c r="L45" s="106"/>
      <c r="M45" s="106"/>
      <c r="N45" s="106"/>
      <c r="O45" s="106"/>
      <c r="P45" s="106">
        <v>19281683.989999998</v>
      </c>
      <c r="Q45" s="105"/>
      <c r="R45" s="105"/>
      <c r="S45" s="105"/>
    </row>
    <row r="46" spans="1:26" x14ac:dyDescent="0.3">
      <c r="A46" s="100" t="s">
        <v>247</v>
      </c>
      <c r="B46" s="101"/>
      <c r="C46" s="102"/>
      <c r="D46" s="101"/>
      <c r="E46" s="102"/>
      <c r="F46" s="101">
        <v>28256998.16</v>
      </c>
      <c r="G46" s="102"/>
      <c r="H46" s="101"/>
      <c r="I46" s="102"/>
      <c r="K46" s="105" t="str">
        <f t="shared" si="53"/>
        <v>其他</v>
      </c>
      <c r="L46" s="106"/>
      <c r="M46" s="106"/>
      <c r="N46" s="106"/>
      <c r="O46" s="106"/>
      <c r="P46" s="106">
        <v>45490246.75</v>
      </c>
      <c r="Q46" s="105"/>
      <c r="R46" s="105"/>
      <c r="S46" s="105"/>
    </row>
    <row r="47" spans="1:26" x14ac:dyDescent="0.3">
      <c r="A47" s="100" t="s">
        <v>1080</v>
      </c>
      <c r="B47" s="101"/>
      <c r="C47" s="102"/>
      <c r="D47" s="101"/>
      <c r="E47" s="102"/>
      <c r="F47" s="101">
        <v>883000262.98000002</v>
      </c>
      <c r="G47" s="102"/>
      <c r="H47" s="101"/>
      <c r="I47" s="102"/>
      <c r="K47" s="105" t="str">
        <f t="shared" si="53"/>
        <v>租赁收入</v>
      </c>
      <c r="L47" s="106"/>
      <c r="M47" s="106"/>
      <c r="N47" s="106"/>
      <c r="O47" s="106"/>
      <c r="P47" s="106">
        <v>231529773.61000001</v>
      </c>
      <c r="Q47" s="105"/>
      <c r="R47" s="105"/>
      <c r="S47" s="105"/>
    </row>
    <row r="48" spans="1:26" x14ac:dyDescent="0.3">
      <c r="A48" s="100" t="s">
        <v>1081</v>
      </c>
      <c r="B48" s="101"/>
      <c r="C48" s="102"/>
      <c r="D48" s="101"/>
      <c r="E48" s="102"/>
      <c r="F48" s="101"/>
      <c r="G48" s="102"/>
      <c r="H48" s="101"/>
      <c r="I48" s="102"/>
      <c r="K48" s="105" t="str">
        <f t="shared" si="53"/>
        <v>利息收入</v>
      </c>
      <c r="L48" s="106"/>
      <c r="M48" s="106"/>
      <c r="N48" s="106"/>
      <c r="O48" s="106"/>
      <c r="P48" s="106">
        <v>0</v>
      </c>
      <c r="Q48" s="105"/>
      <c r="R48" s="105"/>
      <c r="S48" s="105"/>
    </row>
    <row r="49" spans="1:27" x14ac:dyDescent="0.3">
      <c r="A49" s="100" t="s">
        <v>1082</v>
      </c>
      <c r="B49" s="101"/>
      <c r="C49" s="102"/>
      <c r="D49" s="101"/>
      <c r="E49" s="102"/>
      <c r="F49" s="101">
        <v>146788990.83000001</v>
      </c>
      <c r="G49" s="102"/>
      <c r="H49" s="101"/>
      <c r="I49" s="102"/>
      <c r="K49" s="105" t="str">
        <f t="shared" si="53"/>
        <v>销售投资性房地产</v>
      </c>
      <c r="L49" s="106"/>
      <c r="M49" s="106"/>
      <c r="N49" s="106"/>
      <c r="O49" s="106"/>
      <c r="P49" s="106">
        <v>134899959.63</v>
      </c>
      <c r="Q49" s="105"/>
      <c r="R49" s="105"/>
      <c r="S49" s="105"/>
    </row>
    <row r="50" spans="1:27" x14ac:dyDescent="0.3">
      <c r="A50" s="100" t="s">
        <v>247</v>
      </c>
      <c r="B50" s="101"/>
      <c r="C50" s="102"/>
      <c r="D50" s="101"/>
      <c r="E50" s="102"/>
      <c r="F50" s="101">
        <v>6292107.6100000003</v>
      </c>
      <c r="G50" s="102"/>
      <c r="H50" s="101"/>
      <c r="I50" s="102"/>
      <c r="K50" s="105" t="str">
        <f t="shared" si="53"/>
        <v>其他</v>
      </c>
      <c r="L50" s="106"/>
      <c r="M50" s="106"/>
      <c r="N50" s="106"/>
      <c r="O50" s="106"/>
      <c r="P50" s="106">
        <v>13180550.220000001</v>
      </c>
      <c r="Q50" s="105"/>
      <c r="R50" s="105"/>
      <c r="S50" s="105"/>
    </row>
    <row r="51" spans="1:27" x14ac:dyDescent="0.3">
      <c r="A51" s="100"/>
      <c r="B51" s="101"/>
      <c r="C51" s="102"/>
      <c r="D51" s="101"/>
      <c r="E51" s="102"/>
      <c r="F51" s="101"/>
      <c r="G51" s="102"/>
      <c r="H51" s="101"/>
      <c r="I51" s="102"/>
      <c r="K51" s="105">
        <f t="shared" si="53"/>
        <v>0</v>
      </c>
      <c r="L51" s="106"/>
      <c r="M51" s="106"/>
      <c r="N51" s="106"/>
      <c r="O51" s="106"/>
      <c r="P51" s="106"/>
      <c r="Q51" s="105"/>
      <c r="R51" s="105"/>
      <c r="S51" s="105"/>
    </row>
    <row r="52" spans="1:27" x14ac:dyDescent="0.3">
      <c r="A52" s="100"/>
      <c r="B52" s="101"/>
      <c r="C52" s="102"/>
      <c r="D52" s="101"/>
      <c r="E52" s="102"/>
      <c r="F52" s="101"/>
      <c r="G52" s="102"/>
      <c r="H52" s="101"/>
      <c r="I52" s="102"/>
      <c r="K52" s="105">
        <f t="shared" si="53"/>
        <v>0</v>
      </c>
      <c r="L52" s="106"/>
      <c r="M52" s="106"/>
      <c r="N52" s="106"/>
      <c r="O52" s="106"/>
      <c r="P52" s="106"/>
      <c r="Q52" s="105"/>
      <c r="R52" s="105"/>
      <c r="S52" s="105"/>
    </row>
    <row r="53" spans="1:27" x14ac:dyDescent="0.3">
      <c r="A53" s="100"/>
      <c r="B53" s="101"/>
      <c r="C53" s="102"/>
      <c r="D53" s="101"/>
      <c r="E53" s="102"/>
      <c r="F53" s="101"/>
      <c r="G53" s="102"/>
      <c r="H53" s="101"/>
      <c r="I53" s="102"/>
      <c r="K53" s="105">
        <f t="shared" si="53"/>
        <v>0</v>
      </c>
      <c r="L53" s="106"/>
      <c r="M53" s="106"/>
      <c r="N53" s="106"/>
      <c r="O53" s="106"/>
      <c r="P53" s="106"/>
      <c r="Q53" s="105"/>
      <c r="R53" s="105"/>
      <c r="S53" s="105"/>
    </row>
    <row r="54" spans="1:27" x14ac:dyDescent="0.3">
      <c r="A54" s="100"/>
      <c r="B54" s="101"/>
      <c r="C54" s="102"/>
      <c r="D54" s="101"/>
      <c r="E54" s="102"/>
      <c r="F54" s="101"/>
      <c r="G54" s="102"/>
      <c r="H54" s="101"/>
      <c r="I54" s="102"/>
      <c r="K54" s="105">
        <f t="shared" si="53"/>
        <v>0</v>
      </c>
      <c r="L54" s="106"/>
      <c r="M54" s="106"/>
      <c r="N54" s="106"/>
      <c r="O54" s="106"/>
      <c r="P54" s="106"/>
      <c r="Q54" s="105"/>
      <c r="R54" s="105"/>
      <c r="S54" s="105"/>
    </row>
    <row r="55" spans="1:27" x14ac:dyDescent="0.3">
      <c r="A55" s="100"/>
      <c r="B55" s="101"/>
      <c r="C55" s="102"/>
      <c r="D55" s="101"/>
      <c r="E55" s="102"/>
      <c r="F55" s="101"/>
      <c r="G55" s="102"/>
      <c r="H55" s="101"/>
      <c r="I55" s="102"/>
      <c r="K55" s="105">
        <f t="shared" si="53"/>
        <v>0</v>
      </c>
      <c r="L55" s="106"/>
      <c r="M55" s="106"/>
      <c r="N55" s="106"/>
      <c r="O55" s="106"/>
      <c r="P55" s="106"/>
      <c r="Q55" s="105"/>
      <c r="R55" s="105"/>
      <c r="S55" s="105"/>
    </row>
    <row r="56" spans="1:27" x14ac:dyDescent="0.3">
      <c r="A56" s="100"/>
      <c r="B56" s="101"/>
      <c r="C56" s="102"/>
      <c r="D56" s="101"/>
      <c r="E56" s="102"/>
      <c r="F56" s="101"/>
      <c r="G56" s="102"/>
      <c r="H56" s="101"/>
      <c r="I56" s="102"/>
      <c r="K56" s="105">
        <f t="shared" si="53"/>
        <v>0</v>
      </c>
      <c r="L56" s="106"/>
      <c r="M56" s="106"/>
      <c r="N56" s="106"/>
      <c r="O56" s="106"/>
      <c r="P56" s="106"/>
      <c r="Q56" s="105"/>
      <c r="R56" s="105"/>
      <c r="S56" s="105"/>
    </row>
    <row r="57" spans="1:27" x14ac:dyDescent="0.3">
      <c r="A57" s="100"/>
      <c r="B57" s="101"/>
      <c r="C57" s="102"/>
      <c r="D57" s="101"/>
      <c r="E57" s="102"/>
      <c r="F57" s="101"/>
      <c r="G57" s="102"/>
      <c r="H57" s="101"/>
      <c r="I57" s="102"/>
      <c r="K57" s="105">
        <f t="shared" si="53"/>
        <v>0</v>
      </c>
      <c r="L57" s="106"/>
      <c r="M57" s="106"/>
      <c r="N57" s="106"/>
      <c r="O57" s="106"/>
      <c r="P57" s="106"/>
      <c r="Q57" s="105"/>
      <c r="R57" s="105"/>
      <c r="S57" s="105"/>
    </row>
    <row r="58" spans="1:27" x14ac:dyDescent="0.3">
      <c r="A58" s="100"/>
      <c r="B58" s="101"/>
      <c r="C58" s="102"/>
      <c r="D58" s="101"/>
      <c r="E58" s="102"/>
      <c r="F58" s="101"/>
      <c r="G58" s="102"/>
      <c r="H58" s="101"/>
      <c r="I58" s="102"/>
      <c r="K58" s="105">
        <f t="shared" si="53"/>
        <v>0</v>
      </c>
      <c r="L58" s="106"/>
      <c r="M58" s="106"/>
      <c r="N58" s="106"/>
      <c r="O58" s="106"/>
      <c r="P58" s="106"/>
      <c r="Q58" s="105"/>
      <c r="R58" s="105"/>
      <c r="S58" s="105"/>
    </row>
    <row r="60" spans="1:27" x14ac:dyDescent="0.3">
      <c r="A60" s="31"/>
      <c r="B60" s="432" t="str">
        <f>'合并-is'!$C$2&amp;"相比"&amp;'合并-is'!$D$2</f>
        <v>2023年度相比2022年度</v>
      </c>
      <c r="C60" s="432"/>
      <c r="D60" s="432"/>
      <c r="E60" s="432" t="str">
        <f>'合并-is'!$D$2&amp;"相比"&amp;'合并-is'!$E$2</f>
        <v>2022年度相比2021年度</v>
      </c>
      <c r="F60" s="432"/>
      <c r="G60" s="432"/>
      <c r="K60" s="31"/>
      <c r="L60" s="432" t="str">
        <f>'合并-is'!$C$2&amp;"相比"&amp;'合并-is'!$D$2</f>
        <v>2023年度相比2022年度</v>
      </c>
      <c r="M60" s="432"/>
      <c r="N60" s="432"/>
      <c r="O60" s="432" t="str">
        <f>'合并-is'!$D$2&amp;"相比"&amp;'合并-is'!$E$2</f>
        <v>2022年度相比2021年度</v>
      </c>
      <c r="P60" s="432"/>
      <c r="Q60" s="432"/>
      <c r="U60" s="31"/>
      <c r="V60" s="432" t="str">
        <f>'合并-is'!$C$2&amp;"相比"&amp;'合并-is'!$D$2</f>
        <v>2023年度相比2022年度</v>
      </c>
      <c r="W60" s="432"/>
      <c r="X60" s="432"/>
      <c r="Y60" s="432" t="str">
        <f>'合并-is'!$D$2&amp;"相比"&amp;'合并-is'!$E$2</f>
        <v>2022年度相比2021年度</v>
      </c>
      <c r="Z60" s="432"/>
      <c r="AA60" s="432"/>
    </row>
    <row r="61" spans="1:27" x14ac:dyDescent="0.3">
      <c r="A61" s="31"/>
      <c r="B61" s="34" t="s">
        <v>1070</v>
      </c>
      <c r="C61" s="34" t="s">
        <v>740</v>
      </c>
      <c r="D61" s="34" t="s">
        <v>1071</v>
      </c>
      <c r="E61" s="34" t="s">
        <v>1070</v>
      </c>
      <c r="F61" s="34" t="s">
        <v>740</v>
      </c>
      <c r="G61" s="34" t="s">
        <v>1071</v>
      </c>
      <c r="H61" s="24" t="e">
        <f>B8/L8</f>
        <v>#DIV/0!</v>
      </c>
      <c r="K61" s="31"/>
      <c r="L61" s="34" t="s">
        <v>1070</v>
      </c>
      <c r="M61" s="34" t="s">
        <v>740</v>
      </c>
      <c r="N61" s="34" t="s">
        <v>1071</v>
      </c>
      <c r="O61" s="34" t="s">
        <v>1070</v>
      </c>
      <c r="P61" s="34" t="s">
        <v>740</v>
      </c>
      <c r="Q61" s="34" t="s">
        <v>1071</v>
      </c>
      <c r="U61" s="31"/>
      <c r="V61" s="34" t="s">
        <v>1070</v>
      </c>
      <c r="W61" s="34" t="s">
        <v>740</v>
      </c>
      <c r="X61" s="34" t="s">
        <v>1071</v>
      </c>
      <c r="Y61" s="34" t="s">
        <v>1070</v>
      </c>
      <c r="Z61" s="34" t="s">
        <v>740</v>
      </c>
      <c r="AA61" s="34" t="s">
        <v>1071</v>
      </c>
    </row>
    <row r="62" spans="1:27" x14ac:dyDescent="0.3">
      <c r="A62" s="31" t="str">
        <f>A5</f>
        <v>粮食销售</v>
      </c>
      <c r="B62" s="34">
        <f>D5-F5</f>
        <v>-174514.20246</v>
      </c>
      <c r="C62" s="35">
        <f>B62/F5</f>
        <v>-1</v>
      </c>
      <c r="D62" s="103"/>
      <c r="E62" s="34">
        <f>F5-H5</f>
        <v>174514.20246</v>
      </c>
      <c r="F62" s="31" t="e">
        <f>E62/H5</f>
        <v>#DIV/0!</v>
      </c>
      <c r="G62" s="103"/>
      <c r="H62" s="24" t="e">
        <f>H61-1</f>
        <v>#DIV/0!</v>
      </c>
      <c r="K62" s="31" t="str">
        <f>K5</f>
        <v>粮食销售</v>
      </c>
      <c r="L62" s="34">
        <f>N5-P5</f>
        <v>-171792.39087599999</v>
      </c>
      <c r="M62" s="35">
        <f>L62/P5</f>
        <v>-1</v>
      </c>
      <c r="N62" s="107"/>
      <c r="O62" s="34">
        <f>P5-R5</f>
        <v>171792.39087599999</v>
      </c>
      <c r="P62" s="31" t="e">
        <f>O62/R5</f>
        <v>#DIV/0!</v>
      </c>
      <c r="Q62" s="107"/>
      <c r="U62" s="31" t="str">
        <f>U5</f>
        <v>粮食销售</v>
      </c>
      <c r="V62" s="34">
        <f>X5-Z5</f>
        <v>-2721.81158400001</v>
      </c>
      <c r="W62" s="35">
        <f>V62/Z5</f>
        <v>-1</v>
      </c>
      <c r="X62" s="31"/>
      <c r="Y62" s="34">
        <f>Z5-AB5</f>
        <v>2721.81158400001</v>
      </c>
      <c r="Z62" s="31" t="e">
        <f>Y62/AB5</f>
        <v>#DIV/0!</v>
      </c>
      <c r="AA62" s="31"/>
    </row>
    <row r="63" spans="1:27" x14ac:dyDescent="0.3">
      <c r="A63" s="31" t="str">
        <f>A6</f>
        <v>代建工程</v>
      </c>
      <c r="B63" s="34">
        <f>D6-F6</f>
        <v>-118191.354612</v>
      </c>
      <c r="C63" s="35">
        <f>B63/F6</f>
        <v>-1</v>
      </c>
      <c r="D63" s="103"/>
      <c r="E63" s="34">
        <f>F6-H6</f>
        <v>118191.354612</v>
      </c>
      <c r="F63" s="31" t="e">
        <f>E63/H6</f>
        <v>#DIV/0!</v>
      </c>
      <c r="G63" s="103"/>
      <c r="K63" s="31" t="str">
        <f>K6</f>
        <v>代建工程</v>
      </c>
      <c r="L63" s="34">
        <f>N6-P6</f>
        <v>-94119.270810000002</v>
      </c>
      <c r="M63" s="35">
        <f>L63/P6</f>
        <v>-1</v>
      </c>
      <c r="N63" s="107"/>
      <c r="O63" s="34">
        <f>P6-R6</f>
        <v>94119.270810000002</v>
      </c>
      <c r="P63" s="31" t="e">
        <f>O63/R6</f>
        <v>#DIV/0!</v>
      </c>
      <c r="Q63" s="107"/>
      <c r="U63" s="31" t="str">
        <f>U6</f>
        <v>代建工程</v>
      </c>
      <c r="V63" s="34">
        <f>X6-Z6</f>
        <v>-24072.083801999994</v>
      </c>
      <c r="W63" s="35">
        <f>V63/Z6</f>
        <v>-1</v>
      </c>
      <c r="X63" s="31"/>
      <c r="Y63" s="34">
        <f>Z6-AB6</f>
        <v>24072.083801999994</v>
      </c>
      <c r="Z63" s="31" t="e">
        <f>Y63/AB6</f>
        <v>#DIV/0!</v>
      </c>
      <c r="AA63" s="31"/>
    </row>
    <row r="64" spans="1:27" x14ac:dyDescent="0.3">
      <c r="A64" s="31" t="str">
        <f>A8</f>
        <v>供水、污水处理</v>
      </c>
      <c r="B64" s="34">
        <f>D8-F8</f>
        <v>-7478.1868840000006</v>
      </c>
      <c r="C64" s="35">
        <f>B64/F8</f>
        <v>-1</v>
      </c>
      <c r="D64" s="103"/>
      <c r="E64" s="34">
        <f>F8-H8</f>
        <v>7478.1868840000006</v>
      </c>
      <c r="F64" s="31" t="e">
        <f>E64/H8</f>
        <v>#DIV/0!</v>
      </c>
      <c r="G64" s="103"/>
      <c r="K64" s="31" t="str">
        <f>K8</f>
        <v>供水、污水处理</v>
      </c>
      <c r="L64" s="34">
        <f>N8-P8</f>
        <v>-18166.390549</v>
      </c>
      <c r="M64" s="35">
        <f>L64/P8</f>
        <v>-1</v>
      </c>
      <c r="N64" s="107"/>
      <c r="O64" s="34">
        <f>P8-R8</f>
        <v>18166.390549</v>
      </c>
      <c r="P64" s="31" t="e">
        <f>O64/R8</f>
        <v>#DIV/0!</v>
      </c>
      <c r="Q64" s="107"/>
      <c r="U64" s="31" t="str">
        <f>U8</f>
        <v>供水、污水处理</v>
      </c>
      <c r="V64" s="34">
        <f>X8-Z8</f>
        <v>10688.203664999999</v>
      </c>
      <c r="W64" s="35">
        <f>V64/Z8</f>
        <v>-1</v>
      </c>
      <c r="X64" s="31"/>
      <c r="Y64" s="34">
        <f>Z8-AB8</f>
        <v>-10688.203664999999</v>
      </c>
      <c r="Z64" s="31" t="e">
        <f>Y64/AB8</f>
        <v>#DIV/0!</v>
      </c>
      <c r="AA64" s="31"/>
    </row>
    <row r="65" spans="1:27" x14ac:dyDescent="0.3">
      <c r="A65" s="31" t="str">
        <f>A9</f>
        <v>供水管网施工</v>
      </c>
      <c r="B65" s="34">
        <f>D9-F9</f>
        <v>0</v>
      </c>
      <c r="C65" s="35" t="e">
        <f>B65/F9</f>
        <v>#DIV/0!</v>
      </c>
      <c r="D65" s="103"/>
      <c r="E65" s="34">
        <f>F9-H9</f>
        <v>0</v>
      </c>
      <c r="F65" s="31" t="e">
        <f>E65/H9</f>
        <v>#DIV/0!</v>
      </c>
      <c r="G65" s="103"/>
      <c r="K65" s="31" t="str">
        <f>K9</f>
        <v>供水管网施工</v>
      </c>
      <c r="L65" s="34">
        <f>N9-P9</f>
        <v>0</v>
      </c>
      <c r="M65" s="35" t="e">
        <f>L65/P9</f>
        <v>#DIV/0!</v>
      </c>
      <c r="N65" s="107"/>
      <c r="O65" s="34">
        <f>P9-R9</f>
        <v>0</v>
      </c>
      <c r="P65" s="31" t="e">
        <f>O65/R9</f>
        <v>#DIV/0!</v>
      </c>
      <c r="Q65" s="107"/>
      <c r="U65" s="31" t="str">
        <f>U9</f>
        <v>供水管网施工</v>
      </c>
      <c r="V65" s="34">
        <f>X9-Z9</f>
        <v>0</v>
      </c>
      <c r="W65" s="35" t="e">
        <f>V65/Z9</f>
        <v>#DIV/0!</v>
      </c>
      <c r="X65" s="31"/>
      <c r="Y65" s="34">
        <f>Z9-AB9</f>
        <v>0</v>
      </c>
      <c r="Z65" s="31" t="e">
        <f>Y65/AB9</f>
        <v>#DIV/0!</v>
      </c>
      <c r="AA65" s="31"/>
    </row>
    <row r="66" spans="1:27" x14ac:dyDescent="0.3">
      <c r="A66" s="31" t="str">
        <f>A10</f>
        <v>保安、押运</v>
      </c>
      <c r="B66" s="34">
        <f>D10-F10</f>
        <v>-6138.914229</v>
      </c>
      <c r="C66" s="35">
        <f>B66/F10</f>
        <v>-1</v>
      </c>
      <c r="D66" s="103"/>
      <c r="E66" s="34">
        <f>F10-H10</f>
        <v>6138.914229</v>
      </c>
      <c r="F66" s="31" t="e">
        <f>E66/H10</f>
        <v>#DIV/0!</v>
      </c>
      <c r="G66" s="103"/>
      <c r="K66" s="31" t="str">
        <f>K10</f>
        <v>保安、押运</v>
      </c>
      <c r="L66" s="34">
        <f>N10-P10</f>
        <v>-5187.9418260000002</v>
      </c>
      <c r="M66" s="35">
        <f>L66/P10</f>
        <v>-1</v>
      </c>
      <c r="N66" s="107"/>
      <c r="O66" s="34">
        <f>P10-R10</f>
        <v>5187.9418260000002</v>
      </c>
      <c r="P66" s="31" t="e">
        <f>O66/R10</f>
        <v>#DIV/0!</v>
      </c>
      <c r="Q66" s="107"/>
      <c r="U66" s="31" t="str">
        <f>U10</f>
        <v>保安、押运</v>
      </c>
      <c r="V66" s="34">
        <f>X10-Z10</f>
        <v>-950.97240299999976</v>
      </c>
      <c r="W66" s="35">
        <f>V66/Z10</f>
        <v>-1</v>
      </c>
      <c r="X66" s="31"/>
      <c r="Y66" s="34">
        <f>Z10-AB10</f>
        <v>950.97240299999976</v>
      </c>
      <c r="Z66" s="31" t="e">
        <f>Y66/AB10</f>
        <v>#DIV/0!</v>
      </c>
      <c r="AA66" s="31"/>
    </row>
    <row r="67" spans="1:27" x14ac:dyDescent="0.3">
      <c r="A67" s="31" t="str">
        <f>A11</f>
        <v>校车、公交</v>
      </c>
      <c r="B67" s="34">
        <f>D11-F11</f>
        <v>-4200.284721</v>
      </c>
      <c r="C67" s="35">
        <f>B67/F11</f>
        <v>-1</v>
      </c>
      <c r="D67" s="103"/>
      <c r="E67" s="34">
        <f>F11-H11</f>
        <v>4200.284721</v>
      </c>
      <c r="F67" s="31" t="e">
        <f>E67/H11</f>
        <v>#DIV/0!</v>
      </c>
      <c r="G67" s="103"/>
      <c r="K67" s="31" t="str">
        <f>K11</f>
        <v>校车、公交</v>
      </c>
      <c r="L67" s="34">
        <f>N11-P11</f>
        <v>-17214.664990999998</v>
      </c>
      <c r="M67" s="35">
        <f>L67/P11</f>
        <v>-1</v>
      </c>
      <c r="N67" s="107"/>
      <c r="O67" s="34">
        <f>P11-R11</f>
        <v>17214.664990999998</v>
      </c>
      <c r="P67" s="31" t="e">
        <f>O67/R11</f>
        <v>#DIV/0!</v>
      </c>
      <c r="Q67" s="107"/>
      <c r="U67" s="31" t="str">
        <f>U11</f>
        <v>校车、公交</v>
      </c>
      <c r="V67" s="34">
        <f>X11-Z11</f>
        <v>13014.380269999998</v>
      </c>
      <c r="W67" s="35">
        <f>V67/Z11</f>
        <v>-1</v>
      </c>
      <c r="X67" s="31"/>
      <c r="Y67" s="34">
        <f>Z11-AB11</f>
        <v>-13014.380269999998</v>
      </c>
      <c r="Z67" s="31" t="e">
        <f>Y67/AB11</f>
        <v>#DIV/0!</v>
      </c>
      <c r="AA67" s="31"/>
    </row>
    <row r="68" spans="1:27" x14ac:dyDescent="0.3">
      <c r="A68" s="31">
        <f>A27</f>
        <v>0</v>
      </c>
      <c r="B68" s="34">
        <f>D27-F27</f>
        <v>0</v>
      </c>
      <c r="C68" s="35" t="e">
        <f>B68/F27</f>
        <v>#DIV/0!</v>
      </c>
      <c r="D68" s="103"/>
      <c r="E68" s="34">
        <f>F27-H27</f>
        <v>0</v>
      </c>
      <c r="F68" s="31" t="e">
        <f>E68/H27</f>
        <v>#DIV/0!</v>
      </c>
      <c r="G68" s="103"/>
      <c r="K68" s="31">
        <f>K27</f>
        <v>0</v>
      </c>
      <c r="L68" s="34">
        <f>N27-P27</f>
        <v>0</v>
      </c>
      <c r="M68" s="35" t="e">
        <f>L68/P27</f>
        <v>#DIV/0!</v>
      </c>
      <c r="N68" s="107"/>
      <c r="O68" s="34">
        <f>P27-R27</f>
        <v>0</v>
      </c>
      <c r="P68" s="31" t="e">
        <f>O68/R27</f>
        <v>#DIV/0!</v>
      </c>
      <c r="Q68" s="107"/>
      <c r="U68" s="31">
        <f>U27</f>
        <v>0</v>
      </c>
      <c r="V68" s="34">
        <f>X27-Z27</f>
        <v>0</v>
      </c>
      <c r="W68" s="35" t="e">
        <f>V68/Z27</f>
        <v>#DIV/0!</v>
      </c>
      <c r="X68" s="31"/>
      <c r="Y68" s="34">
        <f>Z27-AB27</f>
        <v>0</v>
      </c>
      <c r="Z68" s="31" t="e">
        <f>Y68/AB27</f>
        <v>#DIV/0!</v>
      </c>
      <c r="AA68" s="31"/>
    </row>
    <row r="69" spans="1:27" x14ac:dyDescent="0.3">
      <c r="A69" s="31" t="str">
        <f>A28</f>
        <v>合计</v>
      </c>
      <c r="B69" s="34">
        <f>D28-F28</f>
        <v>-403500.33304300002</v>
      </c>
      <c r="C69" s="35">
        <f>B69/F28</f>
        <v>-1</v>
      </c>
      <c r="D69" s="103"/>
      <c r="E69" s="34">
        <f>F28-H28</f>
        <v>403500.33304300002</v>
      </c>
      <c r="F69" s="31" t="e">
        <f>E69/H28</f>
        <v>#DIV/0!</v>
      </c>
      <c r="G69" s="103"/>
      <c r="K69" s="31" t="str">
        <f>K28</f>
        <v>合计</v>
      </c>
      <c r="L69" s="34">
        <f>N28-P28</f>
        <v>-399996.44302800001</v>
      </c>
      <c r="M69" s="35">
        <f>L69/P28</f>
        <v>-1</v>
      </c>
      <c r="N69" s="107"/>
      <c r="O69" s="34">
        <f>P28-R28</f>
        <v>399996.44302800001</v>
      </c>
      <c r="P69" s="31" t="e">
        <f>O69/R28</f>
        <v>#DIV/0!</v>
      </c>
      <c r="Q69" s="107"/>
      <c r="U69" s="31" t="str">
        <f>U28</f>
        <v>合计</v>
      </c>
      <c r="V69" s="34">
        <f>X28-Z28</f>
        <v>-3503.8900150000063</v>
      </c>
      <c r="W69" s="35">
        <f>V69/Z28</f>
        <v>-1</v>
      </c>
      <c r="X69" s="31"/>
      <c r="Y69" s="34">
        <f>Z28-AB28</f>
        <v>3503.8900150000063</v>
      </c>
      <c r="Z69" s="31" t="e">
        <f>Y69/AB28</f>
        <v>#DIV/0!</v>
      </c>
      <c r="AA69" s="31"/>
    </row>
    <row r="70" spans="1:27" x14ac:dyDescent="0.3">
      <c r="A70" s="25">
        <f>ABS(B62)</f>
        <v>174514.20246</v>
      </c>
      <c r="B70" s="26">
        <f>ABS(C62)</f>
        <v>1</v>
      </c>
      <c r="C70" s="24" t="str">
        <f>IF(C62&gt;0,"增长","下降")</f>
        <v>下降</v>
      </c>
      <c r="D70" s="24" t="str">
        <f>IF(C62&gt;0,"增幅","降幅")</f>
        <v>降幅</v>
      </c>
      <c r="K70" s="25">
        <f>ABS(L62)</f>
        <v>171792.39087599999</v>
      </c>
      <c r="L70" s="26">
        <f>ABS(M62)</f>
        <v>1</v>
      </c>
      <c r="M70" s="24" t="str">
        <f>IF(M62&gt;0,"增长","下降")</f>
        <v>下降</v>
      </c>
      <c r="N70" s="24" t="str">
        <f>IF(M62&gt;0,"增幅","降幅")</f>
        <v>降幅</v>
      </c>
      <c r="U70" s="25">
        <f>ABS(V62)</f>
        <v>2721.81158400001</v>
      </c>
      <c r="V70" s="26">
        <f>ABS(W62)</f>
        <v>1</v>
      </c>
      <c r="W70" s="24" t="str">
        <f>IF(W62&gt;0,"增长","下降")</f>
        <v>下降</v>
      </c>
      <c r="X70" s="24" t="str">
        <f>IF(W62&gt;0,"增幅","降幅")</f>
        <v>降幅</v>
      </c>
    </row>
    <row r="71" spans="1:27" x14ac:dyDescent="0.3">
      <c r="A71" s="25">
        <f t="shared" ref="A71:B74" si="54">ABS(B63)</f>
        <v>118191.354612</v>
      </c>
      <c r="B71" s="26">
        <f t="shared" si="54"/>
        <v>1</v>
      </c>
      <c r="C71" s="24" t="str">
        <f>IF(C63&gt;0,"增长","下降")</f>
        <v>下降</v>
      </c>
      <c r="D71" s="24" t="str">
        <f>IF(C63&gt;0,"增幅","降幅")</f>
        <v>降幅</v>
      </c>
      <c r="K71" s="25">
        <f t="shared" ref="K71:L74" si="55">ABS(L63)</f>
        <v>94119.270810000002</v>
      </c>
      <c r="L71" s="26">
        <f t="shared" si="55"/>
        <v>1</v>
      </c>
      <c r="M71" s="24" t="str">
        <f>IF(M63&gt;0,"增长","下降")</f>
        <v>下降</v>
      </c>
      <c r="N71" s="24" t="str">
        <f>IF(M63&gt;0,"增幅","降幅")</f>
        <v>降幅</v>
      </c>
      <c r="U71" s="25">
        <f t="shared" ref="U71:V74" si="56">ABS(V63)</f>
        <v>24072.083801999994</v>
      </c>
      <c r="V71" s="26">
        <f t="shared" si="56"/>
        <v>1</v>
      </c>
      <c r="W71" s="24" t="str">
        <f>IF(W63&gt;0,"增长","下降")</f>
        <v>下降</v>
      </c>
      <c r="X71" s="24" t="str">
        <f>IF(W63&gt;0,"增幅","降幅")</f>
        <v>降幅</v>
      </c>
    </row>
    <row r="72" spans="1:27" x14ac:dyDescent="0.3">
      <c r="A72" s="25">
        <f t="shared" si="54"/>
        <v>7478.1868840000006</v>
      </c>
      <c r="B72" s="26">
        <f t="shared" si="54"/>
        <v>1</v>
      </c>
      <c r="C72" s="24" t="str">
        <f>IF(C64&gt;0,"增长","下降")</f>
        <v>下降</v>
      </c>
      <c r="D72" s="24" t="str">
        <f>IF(C64&gt;0,"增幅","降幅")</f>
        <v>降幅</v>
      </c>
      <c r="K72" s="25">
        <f t="shared" si="55"/>
        <v>18166.390549</v>
      </c>
      <c r="L72" s="26">
        <f t="shared" si="55"/>
        <v>1</v>
      </c>
      <c r="M72" s="24" t="str">
        <f>IF(M64&gt;0,"增长","下降")</f>
        <v>下降</v>
      </c>
      <c r="N72" s="24" t="str">
        <f>IF(M64&gt;0,"增幅","降幅")</f>
        <v>降幅</v>
      </c>
      <c r="U72" s="25">
        <f t="shared" si="56"/>
        <v>10688.203664999999</v>
      </c>
      <c r="V72" s="26">
        <f t="shared" si="56"/>
        <v>1</v>
      </c>
      <c r="W72" s="24" t="str">
        <f>IF(W64&gt;0,"增长","下降")</f>
        <v>下降</v>
      </c>
      <c r="X72" s="24" t="str">
        <f>IF(W64&gt;0,"增幅","降幅")</f>
        <v>降幅</v>
      </c>
    </row>
    <row r="73" spans="1:27" x14ac:dyDescent="0.3">
      <c r="A73" s="25">
        <f t="shared" si="54"/>
        <v>0</v>
      </c>
      <c r="B73" s="26" t="e">
        <f t="shared" si="54"/>
        <v>#DIV/0!</v>
      </c>
      <c r="C73" s="24" t="e">
        <f>IF(C65&gt;0,"增长","下降")</f>
        <v>#DIV/0!</v>
      </c>
      <c r="D73" s="24" t="e">
        <f>IF(C65&gt;0,"增幅","降幅")</f>
        <v>#DIV/0!</v>
      </c>
      <c r="K73" s="25">
        <f t="shared" si="55"/>
        <v>0</v>
      </c>
      <c r="L73" s="26" t="e">
        <f t="shared" si="55"/>
        <v>#DIV/0!</v>
      </c>
      <c r="M73" s="24" t="e">
        <f>IF(M65&gt;0,"增长","下降")</f>
        <v>#DIV/0!</v>
      </c>
      <c r="N73" s="24" t="e">
        <f>IF(M65&gt;0,"增幅","降幅")</f>
        <v>#DIV/0!</v>
      </c>
      <c r="U73" s="25">
        <f t="shared" si="56"/>
        <v>0</v>
      </c>
      <c r="V73" s="26" t="e">
        <f t="shared" si="56"/>
        <v>#DIV/0!</v>
      </c>
      <c r="W73" s="24" t="e">
        <f>IF(W65&gt;0,"增长","下降")</f>
        <v>#DIV/0!</v>
      </c>
      <c r="X73" s="24" t="e">
        <f>IF(W65&gt;0,"增幅","降幅")</f>
        <v>#DIV/0!</v>
      </c>
    </row>
    <row r="74" spans="1:27" x14ac:dyDescent="0.3">
      <c r="A74" s="25">
        <f t="shared" si="54"/>
        <v>6138.914229</v>
      </c>
      <c r="B74" s="26">
        <f t="shared" si="54"/>
        <v>1</v>
      </c>
      <c r="C74" s="24" t="str">
        <f>IF(C66&gt;0,"增长","下降")</f>
        <v>下降</v>
      </c>
      <c r="D74" s="24" t="str">
        <f>IF(C66&gt;0,"增幅","降幅")</f>
        <v>降幅</v>
      </c>
      <c r="K74" s="25">
        <f t="shared" si="55"/>
        <v>5187.9418260000002</v>
      </c>
      <c r="L74" s="26">
        <f t="shared" si="55"/>
        <v>1</v>
      </c>
      <c r="M74" s="24" t="str">
        <f>IF(M66&gt;0,"增长","下降")</f>
        <v>下降</v>
      </c>
      <c r="N74" s="24" t="str">
        <f>IF(M66&gt;0,"增幅","降幅")</f>
        <v>降幅</v>
      </c>
      <c r="U74" s="25">
        <f t="shared" si="56"/>
        <v>950.97240299999976</v>
      </c>
      <c r="V74" s="26">
        <f t="shared" si="56"/>
        <v>1</v>
      </c>
      <c r="W74" s="24" t="str">
        <f>IF(W66&gt;0,"增长","下降")</f>
        <v>下降</v>
      </c>
      <c r="X74" s="24" t="str">
        <f>IF(W66&gt;0,"增幅","降幅")</f>
        <v>降幅</v>
      </c>
    </row>
    <row r="75" spans="1:27" x14ac:dyDescent="0.3">
      <c r="A75" s="25">
        <f t="shared" ref="A75:B76" si="57">ABS(B68)</f>
        <v>0</v>
      </c>
      <c r="B75" s="26" t="e">
        <f t="shared" si="57"/>
        <v>#DIV/0!</v>
      </c>
      <c r="C75" s="24" t="e">
        <f t="shared" ref="C75:C76" si="58">IF(C68&gt;0,"增长","下降")</f>
        <v>#DIV/0!</v>
      </c>
      <c r="D75" s="24" t="e">
        <f t="shared" ref="D75:D76" si="59">IF(C68&gt;0,"增幅","降幅")</f>
        <v>#DIV/0!</v>
      </c>
      <c r="K75" s="25">
        <f t="shared" ref="K75:L76" si="60">ABS(L68)</f>
        <v>0</v>
      </c>
      <c r="L75" s="26" t="e">
        <f t="shared" si="60"/>
        <v>#DIV/0!</v>
      </c>
      <c r="M75" s="24" t="e">
        <f t="shared" ref="M75:M76" si="61">IF(M68&gt;0,"增长","下降")</f>
        <v>#DIV/0!</v>
      </c>
      <c r="N75" s="24" t="e">
        <f t="shared" ref="N75:N76" si="62">IF(M68&gt;0,"增幅","降幅")</f>
        <v>#DIV/0!</v>
      </c>
      <c r="U75" s="25">
        <f t="shared" ref="U75:V76" si="63">ABS(V68)</f>
        <v>0</v>
      </c>
      <c r="V75" s="26" t="e">
        <f t="shared" si="63"/>
        <v>#DIV/0!</v>
      </c>
      <c r="W75" s="24" t="e">
        <f t="shared" ref="W75:W76" si="64">IF(W68&gt;0,"增长","下降")</f>
        <v>#DIV/0!</v>
      </c>
      <c r="X75" s="24" t="e">
        <f t="shared" ref="X75:X76" si="65">IF(W68&gt;0,"增幅","降幅")</f>
        <v>#DIV/0!</v>
      </c>
    </row>
    <row r="76" spans="1:27" x14ac:dyDescent="0.3">
      <c r="A76" s="25">
        <f t="shared" si="57"/>
        <v>403500.33304300002</v>
      </c>
      <c r="B76" s="26">
        <f t="shared" si="57"/>
        <v>1</v>
      </c>
      <c r="C76" s="24" t="str">
        <f t="shared" si="58"/>
        <v>下降</v>
      </c>
      <c r="D76" s="24" t="str">
        <f t="shared" si="59"/>
        <v>降幅</v>
      </c>
      <c r="K76" s="25">
        <f t="shared" si="60"/>
        <v>399996.44302800001</v>
      </c>
      <c r="L76" s="26">
        <f t="shared" si="60"/>
        <v>1</v>
      </c>
      <c r="M76" s="24" t="str">
        <f t="shared" si="61"/>
        <v>下降</v>
      </c>
      <c r="N76" s="24" t="str">
        <f t="shared" si="62"/>
        <v>降幅</v>
      </c>
      <c r="U76" s="25">
        <f t="shared" si="63"/>
        <v>3503.8900150000063</v>
      </c>
      <c r="V76" s="26">
        <f t="shared" si="63"/>
        <v>1</v>
      </c>
      <c r="W76" s="24" t="str">
        <f t="shared" si="64"/>
        <v>下降</v>
      </c>
      <c r="X76" s="24" t="str">
        <f t="shared" si="65"/>
        <v>降幅</v>
      </c>
    </row>
  </sheetData>
  <mergeCells count="40">
    <mergeCell ref="AG3:AG4"/>
    <mergeCell ref="AH3:AH4"/>
    <mergeCell ref="AI3:AI4"/>
    <mergeCell ref="V60:X60"/>
    <mergeCell ref="Y60:AA60"/>
    <mergeCell ref="AE3:AE4"/>
    <mergeCell ref="AF3:AF4"/>
    <mergeCell ref="A3:A4"/>
    <mergeCell ref="A31:A32"/>
    <mergeCell ref="K3:K4"/>
    <mergeCell ref="K31:K32"/>
    <mergeCell ref="U3:U4"/>
    <mergeCell ref="N31:O31"/>
    <mergeCell ref="P31:Q31"/>
    <mergeCell ref="R31:S31"/>
    <mergeCell ref="B60:D60"/>
    <mergeCell ref="E60:G60"/>
    <mergeCell ref="L60:N60"/>
    <mergeCell ref="O60:Q60"/>
    <mergeCell ref="B31:C31"/>
    <mergeCell ref="D31:E31"/>
    <mergeCell ref="F31:G31"/>
    <mergeCell ref="H31:I31"/>
    <mergeCell ref="L31:M31"/>
    <mergeCell ref="A2:I2"/>
    <mergeCell ref="K2:S2"/>
    <mergeCell ref="U2:AC2"/>
    <mergeCell ref="AE2:AI2"/>
    <mergeCell ref="B3:C3"/>
    <mergeCell ref="D3:E3"/>
    <mergeCell ref="F3:G3"/>
    <mergeCell ref="H3:I3"/>
    <mergeCell ref="L3:M3"/>
    <mergeCell ref="N3:O3"/>
    <mergeCell ref="P3:Q3"/>
    <mergeCell ref="R3:S3"/>
    <mergeCell ref="V3:W3"/>
    <mergeCell ref="X3:Y3"/>
    <mergeCell ref="Z3:AA3"/>
    <mergeCell ref="AB3:AC3"/>
  </mergeCells>
  <phoneticPr fontId="41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O13"/>
  <sheetViews>
    <sheetView zoomScale="78" zoomScaleNormal="78" workbookViewId="0">
      <selection activeCell="F27" sqref="F27"/>
    </sheetView>
  </sheetViews>
  <sheetFormatPr defaultColWidth="9" defaultRowHeight="12.75" x14ac:dyDescent="0.3"/>
  <cols>
    <col min="1" max="1" width="14.3984375" style="2" customWidth="1"/>
    <col min="2" max="2" width="11.06640625" style="41" customWidth="1"/>
    <col min="3" max="3" width="9" style="16"/>
    <col min="4" max="4" width="12.1328125" style="41" customWidth="1"/>
    <col min="5" max="5" width="9" style="16"/>
    <col min="6" max="6" width="12.1328125" style="41" customWidth="1"/>
    <col min="7" max="7" width="9" style="16"/>
    <col min="8" max="8" width="12.3984375" style="41" customWidth="1"/>
    <col min="9" max="9" width="9" style="16"/>
    <col min="10" max="10" width="11.1328125" style="41" customWidth="1"/>
    <col min="11" max="11" width="9.3984375" style="16" customWidth="1"/>
    <col min="12" max="16384" width="9" style="2"/>
  </cols>
  <sheetData>
    <row r="1" spans="1:15" x14ac:dyDescent="0.3">
      <c r="A1" s="2" t="s">
        <v>1083</v>
      </c>
      <c r="B1" s="41" t="str">
        <f>"近两年及一期，公司"&amp;A2&amp;"余额分别为"&amp;TEXT(F2,"#,##0.00")&amp;"万元、"&amp;TEXT(D2,"#,##0.00")&amp;"万元和"&amp;TEXT(B2,"#,##0.00")&amp;"万元，占"&amp;TEXT(AB2,"#,##0.00")&amp;"的比例分别为"&amp;TEXT(G2,"0.00%")&amp;"、"&amp;TEXT(E2,"0.00%")&amp;"和"&amp;TEXT(C2,"0.00%")&amp;"。"&amp;D4&amp;A2&amp;"较"&amp;F4&amp;L2&amp;"了"&amp;TEXT(J2,"#,##0.00")&amp;"万元，"&amp;M2&amp;"为"&amp;TEXT(K2,"0.00%")&amp;"，主要系"&amp;N2&amp;"。"</f>
        <v>近两年及一期，公司0余额分别为0.00万元、0.00万元和0.00万元，占0.00的比例分别为0.00%、0.00%和0.00%。2023年度0较2022年度0了0.00万元，0为0.00%，主要系0。</v>
      </c>
    </row>
    <row r="2" spans="1:15" x14ac:dyDescent="0.3">
      <c r="A2" s="2">
        <f>INDEX(A:A,SUBTOTAL(109,$O:$O))</f>
        <v>0</v>
      </c>
      <c r="B2" s="41">
        <f t="shared" ref="B2:N2" si="0">INDEX(B:B,SUBTOTAL(109,$O:$O))</f>
        <v>0</v>
      </c>
      <c r="C2" s="16">
        <f t="shared" si="0"/>
        <v>0</v>
      </c>
      <c r="D2" s="41">
        <f t="shared" si="0"/>
        <v>0</v>
      </c>
      <c r="E2" s="16">
        <f t="shared" si="0"/>
        <v>0</v>
      </c>
      <c r="F2" s="41">
        <f t="shared" si="0"/>
        <v>0</v>
      </c>
      <c r="G2" s="16">
        <f t="shared" si="0"/>
        <v>0</v>
      </c>
      <c r="H2" s="41">
        <f t="shared" si="0"/>
        <v>0</v>
      </c>
      <c r="I2" s="16">
        <f t="shared" si="0"/>
        <v>0</v>
      </c>
      <c r="J2" s="41">
        <f t="shared" si="0"/>
        <v>0</v>
      </c>
      <c r="K2" s="16">
        <f t="shared" si="0"/>
        <v>0</v>
      </c>
      <c r="L2" s="2">
        <f t="shared" si="0"/>
        <v>0</v>
      </c>
      <c r="M2" s="2">
        <f t="shared" si="0"/>
        <v>0</v>
      </c>
      <c r="N2" s="2">
        <f t="shared" si="0"/>
        <v>0</v>
      </c>
    </row>
    <row r="4" spans="1:15" x14ac:dyDescent="0.3">
      <c r="A4" s="39" t="s">
        <v>278</v>
      </c>
      <c r="B4" s="455" t="str">
        <f>业务情况!B3</f>
        <v>2024年1-9月</v>
      </c>
      <c r="C4" s="456"/>
      <c r="D4" s="455" t="str">
        <f>业务情况!D3</f>
        <v>2023年度</v>
      </c>
      <c r="E4" s="456"/>
      <c r="F4" s="455" t="str">
        <f>业务情况!F3</f>
        <v>2022年度</v>
      </c>
      <c r="G4" s="456"/>
      <c r="H4" s="455" t="str">
        <f>业务情况!H3</f>
        <v>2021年度</v>
      </c>
      <c r="I4" s="456"/>
      <c r="J4" s="456" t="str">
        <f>业务情况!B31</f>
        <v>2023年度相比2022年度</v>
      </c>
      <c r="K4" s="456"/>
      <c r="L4" s="456"/>
      <c r="M4" s="456"/>
      <c r="N4" s="456"/>
    </row>
    <row r="5" spans="1:15" x14ac:dyDescent="0.3">
      <c r="A5" s="39"/>
      <c r="B5" s="40" t="s">
        <v>729</v>
      </c>
      <c r="C5" s="88" t="s">
        <v>763</v>
      </c>
      <c r="D5" s="40" t="s">
        <v>729</v>
      </c>
      <c r="E5" s="88" t="s">
        <v>763</v>
      </c>
      <c r="F5" s="40" t="s">
        <v>729</v>
      </c>
      <c r="G5" s="88" t="s">
        <v>763</v>
      </c>
      <c r="H5" s="40" t="s">
        <v>729</v>
      </c>
      <c r="I5" s="88" t="s">
        <v>763</v>
      </c>
      <c r="J5" s="40" t="s">
        <v>1070</v>
      </c>
      <c r="K5" s="88" t="s">
        <v>740</v>
      </c>
      <c r="L5" s="39"/>
      <c r="M5" s="39"/>
      <c r="N5" s="39" t="s">
        <v>1071</v>
      </c>
    </row>
    <row r="6" spans="1:15" x14ac:dyDescent="0.3">
      <c r="A6" s="39" t="str">
        <f>业务情况!A5</f>
        <v>房屋销售</v>
      </c>
      <c r="B6" s="40">
        <f>业务情况!B5</f>
        <v>0</v>
      </c>
      <c r="C6" s="88" t="e">
        <f>业务情况!C5</f>
        <v>#DIV/0!</v>
      </c>
      <c r="D6" s="40">
        <f>业务情况!D5</f>
        <v>0</v>
      </c>
      <c r="E6" s="88" t="e">
        <f>业务情况!E5</f>
        <v>#DIV/0!</v>
      </c>
      <c r="F6" s="40">
        <f>业务情况!F5</f>
        <v>88458.595394000004</v>
      </c>
      <c r="G6" s="88">
        <f>业务情况!G5</f>
        <v>0.24409922764415057</v>
      </c>
      <c r="H6" s="40">
        <f>业务情况!H5</f>
        <v>67757.16750499999</v>
      </c>
      <c r="I6" s="88">
        <f>业务情况!I5</f>
        <v>0.26723329055560197</v>
      </c>
      <c r="J6" s="40">
        <f>业务情况!A41</f>
        <v>88458.595394000004</v>
      </c>
      <c r="K6" s="88">
        <f>业务情况!B41</f>
        <v>1</v>
      </c>
      <c r="L6" s="40" t="str">
        <f>业务情况!C41</f>
        <v>下降</v>
      </c>
      <c r="M6" s="40" t="str">
        <f>业务情况!D41</f>
        <v>降幅</v>
      </c>
      <c r="N6" s="39">
        <f>业务情况!D33</f>
        <v>0</v>
      </c>
      <c r="O6" s="2">
        <f t="shared" ref="O6:O13" si="1">ROW()</f>
        <v>6</v>
      </c>
    </row>
    <row r="7" spans="1:15" x14ac:dyDescent="0.3">
      <c r="A7" s="39" t="str">
        <f>业务情况!A6</f>
        <v>粮食销售</v>
      </c>
      <c r="B7" s="40">
        <f>业务情况!B6</f>
        <v>0</v>
      </c>
      <c r="C7" s="88" t="e">
        <f>业务情况!C6</f>
        <v>#DIV/0!</v>
      </c>
      <c r="D7" s="40">
        <f>业务情况!D6</f>
        <v>0</v>
      </c>
      <c r="E7" s="88" t="e">
        <f>业务情况!E6</f>
        <v>#DIV/0!</v>
      </c>
      <c r="F7" s="40">
        <f>业务情况!F6</f>
        <v>174514.20246</v>
      </c>
      <c r="G7" s="88">
        <f>业务情况!G6</f>
        <v>0.4815674705627343</v>
      </c>
      <c r="H7" s="40">
        <f>业务情况!H6</f>
        <v>175419.66710799999</v>
      </c>
      <c r="I7" s="88">
        <f>业务情况!I6</f>
        <v>0.69185263486670812</v>
      </c>
      <c r="J7" s="40">
        <f>业务情况!A42</f>
        <v>174514.20246</v>
      </c>
      <c r="K7" s="88">
        <f>业务情况!B42</f>
        <v>1</v>
      </c>
      <c r="L7" s="40" t="str">
        <f>业务情况!C42</f>
        <v>下降</v>
      </c>
      <c r="M7" s="40" t="str">
        <f>业务情况!D42</f>
        <v>降幅</v>
      </c>
      <c r="N7" s="39">
        <f>业务情况!D34</f>
        <v>0</v>
      </c>
      <c r="O7" s="2">
        <f t="shared" si="1"/>
        <v>7</v>
      </c>
    </row>
    <row r="8" spans="1:15" x14ac:dyDescent="0.3">
      <c r="A8" s="39" t="str">
        <f>业务情况!A8</f>
        <v>工程施工</v>
      </c>
      <c r="B8" s="40">
        <f>业务情况!B8</f>
        <v>0</v>
      </c>
      <c r="C8" s="88" t="e">
        <f>业务情况!C8</f>
        <v>#DIV/0!</v>
      </c>
      <c r="D8" s="40">
        <f>业务情况!D8</f>
        <v>0</v>
      </c>
      <c r="E8" s="88" t="e">
        <f>业务情况!E8</f>
        <v>#DIV/0!</v>
      </c>
      <c r="F8" s="40">
        <f>业务情况!F8</f>
        <v>3054.3836200000001</v>
      </c>
      <c r="G8" s="88">
        <f>业务情况!G8</f>
        <v>8.4284933448255453E-3</v>
      </c>
      <c r="H8" s="40">
        <f>业务情况!H8</f>
        <v>1988.8083710000001</v>
      </c>
      <c r="I8" s="88">
        <f>业务情况!I8</f>
        <v>7.8438315064991073E-3</v>
      </c>
      <c r="J8" s="40">
        <f>业务情况!A43</f>
        <v>3054.3836200000001</v>
      </c>
      <c r="K8" s="88">
        <f>业务情况!B43</f>
        <v>1</v>
      </c>
      <c r="L8" s="40" t="str">
        <f>业务情况!C43</f>
        <v>下降</v>
      </c>
      <c r="M8" s="40" t="str">
        <f>业务情况!D43</f>
        <v>降幅</v>
      </c>
      <c r="N8" s="39">
        <f>业务情况!D35</f>
        <v>0</v>
      </c>
      <c r="O8" s="2">
        <f t="shared" si="1"/>
        <v>8</v>
      </c>
    </row>
    <row r="9" spans="1:15" x14ac:dyDescent="0.3">
      <c r="A9" s="39" t="str">
        <f>业务情况!A9</f>
        <v>绿化养护</v>
      </c>
      <c r="B9" s="40">
        <f>业务情况!B9</f>
        <v>0</v>
      </c>
      <c r="C9" s="88" t="e">
        <f>业务情况!C9</f>
        <v>#DIV/0!</v>
      </c>
      <c r="D9" s="40">
        <f>业务情况!D9</f>
        <v>0</v>
      </c>
      <c r="E9" s="88" t="e">
        <f>业务情况!E9</f>
        <v>#DIV/0!</v>
      </c>
      <c r="F9" s="40">
        <f>业务情况!F9</f>
        <v>2783.6964760000001</v>
      </c>
      <c r="G9" s="88">
        <f>业务情况!G9</f>
        <v>7.6815391060734949E-3</v>
      </c>
      <c r="H9" s="40">
        <f>业务情况!H9</f>
        <v>0</v>
      </c>
      <c r="I9" s="88">
        <f>业务情况!I9</f>
        <v>0</v>
      </c>
      <c r="J9" s="40">
        <f>业务情况!A44</f>
        <v>2783.6964760000001</v>
      </c>
      <c r="K9" s="88">
        <f>业务情况!B44</f>
        <v>1</v>
      </c>
      <c r="L9" s="40" t="str">
        <f>业务情况!C44</f>
        <v>下降</v>
      </c>
      <c r="M9" s="40" t="str">
        <f>业务情况!D44</f>
        <v>降幅</v>
      </c>
      <c r="N9" s="39">
        <f>业务情况!D36</f>
        <v>0</v>
      </c>
      <c r="O9" s="2">
        <f t="shared" si="1"/>
        <v>9</v>
      </c>
    </row>
    <row r="10" spans="1:15" x14ac:dyDescent="0.3">
      <c r="A10" s="39" t="str">
        <f>业务情况!A10</f>
        <v>物管</v>
      </c>
      <c r="B10" s="40">
        <f>业务情况!B10</f>
        <v>0</v>
      </c>
      <c r="C10" s="88" t="e">
        <f>业务情况!C10</f>
        <v>#DIV/0!</v>
      </c>
      <c r="D10" s="40">
        <f>业务情况!D10</f>
        <v>0</v>
      </c>
      <c r="E10" s="88" t="e">
        <f>业务情况!E10</f>
        <v>#DIV/0!</v>
      </c>
      <c r="F10" s="40">
        <f>业务情况!F10</f>
        <v>0</v>
      </c>
      <c r="G10" s="88">
        <f>业务情况!G10</f>
        <v>0</v>
      </c>
      <c r="H10" s="40">
        <f>业务情况!H10</f>
        <v>59.419600000000003</v>
      </c>
      <c r="I10" s="88">
        <f>业务情况!I10</f>
        <v>2.3435004466982625E-4</v>
      </c>
      <c r="J10" s="40">
        <f>业务情况!A45</f>
        <v>0</v>
      </c>
      <c r="K10" s="88" t="e">
        <f>业务情况!B45</f>
        <v>#DIV/0!</v>
      </c>
      <c r="L10" s="40" t="e">
        <f>业务情况!C45</f>
        <v>#DIV/0!</v>
      </c>
      <c r="M10" s="40" t="e">
        <f>业务情况!D45</f>
        <v>#DIV/0!</v>
      </c>
      <c r="N10" s="39">
        <f>业务情况!D37</f>
        <v>0</v>
      </c>
      <c r="O10" s="2">
        <f t="shared" si="1"/>
        <v>10</v>
      </c>
    </row>
    <row r="11" spans="1:15" x14ac:dyDescent="0.3">
      <c r="A11" s="39" t="str">
        <f>业务情况!A11</f>
        <v>水费</v>
      </c>
      <c r="B11" s="40">
        <f>业务情况!B11</f>
        <v>0</v>
      </c>
      <c r="C11" s="88" t="e">
        <f>业务情况!C11</f>
        <v>#DIV/0!</v>
      </c>
      <c r="D11" s="40">
        <f>业务情况!D11</f>
        <v>0</v>
      </c>
      <c r="E11" s="88" t="e">
        <f>业务情况!E11</f>
        <v>#DIV/0!</v>
      </c>
      <c r="F11" s="40">
        <f>业务情况!F11</f>
        <v>7478.1868840000006</v>
      </c>
      <c r="G11" s="88">
        <f>业务情况!G11</f>
        <v>2.0635865112174641E-2</v>
      </c>
      <c r="H11" s="40">
        <f>业务情况!H11</f>
        <v>6844.2221730000001</v>
      </c>
      <c r="I11" s="88">
        <f>业务情况!I11</f>
        <v>2.6993513453014921E-2</v>
      </c>
      <c r="J11" s="40">
        <f>业务情况!A46</f>
        <v>168.20164199999999</v>
      </c>
      <c r="K11" s="88">
        <f>业务情况!B46</f>
        <v>1</v>
      </c>
      <c r="L11" s="40" t="str">
        <f>业务情况!C46</f>
        <v>下降</v>
      </c>
      <c r="M11" s="40" t="str">
        <f>业务情况!D46</f>
        <v>降幅</v>
      </c>
      <c r="N11" s="39">
        <f>业务情况!D38</f>
        <v>0</v>
      </c>
      <c r="O11" s="2">
        <f t="shared" si="1"/>
        <v>11</v>
      </c>
    </row>
    <row r="12" spans="1:15" x14ac:dyDescent="0.3">
      <c r="A12" s="39" t="str">
        <f>业务情况!A14</f>
        <v>其他</v>
      </c>
      <c r="B12" s="40">
        <f>业务情况!B14</f>
        <v>0</v>
      </c>
      <c r="C12" s="88" t="e">
        <f>业务情况!C14</f>
        <v>#DIV/0!</v>
      </c>
      <c r="D12" s="40">
        <f>业务情况!D14</f>
        <v>0</v>
      </c>
      <c r="E12" s="88" t="e">
        <f>业务情况!E14</f>
        <v>#DIV/0!</v>
      </c>
      <c r="F12" s="40">
        <f>业务情况!F14</f>
        <v>168.20164199999999</v>
      </c>
      <c r="G12" s="88">
        <f>业务情况!G14</f>
        <v>4.6414812170375932E-4</v>
      </c>
      <c r="H12" s="40">
        <f>业务情况!H14</f>
        <v>269.03178300000002</v>
      </c>
      <c r="I12" s="88">
        <f>业务情况!I14</f>
        <v>1.0610574686408694E-3</v>
      </c>
      <c r="J12" s="40">
        <f>业务情况!A47</f>
        <v>362387.85451199999</v>
      </c>
      <c r="K12" s="88">
        <f>业务情况!B47</f>
        <v>1</v>
      </c>
      <c r="L12" s="40" t="str">
        <f>业务情况!C47</f>
        <v>下降</v>
      </c>
      <c r="M12" s="40" t="str">
        <f>业务情况!D47</f>
        <v>降幅</v>
      </c>
      <c r="N12" s="39">
        <f>业务情况!D39</f>
        <v>0</v>
      </c>
      <c r="O12" s="2">
        <f t="shared" si="1"/>
        <v>12</v>
      </c>
    </row>
    <row r="13" spans="1:15" x14ac:dyDescent="0.3">
      <c r="A13" s="39" t="str">
        <f>业务情况!A15</f>
        <v>合计</v>
      </c>
      <c r="B13" s="40">
        <f>业务情况!B15</f>
        <v>0</v>
      </c>
      <c r="C13" s="88" t="e">
        <f>业务情况!C15</f>
        <v>#DIV/0!</v>
      </c>
      <c r="D13" s="40">
        <f>业务情况!D15</f>
        <v>0</v>
      </c>
      <c r="E13" s="88" t="e">
        <f>业务情况!E15</f>
        <v>#DIV/0!</v>
      </c>
      <c r="F13" s="40">
        <f>业务情况!F15</f>
        <v>362387.85451199999</v>
      </c>
      <c r="G13" s="88">
        <f>业务情况!G15</f>
        <v>1</v>
      </c>
      <c r="H13" s="40">
        <f>业务情况!H15</f>
        <v>253550.62374199997</v>
      </c>
      <c r="I13" s="88">
        <f>业务情况!I15</f>
        <v>1.0000000000000002</v>
      </c>
      <c r="J13" s="40">
        <f>业务情况!A48</f>
        <v>0</v>
      </c>
      <c r="K13" s="88">
        <f>业务情况!B48</f>
        <v>0</v>
      </c>
      <c r="L13" s="40">
        <f>业务情况!C48</f>
        <v>0</v>
      </c>
      <c r="M13" s="40">
        <f>业务情况!D48</f>
        <v>0</v>
      </c>
      <c r="N13" s="39">
        <f>业务情况!D40</f>
        <v>0</v>
      </c>
      <c r="O13" s="2">
        <f t="shared" si="1"/>
        <v>13</v>
      </c>
    </row>
  </sheetData>
  <autoFilter ref="A4:O13" xr:uid="{00000000-0009-0000-0000-000017000000}"/>
  <mergeCells count="5">
    <mergeCell ref="B4:C4"/>
    <mergeCell ref="D4:E4"/>
    <mergeCell ref="F4:G4"/>
    <mergeCell ref="H4:I4"/>
    <mergeCell ref="J4:N4"/>
  </mergeCells>
  <phoneticPr fontId="41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F10"/>
  <sheetViews>
    <sheetView zoomScale="130" zoomScaleNormal="130" workbookViewId="0">
      <selection activeCell="C2" sqref="C2"/>
    </sheetView>
  </sheetViews>
  <sheetFormatPr defaultColWidth="9" defaultRowHeight="13.5" x14ac:dyDescent="0.3"/>
  <cols>
    <col min="1" max="1" width="16.1328125" customWidth="1"/>
    <col min="2" max="2" width="14.46484375" customWidth="1"/>
    <col min="3" max="3" width="13.53125" customWidth="1"/>
    <col min="4" max="4" width="15.59765625" customWidth="1"/>
    <col min="5" max="6" width="12.46484375" customWidth="1"/>
  </cols>
  <sheetData>
    <row r="1" spans="1:6" x14ac:dyDescent="0.3">
      <c r="A1" s="28"/>
      <c r="B1" s="29" t="str">
        <f>首页!C3</f>
        <v>2024年1-9月</v>
      </c>
      <c r="C1" s="29" t="str">
        <f>首页!D3</f>
        <v>2023年度</v>
      </c>
      <c r="D1" s="29" t="str">
        <f>首页!E3</f>
        <v>2022年度</v>
      </c>
      <c r="E1" s="29" t="str">
        <f>首页!F3</f>
        <v>2021年度</v>
      </c>
      <c r="F1" s="29" t="str">
        <f>首页!G3</f>
        <v>2020年度</v>
      </c>
    </row>
    <row r="2" spans="1:6" x14ac:dyDescent="0.3">
      <c r="A2" s="31" t="s">
        <v>1084</v>
      </c>
      <c r="B2" s="70">
        <f>'合并-is'!B26</f>
        <v>73120.712677000003</v>
      </c>
      <c r="C2" s="70">
        <f>'合并-is'!C26</f>
        <v>110122.738543</v>
      </c>
      <c r="D2" s="70">
        <f>'合并-is'!D26</f>
        <v>104311.07100499999</v>
      </c>
      <c r="E2" s="70">
        <f>'合并-is'!E26</f>
        <v>106899.244792</v>
      </c>
      <c r="F2" s="70">
        <f>'合并-is'!F26</f>
        <v>89217.205549999999</v>
      </c>
    </row>
    <row r="3" spans="1:6" x14ac:dyDescent="0.3">
      <c r="A3" s="31" t="s">
        <v>1085</v>
      </c>
      <c r="B3" s="70">
        <f>'合并-is'!B27</f>
        <v>34266.250577999999</v>
      </c>
      <c r="C3" s="70">
        <f>'合并-is'!C27</f>
        <v>53579.242633999995</v>
      </c>
      <c r="D3" s="70">
        <f>'合并-is'!D27</f>
        <v>49615.806565999999</v>
      </c>
      <c r="E3" s="70">
        <f>'合并-is'!E27</f>
        <v>42082.783252000001</v>
      </c>
      <c r="F3" s="70">
        <f>'合并-is'!F27</f>
        <v>-5.2679510000000001</v>
      </c>
    </row>
    <row r="4" spans="1:6" x14ac:dyDescent="0.3">
      <c r="A4" s="31" t="s">
        <v>1086</v>
      </c>
      <c r="B4" s="70">
        <f>'合并-is'!B32</f>
        <v>0</v>
      </c>
      <c r="C4" s="70">
        <f>'合并-is'!C32</f>
        <v>-10437.959999999999</v>
      </c>
      <c r="D4" s="70">
        <f>'合并-is'!D32</f>
        <v>111.60838600000001</v>
      </c>
      <c r="E4" s="70">
        <f>'合并-is'!E32</f>
        <v>-3981.059604</v>
      </c>
      <c r="F4" s="70">
        <f>'合并-is'!F32</f>
        <v>0</v>
      </c>
    </row>
    <row r="5" spans="1:6" x14ac:dyDescent="0.3">
      <c r="A5" s="31" t="s">
        <v>233</v>
      </c>
      <c r="B5" s="70">
        <f>'合并-is'!B33</f>
        <v>-4538.5396869999995</v>
      </c>
      <c r="C5" s="70">
        <f>'合并-is'!C33</f>
        <v>-2265.5968469999998</v>
      </c>
      <c r="D5" s="70">
        <f>'合并-is'!D33</f>
        <v>230.48809399999999</v>
      </c>
      <c r="E5" s="70">
        <f>'合并-is'!E33</f>
        <v>0</v>
      </c>
      <c r="F5" s="70">
        <f>'合并-is'!F33</f>
        <v>0</v>
      </c>
    </row>
    <row r="6" spans="1:6" x14ac:dyDescent="0.3">
      <c r="A6" s="31" t="s">
        <v>1087</v>
      </c>
      <c r="B6" s="70">
        <f>'合并-is'!B34</f>
        <v>0</v>
      </c>
      <c r="C6" s="70">
        <f>'合并-is'!C34</f>
        <v>0</v>
      </c>
      <c r="D6" s="70">
        <f>'合并-is'!D34</f>
        <v>0</v>
      </c>
      <c r="E6" s="70">
        <f>'合并-is'!E34</f>
        <v>0</v>
      </c>
      <c r="F6" s="70">
        <f>'合并-is'!F34</f>
        <v>-2119.6538930000002</v>
      </c>
    </row>
    <row r="7" spans="1:6" x14ac:dyDescent="0.3">
      <c r="A7" s="31" t="s">
        <v>1088</v>
      </c>
      <c r="B7" s="70">
        <f>'合并-is'!B35</f>
        <v>0</v>
      </c>
      <c r="C7" s="70">
        <f>'合并-is'!C35</f>
        <v>0</v>
      </c>
      <c r="D7" s="70">
        <f>'合并-is'!D35</f>
        <v>-4.803077</v>
      </c>
      <c r="E7" s="70">
        <f>'合并-is'!E35</f>
        <v>7.9854380000000003</v>
      </c>
      <c r="F7" s="70">
        <f>'合并-is'!F35</f>
        <v>0</v>
      </c>
    </row>
    <row r="8" spans="1:6" x14ac:dyDescent="0.3">
      <c r="A8" s="31" t="s">
        <v>1089</v>
      </c>
      <c r="B8" s="70">
        <f>'合并-is'!B37</f>
        <v>288.15706600000004</v>
      </c>
      <c r="C8" s="70">
        <f>'合并-is'!C37</f>
        <v>62.620649999999998</v>
      </c>
      <c r="D8" s="70">
        <f>'合并-is'!D37</f>
        <v>127.13368</v>
      </c>
      <c r="E8" s="70">
        <f>'合并-is'!E37</f>
        <v>1281.922847</v>
      </c>
      <c r="F8" s="70">
        <f>'合并-is'!F37</f>
        <v>97.668756999999999</v>
      </c>
    </row>
    <row r="9" spans="1:6" x14ac:dyDescent="0.3">
      <c r="A9" s="31" t="s">
        <v>1090</v>
      </c>
      <c r="B9" s="70">
        <f>'合并-is'!B38</f>
        <v>354.65096199999999</v>
      </c>
      <c r="C9" s="70">
        <f>'合并-is'!C38</f>
        <v>6942.3363549999995</v>
      </c>
      <c r="D9" s="70">
        <f>'合并-is'!D38</f>
        <v>522.83862999999997</v>
      </c>
      <c r="E9" s="70">
        <f>'合并-is'!E38</f>
        <v>893.10178000000008</v>
      </c>
      <c r="F9" s="70">
        <f>'合并-is'!F38</f>
        <v>336.78455299999996</v>
      </c>
    </row>
    <row r="10" spans="1:6" x14ac:dyDescent="0.3">
      <c r="A10" s="28" t="s">
        <v>1091</v>
      </c>
      <c r="B10" s="72">
        <f>SUM(B2:B8)-B9</f>
        <v>102781.92967200001</v>
      </c>
      <c r="C10" s="72">
        <f>SUM(C2:C8)-C9</f>
        <v>144118.70862499997</v>
      </c>
      <c r="D10" s="72">
        <f>SUM(D2:D8)-D9</f>
        <v>153868.46602399999</v>
      </c>
      <c r="E10" s="72">
        <f>SUM(E2:E8)-E9</f>
        <v>145397.77494500001</v>
      </c>
      <c r="F10" s="72">
        <f>SUM(F2:F8)-F9</f>
        <v>86853.167910000004</v>
      </c>
    </row>
  </sheetData>
  <phoneticPr fontId="41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J49"/>
  <sheetViews>
    <sheetView zoomScale="90" zoomScaleNormal="90" workbookViewId="0">
      <pane xSplit="1" ySplit="1" topLeftCell="B2" activePane="bottomRight" state="frozen"/>
      <selection pane="topRight"/>
      <selection pane="bottomLeft"/>
      <selection pane="bottomRight" activeCell="A19" sqref="A19:XFD19"/>
    </sheetView>
  </sheetViews>
  <sheetFormatPr defaultColWidth="9" defaultRowHeight="12.75" x14ac:dyDescent="0.3"/>
  <cols>
    <col min="1" max="1" width="42.86328125" style="399" customWidth="1"/>
    <col min="2" max="2" width="24.86328125" style="399" customWidth="1"/>
    <col min="3" max="6" width="18.3984375" style="399" customWidth="1"/>
    <col min="7" max="16384" width="9" style="399"/>
  </cols>
  <sheetData>
    <row r="1" spans="1:10" x14ac:dyDescent="0.3">
      <c r="A1" s="398" t="s">
        <v>278</v>
      </c>
      <c r="B1" s="398" t="str">
        <f>'合并-bs'!B2&amp;"/"&amp;'合并-is'!B2</f>
        <v>2024年9月末/2024年1-9月</v>
      </c>
      <c r="C1" s="398" t="str">
        <f>'合并-bs'!C2&amp;"/"&amp;'合并-is'!C2</f>
        <v>2023年末/2023年度</v>
      </c>
      <c r="D1" s="398" t="str">
        <f>'合并-bs'!D2&amp;"/"&amp;'合并-is'!D2</f>
        <v>2022年末/2022年度</v>
      </c>
      <c r="E1" s="398" t="str">
        <f>'合并-bs'!E2&amp;"/"&amp;'合并-is'!E2</f>
        <v>2021年末/2021年度</v>
      </c>
      <c r="F1" s="398" t="str">
        <f>'合并-bs'!F2&amp;"/"&amp;'合并-is'!F2</f>
        <v>2020年末/2020年度</v>
      </c>
    </row>
    <row r="2" spans="1:10" x14ac:dyDescent="0.3">
      <c r="A2" s="400" t="s">
        <v>22</v>
      </c>
      <c r="B2" s="401">
        <f>'合并-bs'!B9</f>
        <v>168301.83004600002</v>
      </c>
      <c r="C2" s="401">
        <f>'合并-bs'!C9</f>
        <v>178400.82842500001</v>
      </c>
      <c r="D2" s="401">
        <f>'合并-bs'!D9</f>
        <v>88296.412217999998</v>
      </c>
      <c r="E2" s="401">
        <f>'合并-bs'!E9</f>
        <v>11085.212508000001</v>
      </c>
      <c r="F2" s="401">
        <f>'合并-bs'!F9</f>
        <v>4318.4892979999995</v>
      </c>
      <c r="H2" s="402">
        <f>C2/10000</f>
        <v>17.840082842500003</v>
      </c>
      <c r="I2" s="402">
        <f>D2/10000</f>
        <v>8.8296412217999993</v>
      </c>
      <c r="J2" s="403">
        <f>(H2-I2)/I2</f>
        <v>1.0204765283614941</v>
      </c>
    </row>
    <row r="3" spans="1:10" x14ac:dyDescent="0.3">
      <c r="A3" s="400" t="s">
        <v>28</v>
      </c>
      <c r="B3" s="401">
        <f>'合并-bs'!B15</f>
        <v>982962.75423299999</v>
      </c>
      <c r="C3" s="401">
        <f>'合并-bs'!C15</f>
        <v>991421.02836399991</v>
      </c>
      <c r="D3" s="401">
        <f>'合并-bs'!D15</f>
        <v>819392.70420699997</v>
      </c>
      <c r="E3" s="401">
        <f>'合并-bs'!E15</f>
        <v>862315.52927499998</v>
      </c>
      <c r="F3" s="401">
        <f>'合并-bs'!F15</f>
        <v>1291755.4054739999</v>
      </c>
      <c r="H3" s="402">
        <f t="shared" ref="H3:H16" si="0">C3/10000</f>
        <v>99.142102836399985</v>
      </c>
      <c r="I3" s="402">
        <f t="shared" ref="I3:I16" si="1">D3/10000</f>
        <v>81.939270420699998</v>
      </c>
      <c r="J3" s="403">
        <f t="shared" ref="J3:J16" si="2">(H3-I3)/I3</f>
        <v>0.20994612628811132</v>
      </c>
    </row>
    <row r="4" spans="1:10" x14ac:dyDescent="0.3">
      <c r="A4" s="400" t="s">
        <v>731</v>
      </c>
      <c r="B4" s="401">
        <f>'合并-bs'!B45</f>
        <v>5402436.0575670004</v>
      </c>
      <c r="C4" s="401">
        <f>'合并-bs'!C45</f>
        <v>5117881.9861150002</v>
      </c>
      <c r="D4" s="401">
        <f>'合并-bs'!D45</f>
        <v>4855838.9940280002</v>
      </c>
      <c r="E4" s="401">
        <f>'合并-bs'!E45</f>
        <v>4285493.8381189993</v>
      </c>
      <c r="F4" s="401">
        <f>'合并-bs'!F45</f>
        <v>3554699.0796709997</v>
      </c>
      <c r="H4" s="402">
        <f>C4/10000</f>
        <v>511.78819861150004</v>
      </c>
      <c r="I4" s="402">
        <f t="shared" si="1"/>
        <v>485.5838994028</v>
      </c>
      <c r="J4" s="403">
        <f t="shared" si="2"/>
        <v>5.3964514146633863E-2</v>
      </c>
    </row>
    <row r="5" spans="1:10" x14ac:dyDescent="0.3">
      <c r="A5" s="400" t="s">
        <v>78</v>
      </c>
      <c r="B5" s="401">
        <f>'合并-bs'!B65</f>
        <v>180141.94301700001</v>
      </c>
      <c r="C5" s="401">
        <f>'合并-bs'!C65</f>
        <v>443600.99190200004</v>
      </c>
      <c r="D5" s="401">
        <f>'合并-bs'!D65</f>
        <v>851342.51196000003</v>
      </c>
      <c r="E5" s="401">
        <f>'合并-bs'!E65</f>
        <v>574034.50741099997</v>
      </c>
      <c r="F5" s="401">
        <f>'合并-bs'!F65</f>
        <v>615633.49983300001</v>
      </c>
      <c r="H5" s="402">
        <f t="shared" si="0"/>
        <v>44.360099190200003</v>
      </c>
      <c r="I5" s="402">
        <f t="shared" si="1"/>
        <v>85.134251196000008</v>
      </c>
      <c r="J5" s="403">
        <f t="shared" si="2"/>
        <v>-0.4789394565992936</v>
      </c>
    </row>
    <row r="6" spans="1:10" x14ac:dyDescent="0.3">
      <c r="A6" s="400" t="s">
        <v>1092</v>
      </c>
      <c r="B6" s="401">
        <f>'合并-bs'!B74</f>
        <v>3697059.9157119999</v>
      </c>
      <c r="C6" s="401">
        <f>'合并-bs'!C74</f>
        <v>3400294.3840009999</v>
      </c>
      <c r="D6" s="401">
        <f>'合并-bs'!D74</f>
        <v>3147445.590841</v>
      </c>
      <c r="E6" s="401">
        <f>'合并-bs'!E74</f>
        <v>2779376.2269320004</v>
      </c>
      <c r="F6" s="401">
        <f>'合并-bs'!F74</f>
        <v>2188576.2471559998</v>
      </c>
      <c r="H6" s="402">
        <f t="shared" si="0"/>
        <v>340.02943840009999</v>
      </c>
      <c r="I6" s="402">
        <f t="shared" si="1"/>
        <v>314.74455908409999</v>
      </c>
      <c r="J6" s="403">
        <f t="shared" si="2"/>
        <v>8.0334603367182789E-2</v>
      </c>
    </row>
    <row r="7" spans="1:10" x14ac:dyDescent="0.3">
      <c r="A7" s="400" t="s">
        <v>1093</v>
      </c>
      <c r="B7" s="401">
        <f>'EBITDA、总债务'!B22</f>
        <v>3143942.0605560001</v>
      </c>
      <c r="C7" s="401">
        <f>'EBITDA、总债务'!C22</f>
        <v>2866874.4034540001</v>
      </c>
      <c r="D7" s="401">
        <f>'EBITDA、总债务'!D22</f>
        <v>2654709.0876200004</v>
      </c>
      <c r="E7" s="401">
        <f>'EBITDA、总债务'!E22</f>
        <v>2454352.0970340003</v>
      </c>
      <c r="F7" s="401">
        <f>'EBITDA、总债务'!F22</f>
        <v>1878907.3118179999</v>
      </c>
      <c r="H7" s="402">
        <f t="shared" si="0"/>
        <v>286.68744034540003</v>
      </c>
      <c r="I7" s="402">
        <f t="shared" si="1"/>
        <v>265.47090876200002</v>
      </c>
      <c r="J7" s="403">
        <f t="shared" si="2"/>
        <v>7.9920363712699893E-2</v>
      </c>
    </row>
    <row r="8" spans="1:10" x14ac:dyDescent="0.3">
      <c r="A8" s="400" t="s">
        <v>1094</v>
      </c>
      <c r="B8" s="401">
        <f>'合并-bs'!B88</f>
        <v>1705376.1418549998</v>
      </c>
      <c r="C8" s="401">
        <f>'合并-bs'!C88</f>
        <v>1717587.6021139999</v>
      </c>
      <c r="D8" s="401">
        <f>'合并-bs'!D88</f>
        <v>1708393.403187</v>
      </c>
      <c r="E8" s="401">
        <f>'合并-bs'!E88</f>
        <v>1506117.6111870001</v>
      </c>
      <c r="F8" s="401">
        <f>'合并-bs'!F88</f>
        <v>1366122.8325150001</v>
      </c>
      <c r="H8" s="402">
        <f t="shared" si="0"/>
        <v>171.75876021139999</v>
      </c>
      <c r="I8" s="402">
        <f t="shared" si="1"/>
        <v>170.83934031869998</v>
      </c>
      <c r="J8" s="403">
        <f t="shared" si="2"/>
        <v>5.3817808649040226E-3</v>
      </c>
    </row>
    <row r="9" spans="1:10" s="406" customFormat="1" x14ac:dyDescent="0.3">
      <c r="A9" s="404" t="s">
        <v>1095</v>
      </c>
      <c r="B9" s="405">
        <f>'合并-is'!B3</f>
        <v>105582.91987300001</v>
      </c>
      <c r="C9" s="405">
        <f>'合并-is'!C3</f>
        <v>304366.00656999997</v>
      </c>
      <c r="D9" s="405">
        <f>'合并-is'!D3</f>
        <v>362387.85451199999</v>
      </c>
      <c r="E9" s="405">
        <f>'合并-is'!E3</f>
        <v>253550.623742</v>
      </c>
      <c r="F9" s="405">
        <f>'合并-is'!F3</f>
        <v>246396.00719800001</v>
      </c>
      <c r="H9" s="407">
        <f t="shared" si="0"/>
        <v>30.436600656999996</v>
      </c>
      <c r="I9" s="407">
        <f t="shared" si="1"/>
        <v>36.238785451200002</v>
      </c>
      <c r="J9" s="403">
        <f t="shared" si="2"/>
        <v>-0.1601098028523435</v>
      </c>
    </row>
    <row r="10" spans="1:10" x14ac:dyDescent="0.3">
      <c r="A10" s="400" t="s">
        <v>300</v>
      </c>
      <c r="B10" s="401">
        <f>'合并-is'!B39</f>
        <v>290.88101100003126</v>
      </c>
      <c r="C10" s="401">
        <f>'合并-is'!C39</f>
        <v>22991.79332499993</v>
      </c>
      <c r="D10" s="401">
        <f>'合并-is'!D39</f>
        <v>32959.265893999982</v>
      </c>
      <c r="E10" s="401">
        <f>'合并-is'!E39</f>
        <v>31867.212232999995</v>
      </c>
      <c r="F10" s="401">
        <f>'合并-is'!F39</f>
        <v>28573.975574000047</v>
      </c>
      <c r="H10" s="402">
        <f t="shared" si="0"/>
        <v>2.299179332499993</v>
      </c>
      <c r="I10" s="402">
        <f t="shared" si="1"/>
        <v>3.2959265893999983</v>
      </c>
      <c r="J10" s="403">
        <f t="shared" si="2"/>
        <v>-0.30241791795534395</v>
      </c>
    </row>
    <row r="11" spans="1:10" x14ac:dyDescent="0.3">
      <c r="A11" s="400" t="s">
        <v>231</v>
      </c>
      <c r="B11" s="401">
        <f>'合并-is'!B41</f>
        <v>235.60868900003126</v>
      </c>
      <c r="C11" s="401">
        <f>'合并-is'!C41</f>
        <v>25256.719485999929</v>
      </c>
      <c r="D11" s="401">
        <f>'合并-is'!D41</f>
        <v>32959.415081999985</v>
      </c>
      <c r="E11" s="401">
        <f>'合并-is'!E41</f>
        <v>27581.019608999995</v>
      </c>
      <c r="F11" s="401">
        <f>'合并-is'!F41</f>
        <v>27042.075727000047</v>
      </c>
      <c r="H11" s="402">
        <f t="shared" si="0"/>
        <v>2.5256719485999928</v>
      </c>
      <c r="I11" s="402">
        <f t="shared" si="1"/>
        <v>3.2959415081999985</v>
      </c>
      <c r="J11" s="403">
        <f t="shared" si="2"/>
        <v>-0.23370243606679492</v>
      </c>
    </row>
    <row r="12" spans="1:10" x14ac:dyDescent="0.3">
      <c r="A12" s="400" t="s">
        <v>1096</v>
      </c>
      <c r="B12" s="401">
        <f>B11-非经常性损益!B10</f>
        <v>-102546.32098299998</v>
      </c>
      <c r="C12" s="401">
        <f>C11-非经常性损益!C10</f>
        <v>-118861.98913900004</v>
      </c>
      <c r="D12" s="401">
        <f>D11-非经常性损益!D10</f>
        <v>-120909.050942</v>
      </c>
      <c r="E12" s="401">
        <f>E11-非经常性损益!E10</f>
        <v>-117816.75533600002</v>
      </c>
      <c r="F12" s="401">
        <f>F11-非经常性损益!F10</f>
        <v>-59811.092182999957</v>
      </c>
      <c r="H12" s="402">
        <f t="shared" si="0"/>
        <v>-11.886198913900005</v>
      </c>
      <c r="I12" s="402">
        <f t="shared" si="1"/>
        <v>-12.0909050942</v>
      </c>
      <c r="J12" s="403">
        <f t="shared" si="2"/>
        <v>-1.6930591937091014E-2</v>
      </c>
    </row>
    <row r="13" spans="1:10" x14ac:dyDescent="0.3">
      <c r="A13" s="400" t="s">
        <v>1097</v>
      </c>
      <c r="B13" s="401">
        <f>'合并-is'!B46</f>
        <v>330.29036900003126</v>
      </c>
      <c r="C13" s="401">
        <f>'合并-is'!C46</f>
        <v>25861.496166999928</v>
      </c>
      <c r="D13" s="401">
        <f>'合并-is'!D46</f>
        <v>32853.324181999982</v>
      </c>
      <c r="E13" s="401">
        <f>'合并-is'!E46</f>
        <v>27585.889314999997</v>
      </c>
      <c r="F13" s="401">
        <f>'合并-is'!F46</f>
        <v>27080.568864000048</v>
      </c>
      <c r="H13" s="402">
        <f t="shared" si="0"/>
        <v>2.5861496166999927</v>
      </c>
      <c r="I13" s="402">
        <f t="shared" si="1"/>
        <v>3.2853324181999981</v>
      </c>
      <c r="J13" s="403">
        <f t="shared" si="2"/>
        <v>-0.21281949967275487</v>
      </c>
    </row>
    <row r="14" spans="1:10" x14ac:dyDescent="0.3">
      <c r="A14" s="400" t="s">
        <v>284</v>
      </c>
      <c r="B14" s="401">
        <f>'合并-cf'!B13</f>
        <v>-21225.145136000006</v>
      </c>
      <c r="C14" s="401">
        <f>'合并-cf'!C13</f>
        <v>46470.456009000016</v>
      </c>
      <c r="D14" s="401">
        <f>'合并-cf'!D13</f>
        <v>-171988.20053399983</v>
      </c>
      <c r="E14" s="401">
        <f>'合并-cf'!E13</f>
        <v>-128878.04299599997</v>
      </c>
      <c r="F14" s="401">
        <f>'合并-cf'!F13</f>
        <v>-111841.322858</v>
      </c>
      <c r="H14" s="402">
        <f t="shared" si="0"/>
        <v>4.6470456009000012</v>
      </c>
      <c r="I14" s="402">
        <f t="shared" si="1"/>
        <v>-17.198820053399984</v>
      </c>
      <c r="J14" s="403">
        <f t="shared" si="2"/>
        <v>-1.2701956056561763</v>
      </c>
    </row>
    <row r="15" spans="1:10" x14ac:dyDescent="0.3">
      <c r="A15" s="400" t="s">
        <v>285</v>
      </c>
      <c r="B15" s="401">
        <f>'合并-cf'!B27</f>
        <v>-60782.720656999998</v>
      </c>
      <c r="C15" s="401">
        <f>'合并-cf'!C27</f>
        <v>-38214.605181999999</v>
      </c>
      <c r="D15" s="401">
        <f>'合并-cf'!D27</f>
        <v>-198500.25146599999</v>
      </c>
      <c r="E15" s="401">
        <f>'合并-cf'!E27</f>
        <v>-195190.91716100002</v>
      </c>
      <c r="F15" s="401">
        <f>'合并-cf'!F27</f>
        <v>-263957.86626700003</v>
      </c>
      <c r="H15" s="402">
        <f t="shared" si="0"/>
        <v>-3.8214605181999999</v>
      </c>
      <c r="I15" s="402">
        <f t="shared" si="1"/>
        <v>-19.8500251466</v>
      </c>
      <c r="J15" s="403">
        <f t="shared" si="2"/>
        <v>-0.80748334120601584</v>
      </c>
    </row>
    <row r="16" spans="1:10" x14ac:dyDescent="0.3">
      <c r="A16" s="400" t="s">
        <v>286</v>
      </c>
      <c r="B16" s="401">
        <f>'合并-cf'!B40</f>
        <v>63394.350203999784</v>
      </c>
      <c r="C16" s="401">
        <f>'合并-cf'!C40</f>
        <v>21366.994450000115</v>
      </c>
      <c r="D16" s="401">
        <f>'合并-cf'!D40</f>
        <v>127783.68539200001</v>
      </c>
      <c r="E16" s="401">
        <f>'合并-cf'!E40</f>
        <v>286733.39849600033</v>
      </c>
      <c r="F16" s="401">
        <f>'合并-cf'!F40</f>
        <v>626840.00425400003</v>
      </c>
      <c r="H16" s="402">
        <f t="shared" si="0"/>
        <v>2.1366994450000116</v>
      </c>
      <c r="I16" s="402">
        <f t="shared" si="1"/>
        <v>12.778368539200001</v>
      </c>
      <c r="J16" s="403">
        <f t="shared" si="2"/>
        <v>-0.83278777424165751</v>
      </c>
    </row>
    <row r="17" spans="1:10" x14ac:dyDescent="0.3">
      <c r="A17" s="400" t="s">
        <v>1098</v>
      </c>
      <c r="B17" s="401">
        <f>'合并-bs'!B22/'合并-bs'!B62</f>
        <v>2.1471358141034851</v>
      </c>
      <c r="C17" s="401">
        <f>'合并-bs'!C22/'合并-bs'!C62</f>
        <v>2.357980029146507</v>
      </c>
      <c r="D17" s="401">
        <f>'合并-bs'!D22/'合并-bs'!D62</f>
        <v>3.1660183965808497</v>
      </c>
      <c r="E17" s="401">
        <f>'合并-bs'!E22/'合并-bs'!E62</f>
        <v>2.5013819493963121</v>
      </c>
      <c r="F17" s="401">
        <f>'合并-bs'!F22/'合并-bs'!F62</f>
        <v>3.1896273622603828</v>
      </c>
      <c r="J17" s="403">
        <f>(C17-D17)/D17</f>
        <v>-0.25522225907056828</v>
      </c>
    </row>
    <row r="18" spans="1:10" x14ac:dyDescent="0.3">
      <c r="A18" s="400" t="s">
        <v>1099</v>
      </c>
      <c r="B18" s="401">
        <f>('合并-bs'!B22-'合并-bs'!B17)/'合并-bs'!B62</f>
        <v>1.0862559384160422</v>
      </c>
      <c r="C18" s="401">
        <f>('合并-bs'!C22-'合并-bs'!C17)/'合并-bs'!C62</f>
        <v>1.2052612683265198</v>
      </c>
      <c r="D18" s="401">
        <f>('合并-bs'!D22-'合并-bs'!D17)/'合并-bs'!D62</f>
        <v>1.5609176551653159</v>
      </c>
      <c r="E18" s="401">
        <f>('合并-bs'!E22-'合并-bs'!E17)/'合并-bs'!E62</f>
        <v>1.3257191107845343</v>
      </c>
      <c r="F18" s="401">
        <f>('合并-bs'!F22-'合并-bs'!F17)/'合并-bs'!F62</f>
        <v>1.9003768942425208</v>
      </c>
      <c r="J18" s="403">
        <f t="shared" ref="J18:J29" si="3">(C18-D18)/D18</f>
        <v>-0.22785083227284575</v>
      </c>
    </row>
    <row r="19" spans="1:10" ht="13.5" x14ac:dyDescent="0.3">
      <c r="A19" s="400" t="s">
        <v>1224</v>
      </c>
      <c r="B19" s="408">
        <f>'合并-bs'!B74/'合并-bs'!B45</f>
        <v>0.68433200806396577</v>
      </c>
      <c r="C19" s="408">
        <f>'合并-bs'!C74/'合并-bs'!C45</f>
        <v>0.6643948401362364</v>
      </c>
      <c r="D19" s="408">
        <f>'合并-bs'!D74/'合并-bs'!D45</f>
        <v>0.64817750232491567</v>
      </c>
      <c r="E19" s="408">
        <f>'合并-bs'!E74/'合并-bs'!E45</f>
        <v>0.64855447981508052</v>
      </c>
      <c r="F19" s="408">
        <f>'合并-bs'!F74/'合并-bs'!F45</f>
        <v>0.61568537817230939</v>
      </c>
      <c r="J19" s="403">
        <f t="shared" si="3"/>
        <v>2.5019902346427588E-2</v>
      </c>
    </row>
    <row r="20" spans="1:10" x14ac:dyDescent="0.3">
      <c r="A20" s="400" t="s">
        <v>1100</v>
      </c>
      <c r="B20" s="408">
        <f>B7/(B7+B8)</f>
        <v>0.64832661609891573</v>
      </c>
      <c r="C20" s="408">
        <f t="shared" ref="C20:F20" si="4">C7/(C7+C8)</f>
        <v>0.6253458748206604</v>
      </c>
      <c r="D20" s="408">
        <f t="shared" si="4"/>
        <v>0.60844527333782261</v>
      </c>
      <c r="E20" s="408">
        <f t="shared" si="4"/>
        <v>0.61971237702925597</v>
      </c>
      <c r="F20" s="408">
        <f t="shared" si="4"/>
        <v>0.57901074204171987</v>
      </c>
      <c r="J20" s="403">
        <f t="shared" si="3"/>
        <v>2.7776699439415627E-2</v>
      </c>
    </row>
    <row r="21" spans="1:10" ht="13.5" x14ac:dyDescent="0.3">
      <c r="A21" s="400" t="s">
        <v>1225</v>
      </c>
      <c r="B21" s="408">
        <f>('合并-is'!B4-'合并-is'!B9)/'合并-is'!B4</f>
        <v>-7.0466955658635796E-2</v>
      </c>
      <c r="C21" s="408">
        <f>('合并-is'!C4-'合并-is'!C9)/'合并-is'!C4</f>
        <v>1.6199294453291869E-2</v>
      </c>
      <c r="D21" s="408">
        <f>('合并-is'!D4-'合并-is'!D9)/'合并-is'!D4</f>
        <v>2.3366277565794093E-2</v>
      </c>
      <c r="E21" s="408">
        <f>('合并-is'!E4-'合并-is'!E9)/'合并-is'!E4</f>
        <v>2.9484124742705845E-2</v>
      </c>
      <c r="F21" s="408">
        <f>('合并-is'!F4-'合并-is'!F9)/'合并-is'!F4</f>
        <v>0.20167521303650154</v>
      </c>
      <c r="J21" s="403">
        <f t="shared" si="3"/>
        <v>-0.30672335772446591</v>
      </c>
    </row>
    <row r="22" spans="1:10" x14ac:dyDescent="0.3">
      <c r="A22" s="400" t="s">
        <v>1101</v>
      </c>
      <c r="B22" s="408">
        <f>'合并-is'!B41*2/('合并-bs'!B45+'合并-bs'!C45)</f>
        <v>4.4791172286188922E-5</v>
      </c>
      <c r="C22" s="408">
        <f>'合并-is'!C41*2/('合并-bs'!C45+'合并-bs'!D45)</f>
        <v>5.0646533096894005E-3</v>
      </c>
      <c r="D22" s="408">
        <f>'合并-is'!D41*2/('合并-bs'!D45+'合并-bs'!E45)</f>
        <v>7.2110742901938295E-3</v>
      </c>
      <c r="E22" s="408">
        <f>'合并-is'!E41*2/('合并-bs'!E45+'合并-bs'!F45)</f>
        <v>7.0358012610675803E-3</v>
      </c>
      <c r="F22" s="408">
        <f>'合并-is'!F41*2/('合并-bs'!F45+'合并-bs'!G45)</f>
        <v>2.3295716836482065E-3</v>
      </c>
      <c r="J22" s="403">
        <f t="shared" si="3"/>
        <v>-0.29765620129906251</v>
      </c>
    </row>
    <row r="23" spans="1:10" ht="13.5" x14ac:dyDescent="0.3">
      <c r="A23" s="400" t="s">
        <v>1226</v>
      </c>
      <c r="B23" s="408">
        <f>'合并-is'!B41*2/('合并-bs'!B88+'合并-bs'!C88)</f>
        <v>1.3766356095074378E-4</v>
      </c>
      <c r="C23" s="408">
        <f>'合并-is'!C41*2/('合并-bs'!C88+'合并-bs'!D88)</f>
        <v>1.4744226221289821E-2</v>
      </c>
      <c r="D23" s="408">
        <f>'合并-is'!D41*2/('合并-bs'!D88+'合并-bs'!E88)</f>
        <v>2.0506643115931936E-2</v>
      </c>
      <c r="E23" s="408">
        <f>'合并-is'!E41*2/('合并-bs'!E88+'合并-bs'!F88)</f>
        <v>1.9205230306868815E-2</v>
      </c>
      <c r="F23" s="408">
        <f>'合并-is'!F41*2/('合并-bs'!F88+'合并-bs'!G88)</f>
        <v>6.7574801006708499E-3</v>
      </c>
      <c r="J23" s="403">
        <f t="shared" si="3"/>
        <v>-0.28100244696632976</v>
      </c>
    </row>
    <row r="24" spans="1:10" ht="13.5" x14ac:dyDescent="0.3">
      <c r="A24" s="400" t="s">
        <v>1227</v>
      </c>
      <c r="B24" s="408">
        <f>2*B12/('合并-bs'!B88+'合并-bs'!C88)</f>
        <v>-5.9916685453463389E-2</v>
      </c>
      <c r="C24" s="408">
        <f>2*C12/('合并-bs'!C88+'合并-bs'!D88)</f>
        <v>-6.9388586191858975E-2</v>
      </c>
      <c r="D24" s="408">
        <f>2*D12/('合并-bs'!D88+'合并-bs'!E88)</f>
        <v>-7.5227025448874413E-2</v>
      </c>
      <c r="E24" s="408">
        <f>2*E12/('合并-bs'!E88+'合并-bs'!F88)</f>
        <v>-8.2038226008785853E-2</v>
      </c>
      <c r="F24" s="408">
        <f>2*F12/('合并-bs'!F88+'合并-bs'!G88)</f>
        <v>-1.4946051823324639E-2</v>
      </c>
      <c r="J24" s="403">
        <f t="shared" si="3"/>
        <v>-7.7610928016598787E-2</v>
      </c>
    </row>
    <row r="25" spans="1:10" ht="13.15" x14ac:dyDescent="0.3">
      <c r="A25" s="90" t="s">
        <v>306</v>
      </c>
      <c r="B25" s="401">
        <f>'EBITDA、总债务'!B8</f>
        <v>290.88101100003126</v>
      </c>
      <c r="C25" s="401">
        <f>'EBITDA、总债务'!C8</f>
        <v>157404.53235399994</v>
      </c>
      <c r="D25" s="401">
        <f>'EBITDA、总债务'!D8</f>
        <v>174519.421886</v>
      </c>
      <c r="E25" s="401">
        <f>'EBITDA、总债务'!E8</f>
        <v>160100.04938899999</v>
      </c>
      <c r="F25" s="401">
        <f>'EBITDA、总债务'!F8</f>
        <v>139101.26625300004</v>
      </c>
      <c r="J25" s="403">
        <f t="shared" si="3"/>
        <v>-9.8068681107480918E-2</v>
      </c>
    </row>
    <row r="26" spans="1:10" ht="13.5" x14ac:dyDescent="0.3">
      <c r="A26" s="90" t="s">
        <v>1228</v>
      </c>
      <c r="B26" s="409">
        <f>'EBITDA、总债务'!B23</f>
        <v>9.2521110566709845E-5</v>
      </c>
      <c r="C26" s="409">
        <f>'EBITDA、总债务'!C23</f>
        <v>5.4904579065047115E-2</v>
      </c>
      <c r="D26" s="409">
        <f>'EBITDA、总债务'!D23</f>
        <v>6.5739565476253425E-2</v>
      </c>
      <c r="E26" s="409">
        <f>'EBITDA、总债务'!E23</f>
        <v>6.5231084644487389E-2</v>
      </c>
      <c r="F26" s="409">
        <f>'EBITDA、总债务'!F23</f>
        <v>7.4033064525363915E-2</v>
      </c>
      <c r="J26" s="403">
        <f t="shared" si="3"/>
        <v>-0.16481682427791747</v>
      </c>
    </row>
    <row r="27" spans="1:10" ht="13.5" x14ac:dyDescent="0.3">
      <c r="A27" s="90" t="s">
        <v>1229</v>
      </c>
      <c r="B27" s="401" t="e">
        <f>'EBITDA、总债务'!B11</f>
        <v>#DIV/0!</v>
      </c>
      <c r="C27" s="401">
        <f>'EBITDA、总债务'!C11</f>
        <v>0.94554629133722301</v>
      </c>
      <c r="D27" s="401">
        <f>'EBITDA、总债务'!D11</f>
        <v>0.93063542669073063</v>
      </c>
      <c r="E27" s="401">
        <f>'EBITDA、总债务'!E11</f>
        <v>0.90875128432441232</v>
      </c>
      <c r="F27" s="401">
        <f>'EBITDA、总债务'!F11</f>
        <v>1.0683656664658148</v>
      </c>
      <c r="J27" s="403">
        <f t="shared" si="3"/>
        <v>1.6022240523890535E-2</v>
      </c>
    </row>
    <row r="28" spans="1:10" x14ac:dyDescent="0.3">
      <c r="A28" s="400" t="s">
        <v>1102</v>
      </c>
      <c r="B28" s="401">
        <f>'合并-is'!B4*2/('合并-bs'!B9+'合并-bs'!C9)</f>
        <v>0.60906899496319555</v>
      </c>
      <c r="C28" s="401">
        <f>'合并-is'!C4*2/('合并-bs'!C9+'合并-bs'!D9)</f>
        <v>2.2824833570544754</v>
      </c>
      <c r="D28" s="401">
        <f>'合并-is'!D4*2/('合并-bs'!D9+'合并-bs'!E9)</f>
        <v>7.2928542979876019</v>
      </c>
      <c r="E28" s="401">
        <f>'合并-is'!E4*2/('合并-bs'!E9+'合并-bs'!F9)</f>
        <v>32.920739045108981</v>
      </c>
      <c r="F28" s="401">
        <f>'合并-is'!F4*2/('合并-bs'!F9+'合并-bs'!G9)</f>
        <v>1.0941140785306123</v>
      </c>
      <c r="J28" s="403">
        <f t="shared" si="3"/>
        <v>-0.68702468693440022</v>
      </c>
    </row>
    <row r="29" spans="1:10" x14ac:dyDescent="0.3">
      <c r="A29" s="400" t="s">
        <v>1103</v>
      </c>
      <c r="B29" s="401">
        <f>'合并-is'!B9*2/('合并-bs'!B17+'合并-bs'!C17)</f>
        <v>5.0711379113263337E-2</v>
      </c>
      <c r="C29" s="401">
        <f>'合并-is'!C9*2/('合并-bs'!C17+'合并-bs'!D17)</f>
        <v>0.14261636002305347</v>
      </c>
      <c r="D29" s="401">
        <f>'合并-is'!D9*2/('合并-bs'!D17+'合并-bs'!E17)</f>
        <v>0.18654948441399419</v>
      </c>
      <c r="E29" s="401">
        <f>'合并-is'!E9*2/('合并-bs'!E17+'合并-bs'!F17)</f>
        <v>0.16031750398495237</v>
      </c>
      <c r="F29" s="401">
        <f>'合并-is'!F9*2/('合并-bs'!F17+'合并-bs'!G17)</f>
        <v>4.1061239298399888E-2</v>
      </c>
      <c r="J29" s="403">
        <f t="shared" si="3"/>
        <v>-0.23550386391550396</v>
      </c>
    </row>
    <row r="30" spans="1:10" x14ac:dyDescent="0.3">
      <c r="C30" s="402"/>
    </row>
    <row r="31" spans="1:10" x14ac:dyDescent="0.3">
      <c r="A31" s="457"/>
      <c r="B31" s="457"/>
      <c r="C31" s="457"/>
      <c r="D31" s="457"/>
    </row>
    <row r="32" spans="1:10" ht="13.15" x14ac:dyDescent="0.3">
      <c r="A32" s="410" t="s">
        <v>1098</v>
      </c>
      <c r="B32" s="92">
        <f>B17</f>
        <v>2.1471358141034851</v>
      </c>
      <c r="C32" s="92">
        <f t="shared" ref="C32:D32" si="5">C17</f>
        <v>2.357980029146507</v>
      </c>
      <c r="D32" s="92">
        <f t="shared" si="5"/>
        <v>3.1660183965808497</v>
      </c>
      <c r="E32" s="411"/>
      <c r="F32" s="411"/>
    </row>
    <row r="33" spans="1:6" ht="13.15" x14ac:dyDescent="0.3">
      <c r="A33" s="410" t="s">
        <v>1099</v>
      </c>
      <c r="B33" s="92">
        <f>B18</f>
        <v>1.0862559384160422</v>
      </c>
      <c r="C33" s="92">
        <f t="shared" ref="C33:D33" si="6">C18</f>
        <v>1.2052612683265198</v>
      </c>
      <c r="D33" s="92">
        <f t="shared" si="6"/>
        <v>1.5609176551653159</v>
      </c>
      <c r="E33" s="411"/>
      <c r="F33" s="411"/>
    </row>
    <row r="34" spans="1:6" ht="13.15" x14ac:dyDescent="0.3">
      <c r="A34" s="410" t="s">
        <v>1104</v>
      </c>
      <c r="B34" s="93">
        <f>B19</f>
        <v>0.68433200806396577</v>
      </c>
      <c r="C34" s="93">
        <f t="shared" ref="C34:D34" si="7">C19</f>
        <v>0.6643948401362364</v>
      </c>
      <c r="D34" s="93">
        <f t="shared" si="7"/>
        <v>0.64817750232491567</v>
      </c>
      <c r="E34" s="411"/>
      <c r="F34" s="411"/>
    </row>
    <row r="35" spans="1:6" ht="13.15" x14ac:dyDescent="0.3">
      <c r="A35" s="410" t="s">
        <v>1105</v>
      </c>
      <c r="B35" s="93">
        <v>1</v>
      </c>
      <c r="C35" s="93">
        <v>1</v>
      </c>
      <c r="D35" s="93">
        <v>1</v>
      </c>
      <c r="E35" s="411"/>
      <c r="F35" s="411"/>
    </row>
    <row r="36" spans="1:6" ht="13.15" x14ac:dyDescent="0.3">
      <c r="A36" s="410" t="s">
        <v>1106</v>
      </c>
      <c r="B36" s="93">
        <v>1</v>
      </c>
      <c r="C36" s="93">
        <v>1</v>
      </c>
      <c r="D36" s="93">
        <v>1</v>
      </c>
      <c r="E36" s="411"/>
      <c r="F36" s="411"/>
    </row>
    <row r="37" spans="1:6" ht="13.15" x14ac:dyDescent="0.3">
      <c r="A37" s="410" t="s">
        <v>1102</v>
      </c>
      <c r="B37" s="92">
        <f>B28</f>
        <v>0.60906899496319555</v>
      </c>
      <c r="C37" s="92">
        <f>C28</f>
        <v>2.2824833570544754</v>
      </c>
      <c r="D37" s="92">
        <f>D28</f>
        <v>7.2928542979876019</v>
      </c>
      <c r="E37" s="411"/>
      <c r="F37" s="411"/>
    </row>
    <row r="38" spans="1:6" ht="13.15" x14ac:dyDescent="0.3">
      <c r="A38" s="410" t="s">
        <v>1103</v>
      </c>
      <c r="B38" s="92">
        <f>B29</f>
        <v>5.0711379113263337E-2</v>
      </c>
      <c r="C38" s="92">
        <f t="shared" ref="C38:D38" si="8">C29</f>
        <v>0.14261636002305347</v>
      </c>
      <c r="D38" s="92">
        <f t="shared" si="8"/>
        <v>0.18654948441399419</v>
      </c>
      <c r="E38" s="411"/>
      <c r="F38" s="411"/>
    </row>
    <row r="39" spans="1:6" x14ac:dyDescent="0.3">
      <c r="A39" s="412" t="s">
        <v>1107</v>
      </c>
      <c r="B39" s="409">
        <f>2*'合并-is'!B4/('合并-bs'!B45+'合并-bs'!C45)</f>
        <v>2.0072191626641561E-2</v>
      </c>
      <c r="C39" s="409">
        <f>2*'合并-is'!C4/('合并-bs'!C45+'合并-bs'!D45)</f>
        <v>6.1033591610587863E-2</v>
      </c>
      <c r="D39" s="409">
        <f>2*'合并-is'!D4/('合并-bs'!D45+'合并-bs'!E45)</f>
        <v>7.9285561781013716E-2</v>
      </c>
      <c r="E39" s="411"/>
      <c r="F39" s="411"/>
    </row>
    <row r="41" spans="1:6" x14ac:dyDescent="0.3">
      <c r="A41" s="410" t="s">
        <v>1059</v>
      </c>
      <c r="B41" s="408">
        <f>B21</f>
        <v>-7.0466955658635796E-2</v>
      </c>
      <c r="C41" s="408">
        <f t="shared" ref="C41:D41" si="9">C21</f>
        <v>1.6199294453291869E-2</v>
      </c>
      <c r="D41" s="408">
        <f t="shared" si="9"/>
        <v>2.3366277565794093E-2</v>
      </c>
      <c r="E41" s="411"/>
      <c r="F41" s="411"/>
    </row>
    <row r="42" spans="1:6" x14ac:dyDescent="0.3">
      <c r="A42" s="410" t="s">
        <v>1108</v>
      </c>
      <c r="B42" s="411"/>
      <c r="C42" s="411"/>
      <c r="D42" s="411"/>
      <c r="E42" s="411"/>
      <c r="F42" s="411"/>
    </row>
    <row r="43" spans="1:6" x14ac:dyDescent="0.3">
      <c r="A43" s="410" t="s">
        <v>299</v>
      </c>
      <c r="B43" s="408">
        <f>B23</f>
        <v>1.3766356095074378E-4</v>
      </c>
      <c r="C43" s="408">
        <f t="shared" ref="C43:D43" si="10">C23</f>
        <v>1.4744226221289821E-2</v>
      </c>
      <c r="D43" s="408">
        <f t="shared" si="10"/>
        <v>2.0506643115931936E-2</v>
      </c>
      <c r="E43" s="411"/>
      <c r="F43" s="411"/>
    </row>
    <row r="44" spans="1:6" x14ac:dyDescent="0.3">
      <c r="A44" s="412" t="s">
        <v>1109</v>
      </c>
      <c r="B44" s="408">
        <f>'合并-is'!B41*2/('合并-bs'!B45+'合并-bs'!C45)</f>
        <v>4.4791172286188922E-5</v>
      </c>
      <c r="C44" s="408">
        <f>'合并-is'!C41*2/('合并-bs'!C45+'合并-bs'!D45)</f>
        <v>5.0646533096894005E-3</v>
      </c>
      <c r="D44" s="408">
        <f>'合并-is'!D41*2/('合并-bs'!D45+'合并-bs'!E45)</f>
        <v>7.2110742901938295E-3</v>
      </c>
      <c r="E44" s="411"/>
      <c r="F44" s="411"/>
    </row>
    <row r="46" spans="1:6" x14ac:dyDescent="0.3">
      <c r="C46" s="399">
        <v>45.06</v>
      </c>
      <c r="D46" s="399">
        <v>55.21</v>
      </c>
    </row>
    <row r="47" spans="1:6" x14ac:dyDescent="0.3">
      <c r="C47" s="403">
        <f>C46/(C8/10000)</f>
        <v>0.2623446975545255</v>
      </c>
      <c r="D47" s="403">
        <f>D46/(D8/10000)</f>
        <v>0.32316912426029043</v>
      </c>
    </row>
    <row r="48" spans="1:6" x14ac:dyDescent="0.3">
      <c r="C48" s="399">
        <v>129.66999999999999</v>
      </c>
    </row>
    <row r="49" spans="3:4" x14ac:dyDescent="0.3">
      <c r="C49" s="403">
        <f>C48/(C8/10000)</f>
        <v>0.75495421508866667</v>
      </c>
      <c r="D49" s="402">
        <f>D48/(D8/10000)</f>
        <v>0</v>
      </c>
    </row>
  </sheetData>
  <mergeCells count="1">
    <mergeCell ref="A31:D31"/>
  </mergeCells>
  <phoneticPr fontId="41" type="noConversion"/>
  <pageMargins left="0.7" right="0.7" top="0.75" bottom="0.75" header="0.3" footer="0.3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R16"/>
  <sheetViews>
    <sheetView zoomScale="90" zoomScaleNormal="90" workbookViewId="0">
      <selection activeCell="F22" sqref="F22"/>
    </sheetView>
  </sheetViews>
  <sheetFormatPr defaultColWidth="8.6640625" defaultRowHeight="17.100000000000001" customHeight="1" x14ac:dyDescent="0.3"/>
  <cols>
    <col min="1" max="1" width="15.1328125" style="2" customWidth="1"/>
    <col min="2" max="4" width="20.3984375" style="41" customWidth="1"/>
    <col min="5" max="5" width="14" style="41" customWidth="1"/>
    <col min="6" max="6" width="13.59765625" style="41" customWidth="1"/>
    <col min="7" max="7" width="8.6640625" style="2"/>
    <col min="8" max="8" width="16.46484375" style="2" customWidth="1"/>
    <col min="9" max="9" width="13.86328125" style="41" customWidth="1"/>
    <col min="10" max="10" width="10" style="16" customWidth="1"/>
    <col min="11" max="11" width="13.86328125" style="41" customWidth="1"/>
    <col min="12" max="12" width="8.6640625" style="16"/>
    <col min="13" max="13" width="13.86328125" style="41" customWidth="1"/>
    <col min="14" max="14" width="8.6640625" style="16"/>
    <col min="15" max="15" width="8.6640625" style="41"/>
    <col min="16" max="16" width="8.6640625" style="16"/>
    <col min="17" max="17" width="8.6640625" style="41"/>
    <col min="18" max="18" width="8.6640625" style="16"/>
    <col min="19" max="16384" width="8.6640625" style="2"/>
  </cols>
  <sheetData>
    <row r="1" spans="1:18" ht="17.100000000000001" customHeight="1" x14ac:dyDescent="0.3">
      <c r="A1" s="2">
        <v>10000</v>
      </c>
    </row>
    <row r="2" spans="1:18" ht="17.100000000000001" customHeight="1" x14ac:dyDescent="0.3">
      <c r="A2" s="445" t="s">
        <v>278</v>
      </c>
      <c r="B2" s="37" t="str">
        <f>首页!C2</f>
        <v>2024年9月末</v>
      </c>
      <c r="C2" s="37" t="str">
        <f>首页!D2</f>
        <v>2023年末</v>
      </c>
      <c r="D2" s="37" t="str">
        <f>首页!E2</f>
        <v>2022年末</v>
      </c>
      <c r="E2" s="37" t="str">
        <f>首页!F2</f>
        <v>2021年末</v>
      </c>
      <c r="F2" s="37" t="str">
        <f>首页!G2</f>
        <v>2020年末</v>
      </c>
      <c r="H2" s="445" t="s">
        <v>278</v>
      </c>
      <c r="I2" s="445" t="str">
        <f>B2</f>
        <v>2024年9月末</v>
      </c>
      <c r="J2" s="445"/>
      <c r="K2" s="445" t="str">
        <f>C2</f>
        <v>2023年末</v>
      </c>
      <c r="L2" s="445"/>
      <c r="M2" s="445" t="str">
        <f>D2</f>
        <v>2022年末</v>
      </c>
      <c r="N2" s="445"/>
      <c r="O2" s="445" t="str">
        <f>E2</f>
        <v>2021年末</v>
      </c>
      <c r="P2" s="445"/>
      <c r="Q2" s="445" t="str">
        <f>F2</f>
        <v>2020年末</v>
      </c>
      <c r="R2" s="445"/>
    </row>
    <row r="3" spans="1:18" ht="17.100000000000001" customHeight="1" x14ac:dyDescent="0.3">
      <c r="A3" s="445"/>
      <c r="B3" s="38" t="s">
        <v>729</v>
      </c>
      <c r="C3" s="38" t="s">
        <v>729</v>
      </c>
      <c r="D3" s="38" t="s">
        <v>729</v>
      </c>
      <c r="E3" s="38" t="s">
        <v>729</v>
      </c>
      <c r="F3" s="38" t="s">
        <v>729</v>
      </c>
      <c r="H3" s="445"/>
      <c r="I3" s="38" t="s">
        <v>729</v>
      </c>
      <c r="J3" s="87" t="s">
        <v>763</v>
      </c>
      <c r="K3" s="38" t="s">
        <v>729</v>
      </c>
      <c r="L3" s="87" t="s">
        <v>763</v>
      </c>
      <c r="M3" s="38" t="s">
        <v>729</v>
      </c>
      <c r="N3" s="87" t="s">
        <v>763</v>
      </c>
      <c r="O3" s="38" t="s">
        <v>729</v>
      </c>
      <c r="P3" s="87" t="s">
        <v>763</v>
      </c>
      <c r="Q3" s="38" t="s">
        <v>729</v>
      </c>
      <c r="R3" s="87" t="s">
        <v>763</v>
      </c>
    </row>
    <row r="4" spans="1:18" ht="17.100000000000001" customHeight="1" x14ac:dyDescent="0.3">
      <c r="A4" s="85"/>
      <c r="B4" s="86"/>
      <c r="C4" s="86"/>
      <c r="D4" s="86"/>
      <c r="E4" s="86"/>
      <c r="F4" s="86"/>
      <c r="H4" s="39">
        <f>A4</f>
        <v>0</v>
      </c>
      <c r="I4" s="40">
        <f>B4/$A$1</f>
        <v>0</v>
      </c>
      <c r="J4" s="88" t="e">
        <f>I4/$I$15</f>
        <v>#DIV/0!</v>
      </c>
      <c r="K4" s="40">
        <f>C4/$A$1</f>
        <v>0</v>
      </c>
      <c r="L4" s="88" t="e">
        <f>K4/$K$15</f>
        <v>#DIV/0!</v>
      </c>
      <c r="M4" s="40">
        <f>D4/$A$1</f>
        <v>0</v>
      </c>
      <c r="N4" s="88" t="e">
        <f>M4/$M$15</f>
        <v>#DIV/0!</v>
      </c>
      <c r="O4" s="40">
        <f>E4/$A$1</f>
        <v>0</v>
      </c>
      <c r="P4" s="88" t="e">
        <f>O4/$O$15</f>
        <v>#DIV/0!</v>
      </c>
      <c r="Q4" s="40">
        <f>F4/$A$1</f>
        <v>0</v>
      </c>
      <c r="R4" s="88" t="e">
        <f>Q4/$Q$15</f>
        <v>#DIV/0!</v>
      </c>
    </row>
    <row r="5" spans="1:18" ht="17.100000000000001" customHeight="1" x14ac:dyDescent="0.3">
      <c r="A5" s="85"/>
      <c r="B5" s="86"/>
      <c r="C5" s="86"/>
      <c r="D5" s="86"/>
      <c r="E5" s="86"/>
      <c r="F5" s="86"/>
      <c r="H5" s="39">
        <f t="shared" ref="H5:H15" si="0">A5</f>
        <v>0</v>
      </c>
      <c r="I5" s="40">
        <f t="shared" ref="I5:I14" si="1">B5/$A$1</f>
        <v>0</v>
      </c>
      <c r="J5" s="88" t="e">
        <f t="shared" ref="J5:J14" si="2">I5/$I$15</f>
        <v>#DIV/0!</v>
      </c>
      <c r="K5" s="40">
        <f t="shared" ref="K5:K14" si="3">C5/$A$1</f>
        <v>0</v>
      </c>
      <c r="L5" s="88" t="e">
        <f t="shared" ref="L5:L14" si="4">K5/$K$15</f>
        <v>#DIV/0!</v>
      </c>
      <c r="M5" s="40">
        <f t="shared" ref="M5:M14" si="5">D5/$A$1</f>
        <v>0</v>
      </c>
      <c r="N5" s="88" t="e">
        <f t="shared" ref="N5:N14" si="6">M5/$M$15</f>
        <v>#DIV/0!</v>
      </c>
      <c r="O5" s="40">
        <f t="shared" ref="O5:O14" si="7">E5/$A$1</f>
        <v>0</v>
      </c>
      <c r="P5" s="88" t="e">
        <f t="shared" ref="P5:P14" si="8">O5/$O$15</f>
        <v>#DIV/0!</v>
      </c>
      <c r="Q5" s="40">
        <f t="shared" ref="Q5:Q14" si="9">F5/$A$1</f>
        <v>0</v>
      </c>
      <c r="R5" s="88" t="e">
        <f t="shared" ref="R5:R14" si="10">Q5/$Q$15</f>
        <v>#DIV/0!</v>
      </c>
    </row>
    <row r="6" spans="1:18" ht="17.100000000000001" customHeight="1" x14ac:dyDescent="0.3">
      <c r="A6" s="86"/>
      <c r="B6" s="86"/>
      <c r="C6" s="86"/>
      <c r="D6" s="86"/>
      <c r="E6" s="86"/>
      <c r="F6" s="86"/>
      <c r="H6" s="39">
        <f t="shared" si="0"/>
        <v>0</v>
      </c>
      <c r="I6" s="40">
        <f t="shared" si="1"/>
        <v>0</v>
      </c>
      <c r="J6" s="88" t="e">
        <f t="shared" si="2"/>
        <v>#DIV/0!</v>
      </c>
      <c r="K6" s="40">
        <f t="shared" si="3"/>
        <v>0</v>
      </c>
      <c r="L6" s="88" t="e">
        <f t="shared" si="4"/>
        <v>#DIV/0!</v>
      </c>
      <c r="M6" s="40">
        <f t="shared" si="5"/>
        <v>0</v>
      </c>
      <c r="N6" s="88" t="e">
        <f t="shared" si="6"/>
        <v>#DIV/0!</v>
      </c>
      <c r="O6" s="40">
        <f t="shared" si="7"/>
        <v>0</v>
      </c>
      <c r="P6" s="88" t="e">
        <f t="shared" si="8"/>
        <v>#DIV/0!</v>
      </c>
      <c r="Q6" s="40">
        <f t="shared" si="9"/>
        <v>0</v>
      </c>
      <c r="R6" s="88" t="e">
        <f t="shared" si="10"/>
        <v>#DIV/0!</v>
      </c>
    </row>
    <row r="7" spans="1:18" ht="17.100000000000001" customHeight="1" x14ac:dyDescent="0.3">
      <c r="A7" s="85"/>
      <c r="B7" s="86"/>
      <c r="C7" s="86"/>
      <c r="D7" s="86"/>
      <c r="E7" s="86"/>
      <c r="F7" s="86"/>
      <c r="H7" s="39">
        <f t="shared" si="0"/>
        <v>0</v>
      </c>
      <c r="I7" s="40">
        <f t="shared" si="1"/>
        <v>0</v>
      </c>
      <c r="J7" s="88" t="e">
        <f t="shared" si="2"/>
        <v>#DIV/0!</v>
      </c>
      <c r="K7" s="40">
        <f t="shared" si="3"/>
        <v>0</v>
      </c>
      <c r="L7" s="88" t="e">
        <f t="shared" si="4"/>
        <v>#DIV/0!</v>
      </c>
      <c r="M7" s="40">
        <f t="shared" si="5"/>
        <v>0</v>
      </c>
      <c r="N7" s="88" t="e">
        <f t="shared" si="6"/>
        <v>#DIV/0!</v>
      </c>
      <c r="O7" s="40">
        <f t="shared" si="7"/>
        <v>0</v>
      </c>
      <c r="P7" s="88" t="e">
        <f t="shared" si="8"/>
        <v>#DIV/0!</v>
      </c>
      <c r="Q7" s="40">
        <f t="shared" si="9"/>
        <v>0</v>
      </c>
      <c r="R7" s="88" t="e">
        <f t="shared" si="10"/>
        <v>#DIV/0!</v>
      </c>
    </row>
    <row r="8" spans="1:18" ht="17.100000000000001" customHeight="1" x14ac:dyDescent="0.3">
      <c r="A8" s="85"/>
      <c r="B8" s="86"/>
      <c r="C8" s="86"/>
      <c r="D8" s="86"/>
      <c r="E8" s="86"/>
      <c r="F8" s="86"/>
      <c r="H8" s="39">
        <f t="shared" si="0"/>
        <v>0</v>
      </c>
      <c r="I8" s="40">
        <f t="shared" si="1"/>
        <v>0</v>
      </c>
      <c r="J8" s="88" t="e">
        <f t="shared" si="2"/>
        <v>#DIV/0!</v>
      </c>
      <c r="K8" s="40">
        <f t="shared" si="3"/>
        <v>0</v>
      </c>
      <c r="L8" s="88" t="e">
        <f t="shared" si="4"/>
        <v>#DIV/0!</v>
      </c>
      <c r="M8" s="40">
        <f t="shared" si="5"/>
        <v>0</v>
      </c>
      <c r="N8" s="88" t="e">
        <f t="shared" si="6"/>
        <v>#DIV/0!</v>
      </c>
      <c r="O8" s="40">
        <f t="shared" si="7"/>
        <v>0</v>
      </c>
      <c r="P8" s="88" t="e">
        <f t="shared" si="8"/>
        <v>#DIV/0!</v>
      </c>
      <c r="Q8" s="40">
        <f t="shared" si="9"/>
        <v>0</v>
      </c>
      <c r="R8" s="88" t="e">
        <f t="shared" si="10"/>
        <v>#DIV/0!</v>
      </c>
    </row>
    <row r="9" spans="1:18" ht="17.100000000000001" customHeight="1" x14ac:dyDescent="0.3">
      <c r="A9" s="85"/>
      <c r="B9" s="86"/>
      <c r="C9" s="86"/>
      <c r="D9" s="86"/>
      <c r="E9" s="86"/>
      <c r="F9" s="86"/>
      <c r="H9" s="39">
        <f t="shared" si="0"/>
        <v>0</v>
      </c>
      <c r="I9" s="40">
        <f t="shared" si="1"/>
        <v>0</v>
      </c>
      <c r="J9" s="88" t="e">
        <f t="shared" si="2"/>
        <v>#DIV/0!</v>
      </c>
      <c r="K9" s="40">
        <f t="shared" si="3"/>
        <v>0</v>
      </c>
      <c r="L9" s="88" t="e">
        <f t="shared" si="4"/>
        <v>#DIV/0!</v>
      </c>
      <c r="M9" s="40">
        <f t="shared" si="5"/>
        <v>0</v>
      </c>
      <c r="N9" s="88" t="e">
        <f t="shared" si="6"/>
        <v>#DIV/0!</v>
      </c>
      <c r="O9" s="40">
        <f t="shared" si="7"/>
        <v>0</v>
      </c>
      <c r="P9" s="88" t="e">
        <f t="shared" si="8"/>
        <v>#DIV/0!</v>
      </c>
      <c r="Q9" s="40">
        <f t="shared" si="9"/>
        <v>0</v>
      </c>
      <c r="R9" s="88" t="e">
        <f t="shared" si="10"/>
        <v>#DIV/0!</v>
      </c>
    </row>
    <row r="10" spans="1:18" ht="17.100000000000001" customHeight="1" x14ac:dyDescent="0.3">
      <c r="A10" s="85"/>
      <c r="B10" s="86"/>
      <c r="C10" s="86"/>
      <c r="D10" s="86"/>
      <c r="E10" s="86"/>
      <c r="F10" s="86"/>
      <c r="H10" s="39">
        <f t="shared" si="0"/>
        <v>0</v>
      </c>
      <c r="I10" s="40">
        <f t="shared" si="1"/>
        <v>0</v>
      </c>
      <c r="J10" s="88" t="e">
        <f t="shared" si="2"/>
        <v>#DIV/0!</v>
      </c>
      <c r="K10" s="40">
        <f t="shared" si="3"/>
        <v>0</v>
      </c>
      <c r="L10" s="88" t="e">
        <f t="shared" si="4"/>
        <v>#DIV/0!</v>
      </c>
      <c r="M10" s="40">
        <f t="shared" si="5"/>
        <v>0</v>
      </c>
      <c r="N10" s="88" t="e">
        <f t="shared" si="6"/>
        <v>#DIV/0!</v>
      </c>
      <c r="O10" s="40">
        <f t="shared" si="7"/>
        <v>0</v>
      </c>
      <c r="P10" s="88" t="e">
        <f t="shared" si="8"/>
        <v>#DIV/0!</v>
      </c>
      <c r="Q10" s="40">
        <f t="shared" si="9"/>
        <v>0</v>
      </c>
      <c r="R10" s="88" t="e">
        <f t="shared" si="10"/>
        <v>#DIV/0!</v>
      </c>
    </row>
    <row r="11" spans="1:18" ht="17.100000000000001" customHeight="1" x14ac:dyDescent="0.3">
      <c r="A11" s="85"/>
      <c r="B11" s="86"/>
      <c r="C11" s="86"/>
      <c r="D11" s="86"/>
      <c r="E11" s="86"/>
      <c r="F11" s="86"/>
      <c r="H11" s="39">
        <f t="shared" si="0"/>
        <v>0</v>
      </c>
      <c r="I11" s="40">
        <f t="shared" si="1"/>
        <v>0</v>
      </c>
      <c r="J11" s="88" t="e">
        <f t="shared" si="2"/>
        <v>#DIV/0!</v>
      </c>
      <c r="K11" s="40">
        <f t="shared" si="3"/>
        <v>0</v>
      </c>
      <c r="L11" s="88" t="e">
        <f t="shared" si="4"/>
        <v>#DIV/0!</v>
      </c>
      <c r="M11" s="40">
        <f t="shared" si="5"/>
        <v>0</v>
      </c>
      <c r="N11" s="88" t="e">
        <f t="shared" si="6"/>
        <v>#DIV/0!</v>
      </c>
      <c r="O11" s="40">
        <f t="shared" si="7"/>
        <v>0</v>
      </c>
      <c r="P11" s="88" t="e">
        <f t="shared" si="8"/>
        <v>#DIV/0!</v>
      </c>
      <c r="Q11" s="40">
        <f t="shared" si="9"/>
        <v>0</v>
      </c>
      <c r="R11" s="88" t="e">
        <f t="shared" si="10"/>
        <v>#DIV/0!</v>
      </c>
    </row>
    <row r="12" spans="1:18" ht="17.100000000000001" customHeight="1" x14ac:dyDescent="0.3">
      <c r="A12" s="85"/>
      <c r="B12" s="86"/>
      <c r="C12" s="86"/>
      <c r="D12" s="86"/>
      <c r="E12" s="86"/>
      <c r="F12" s="86"/>
      <c r="H12" s="39">
        <f t="shared" si="0"/>
        <v>0</v>
      </c>
      <c r="I12" s="40">
        <f t="shared" si="1"/>
        <v>0</v>
      </c>
      <c r="J12" s="88" t="e">
        <f t="shared" si="2"/>
        <v>#DIV/0!</v>
      </c>
      <c r="K12" s="40">
        <f t="shared" si="3"/>
        <v>0</v>
      </c>
      <c r="L12" s="88" t="e">
        <f t="shared" si="4"/>
        <v>#DIV/0!</v>
      </c>
      <c r="M12" s="40">
        <f t="shared" si="5"/>
        <v>0</v>
      </c>
      <c r="N12" s="88" t="e">
        <f t="shared" si="6"/>
        <v>#DIV/0!</v>
      </c>
      <c r="O12" s="40">
        <f t="shared" si="7"/>
        <v>0</v>
      </c>
      <c r="P12" s="88" t="e">
        <f t="shared" si="8"/>
        <v>#DIV/0!</v>
      </c>
      <c r="Q12" s="40">
        <f t="shared" si="9"/>
        <v>0</v>
      </c>
      <c r="R12" s="88" t="e">
        <f t="shared" si="10"/>
        <v>#DIV/0!</v>
      </c>
    </row>
    <row r="13" spans="1:18" ht="17.100000000000001" customHeight="1" x14ac:dyDescent="0.3">
      <c r="A13" s="85"/>
      <c r="B13" s="86"/>
      <c r="C13" s="86"/>
      <c r="D13" s="86"/>
      <c r="E13" s="86"/>
      <c r="F13" s="86"/>
      <c r="H13" s="39">
        <f t="shared" si="0"/>
        <v>0</v>
      </c>
      <c r="I13" s="40">
        <f t="shared" si="1"/>
        <v>0</v>
      </c>
      <c r="J13" s="88" t="e">
        <f t="shared" si="2"/>
        <v>#DIV/0!</v>
      </c>
      <c r="K13" s="40">
        <f t="shared" si="3"/>
        <v>0</v>
      </c>
      <c r="L13" s="88" t="e">
        <f t="shared" si="4"/>
        <v>#DIV/0!</v>
      </c>
      <c r="M13" s="40">
        <f t="shared" si="5"/>
        <v>0</v>
      </c>
      <c r="N13" s="88" t="e">
        <f t="shared" si="6"/>
        <v>#DIV/0!</v>
      </c>
      <c r="O13" s="40">
        <f t="shared" si="7"/>
        <v>0</v>
      </c>
      <c r="P13" s="88" t="e">
        <f t="shared" si="8"/>
        <v>#DIV/0!</v>
      </c>
      <c r="Q13" s="40">
        <f t="shared" si="9"/>
        <v>0</v>
      </c>
      <c r="R13" s="88" t="e">
        <f t="shared" si="10"/>
        <v>#DIV/0!</v>
      </c>
    </row>
    <row r="14" spans="1:18" ht="17.100000000000001" customHeight="1" x14ac:dyDescent="0.3">
      <c r="A14" s="85"/>
      <c r="B14" s="86"/>
      <c r="C14" s="86"/>
      <c r="D14" s="86"/>
      <c r="E14" s="86"/>
      <c r="F14" s="86"/>
      <c r="H14" s="39">
        <f t="shared" si="0"/>
        <v>0</v>
      </c>
      <c r="I14" s="40">
        <f t="shared" si="1"/>
        <v>0</v>
      </c>
      <c r="J14" s="88" t="e">
        <f t="shared" si="2"/>
        <v>#DIV/0!</v>
      </c>
      <c r="K14" s="40">
        <f t="shared" si="3"/>
        <v>0</v>
      </c>
      <c r="L14" s="88" t="e">
        <f t="shared" si="4"/>
        <v>#DIV/0!</v>
      </c>
      <c r="M14" s="40">
        <f t="shared" si="5"/>
        <v>0</v>
      </c>
      <c r="N14" s="88" t="e">
        <f t="shared" si="6"/>
        <v>#DIV/0!</v>
      </c>
      <c r="O14" s="40">
        <f t="shared" si="7"/>
        <v>0</v>
      </c>
      <c r="P14" s="88" t="e">
        <f t="shared" si="8"/>
        <v>#DIV/0!</v>
      </c>
      <c r="Q14" s="40">
        <f t="shared" si="9"/>
        <v>0</v>
      </c>
      <c r="R14" s="88" t="e">
        <f t="shared" si="10"/>
        <v>#DIV/0!</v>
      </c>
    </row>
    <row r="15" spans="1:18" s="1" customFormat="1" ht="17.100000000000001" customHeight="1" x14ac:dyDescent="0.3">
      <c r="A15" s="37" t="s">
        <v>272</v>
      </c>
      <c r="B15" s="38">
        <f>SUM(B4:B14)</f>
        <v>0</v>
      </c>
      <c r="C15" s="38">
        <f t="shared" ref="C15:F15" si="11">SUM(C4:C14)</f>
        <v>0</v>
      </c>
      <c r="D15" s="38">
        <f t="shared" si="11"/>
        <v>0</v>
      </c>
      <c r="E15" s="38">
        <f t="shared" si="11"/>
        <v>0</v>
      </c>
      <c r="F15" s="38">
        <f t="shared" si="11"/>
        <v>0</v>
      </c>
      <c r="H15" s="37" t="str">
        <f t="shared" si="0"/>
        <v>合计</v>
      </c>
      <c r="I15" s="38">
        <f>SUM(I4:I14)</f>
        <v>0</v>
      </c>
      <c r="J15" s="87" t="e">
        <f t="shared" ref="J15:R15" si="12">SUM(J4:J14)</f>
        <v>#DIV/0!</v>
      </c>
      <c r="K15" s="38">
        <f t="shared" si="12"/>
        <v>0</v>
      </c>
      <c r="L15" s="87" t="e">
        <f t="shared" si="12"/>
        <v>#DIV/0!</v>
      </c>
      <c r="M15" s="38">
        <f t="shared" si="12"/>
        <v>0</v>
      </c>
      <c r="N15" s="87" t="e">
        <f t="shared" si="12"/>
        <v>#DIV/0!</v>
      </c>
      <c r="O15" s="38">
        <f t="shared" si="12"/>
        <v>0</v>
      </c>
      <c r="P15" s="87" t="e">
        <f t="shared" si="12"/>
        <v>#DIV/0!</v>
      </c>
      <c r="Q15" s="38">
        <f t="shared" si="12"/>
        <v>0</v>
      </c>
      <c r="R15" s="87" t="e">
        <f t="shared" si="12"/>
        <v>#DIV/0!</v>
      </c>
    </row>
    <row r="16" spans="1:18" ht="17.100000000000001" customHeight="1" x14ac:dyDescent="0.3">
      <c r="J16" s="41"/>
      <c r="L16" s="41"/>
      <c r="N16" s="41"/>
    </row>
  </sheetData>
  <mergeCells count="7">
    <mergeCell ref="O2:P2"/>
    <mergeCell ref="Q2:R2"/>
    <mergeCell ref="A2:A3"/>
    <mergeCell ref="H2:H3"/>
    <mergeCell ref="I2:J2"/>
    <mergeCell ref="K2:L2"/>
    <mergeCell ref="M2:N2"/>
  </mergeCells>
  <phoneticPr fontId="41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filterMode="1"/>
  <dimension ref="A1:T111"/>
  <sheetViews>
    <sheetView topLeftCell="A48" zoomScale="70" zoomScaleNormal="70" workbookViewId="0">
      <pane xSplit="1" topLeftCell="B1" activePane="topRight" state="frozen"/>
      <selection pane="topRight" activeCell="A105" sqref="A105:XFD105"/>
    </sheetView>
  </sheetViews>
  <sheetFormatPr defaultColWidth="9" defaultRowHeight="12.75" x14ac:dyDescent="0.3"/>
  <cols>
    <col min="1" max="1" width="18.3984375" style="68" customWidth="1"/>
    <col min="2" max="2" width="17.1328125" style="68" customWidth="1"/>
    <col min="3" max="3" width="11.1328125" style="69" customWidth="1"/>
    <col min="4" max="4" width="17.1328125" style="68" customWidth="1"/>
    <col min="5" max="5" width="14.1328125" style="69" customWidth="1"/>
    <col min="6" max="6" width="17.1328125" style="68" customWidth="1"/>
    <col min="7" max="7" width="11.86328125" style="69" customWidth="1"/>
    <col min="8" max="8" width="17.1328125" style="68" customWidth="1"/>
    <col min="9" max="9" width="12.86328125" style="69" customWidth="1"/>
    <col min="10" max="10" width="17.1328125" style="68" customWidth="1"/>
    <col min="11" max="11" width="12.86328125" style="69" customWidth="1"/>
    <col min="12" max="12" width="17" style="68" customWidth="1"/>
    <col min="13" max="13" width="11.06640625" style="68" customWidth="1"/>
    <col min="14" max="14" width="11.53125" style="68" customWidth="1"/>
    <col min="15" max="15" width="15.3984375" style="68" customWidth="1"/>
    <col min="16" max="16" width="11.1328125" style="68" customWidth="1"/>
    <col min="17" max="17" width="9" style="68"/>
    <col min="18" max="18" width="15.3984375" style="68" customWidth="1"/>
    <col min="19" max="19" width="9.86328125" style="68" customWidth="1"/>
    <col min="20" max="16384" width="9" style="68"/>
  </cols>
  <sheetData>
    <row r="1" spans="1:20" x14ac:dyDescent="0.3">
      <c r="A1" s="431" t="s">
        <v>278</v>
      </c>
      <c r="B1" s="431" t="str">
        <f>'合并-bs'!B2</f>
        <v>2024年9月末</v>
      </c>
      <c r="C1" s="431"/>
      <c r="D1" s="431" t="str">
        <f>'合并-bs'!C2</f>
        <v>2023年末</v>
      </c>
      <c r="E1" s="431"/>
      <c r="F1" s="431" t="str">
        <f>'合并-bs'!D2</f>
        <v>2022年末</v>
      </c>
      <c r="G1" s="431"/>
      <c r="H1" s="431" t="str">
        <f>'合并-bs'!E2</f>
        <v>2021年末</v>
      </c>
      <c r="I1" s="431"/>
      <c r="J1" s="431" t="str">
        <f>'合并-bs'!F2</f>
        <v>2020年末</v>
      </c>
      <c r="K1" s="431"/>
      <c r="L1" s="434" t="str">
        <f>B1&amp;"较"&amp;D1</f>
        <v>2024年9月末较2023年末</v>
      </c>
      <c r="M1" s="434"/>
      <c r="N1" s="434"/>
      <c r="O1" s="434" t="str">
        <f t="shared" ref="O1" si="0">D1&amp;"较"&amp;F1</f>
        <v>2023年末较2022年末</v>
      </c>
      <c r="P1" s="434"/>
      <c r="Q1" s="434"/>
      <c r="R1" s="434" t="str">
        <f t="shared" ref="R1" si="1">F1&amp;"较"&amp;H1</f>
        <v>2022年末较2021年末</v>
      </c>
      <c r="S1" s="434"/>
      <c r="T1" s="434"/>
    </row>
    <row r="2" spans="1:20" x14ac:dyDescent="0.3">
      <c r="A2" s="431"/>
      <c r="B2" s="28" t="s">
        <v>729</v>
      </c>
      <c r="C2" s="30" t="s">
        <v>763</v>
      </c>
      <c r="D2" s="28" t="s">
        <v>729</v>
      </c>
      <c r="E2" s="30" t="s">
        <v>763</v>
      </c>
      <c r="F2" s="28" t="s">
        <v>729</v>
      </c>
      <c r="G2" s="30" t="s">
        <v>763</v>
      </c>
      <c r="H2" s="28" t="s">
        <v>729</v>
      </c>
      <c r="I2" s="30" t="s">
        <v>763</v>
      </c>
      <c r="J2" s="28" t="s">
        <v>729</v>
      </c>
      <c r="K2" s="30" t="s">
        <v>763</v>
      </c>
      <c r="L2" s="43" t="s">
        <v>1110</v>
      </c>
      <c r="M2" s="43" t="s">
        <v>740</v>
      </c>
      <c r="N2" s="43" t="s">
        <v>1111</v>
      </c>
      <c r="O2" s="43" t="s">
        <v>1110</v>
      </c>
      <c r="P2" s="43" t="s">
        <v>740</v>
      </c>
      <c r="Q2" s="43" t="s">
        <v>1111</v>
      </c>
      <c r="R2" s="43" t="s">
        <v>1110</v>
      </c>
      <c r="S2" s="43" t="s">
        <v>740</v>
      </c>
      <c r="T2" s="43" t="s">
        <v>1111</v>
      </c>
    </row>
    <row r="3" spans="1:20" x14ac:dyDescent="0.3">
      <c r="A3" s="42" t="s">
        <v>1112</v>
      </c>
      <c r="B3" s="70">
        <f>'合并-bs'!B22</f>
        <v>4679281.183983</v>
      </c>
      <c r="C3" s="71">
        <f>B3/$B$5</f>
        <v>0.86614281670745497</v>
      </c>
      <c r="D3" s="70">
        <f>'合并-bs'!C22</f>
        <v>4388819.8035559999</v>
      </c>
      <c r="E3" s="71">
        <f>D3/$D$5</f>
        <v>0.85754611291605154</v>
      </c>
      <c r="F3" s="70">
        <f>'合并-bs'!D22</f>
        <v>4050794.124791</v>
      </c>
      <c r="G3" s="71">
        <f>F3/$F$5</f>
        <v>0.83421096329036193</v>
      </c>
      <c r="H3" s="70">
        <f>'合并-bs'!E22</f>
        <v>3703621.4269469995</v>
      </c>
      <c r="I3" s="71">
        <f>H3/$H$5</f>
        <v>0.86422278664915853</v>
      </c>
      <c r="J3" s="70">
        <f>'合并-bs'!F22</f>
        <v>3288271.9939539996</v>
      </c>
      <c r="K3" s="71">
        <f>J3/$J$5</f>
        <v>0.92504932773615856</v>
      </c>
      <c r="L3" s="80">
        <f>B3-D3</f>
        <v>290461.38042700011</v>
      </c>
      <c r="M3" s="69">
        <f>L3/D3</f>
        <v>6.6182115791506527E-2</v>
      </c>
      <c r="O3" s="80">
        <f>D3-F3</f>
        <v>338025.67876499984</v>
      </c>
      <c r="P3" s="69">
        <f>O3/F3</f>
        <v>8.3446768300632954E-2</v>
      </c>
      <c r="R3" s="80">
        <f>F3-H3</f>
        <v>347172.69784400053</v>
      </c>
      <c r="S3" s="69">
        <f>R3/H3</f>
        <v>9.3738710797497696E-2</v>
      </c>
    </row>
    <row r="4" spans="1:20" x14ac:dyDescent="0.3">
      <c r="A4" s="42" t="s">
        <v>1113</v>
      </c>
      <c r="B4" s="70">
        <f>'合并-bs'!B44</f>
        <v>723154.87358400004</v>
      </c>
      <c r="C4" s="71">
        <f t="shared" ref="C4:C5" si="2">B4/$B$5</f>
        <v>0.13385718329254498</v>
      </c>
      <c r="D4" s="70">
        <f>'合并-bs'!C44</f>
        <v>729062.1825590001</v>
      </c>
      <c r="E4" s="71">
        <f t="shared" ref="E4:E5" si="3">D4/$D$5</f>
        <v>0.14245388708394846</v>
      </c>
      <c r="F4" s="70">
        <f>'合并-bs'!D44</f>
        <v>805044.86923699989</v>
      </c>
      <c r="G4" s="71">
        <f t="shared" ref="G4:G5" si="4">F4/$F$5</f>
        <v>0.16578903670963802</v>
      </c>
      <c r="H4" s="70">
        <f>'合并-bs'!E44</f>
        <v>581872.41117199999</v>
      </c>
      <c r="I4" s="71">
        <f t="shared" ref="I4:I5" si="5">H4/$H$5</f>
        <v>0.1357772133508415</v>
      </c>
      <c r="J4" s="70">
        <f>'合并-bs'!F44</f>
        <v>266427.08571700001</v>
      </c>
      <c r="K4" s="71">
        <f t="shared" ref="K4:K5" si="6">J4/$J$5</f>
        <v>7.4950672263841472E-2</v>
      </c>
      <c r="L4" s="80">
        <f>B4-D4</f>
        <v>-5907.3089750000509</v>
      </c>
      <c r="M4" s="69">
        <f>L4/D4</f>
        <v>-8.1026133522184105E-3</v>
      </c>
      <c r="O4" s="80">
        <f>D4-F4</f>
        <v>-75982.686677999794</v>
      </c>
      <c r="P4" s="69">
        <f>O4/F4</f>
        <v>-9.4383169909540779E-2</v>
      </c>
      <c r="R4" s="80">
        <f>F4-H4</f>
        <v>223172.4580649999</v>
      </c>
      <c r="S4" s="69">
        <f>R4/H4</f>
        <v>0.38354191362241902</v>
      </c>
    </row>
    <row r="5" spans="1:20" s="66" customFormat="1" x14ac:dyDescent="0.3">
      <c r="A5" s="28" t="s">
        <v>58</v>
      </c>
      <c r="B5" s="72">
        <f>'合并-bs'!B45</f>
        <v>5402436.0575670004</v>
      </c>
      <c r="C5" s="73">
        <f t="shared" si="2"/>
        <v>1</v>
      </c>
      <c r="D5" s="72">
        <f>'合并-bs'!C45</f>
        <v>5117881.9861150002</v>
      </c>
      <c r="E5" s="73">
        <f t="shared" si="3"/>
        <v>1</v>
      </c>
      <c r="F5" s="72">
        <f>'合并-bs'!D45</f>
        <v>4855838.9940280002</v>
      </c>
      <c r="G5" s="73">
        <f t="shared" si="4"/>
        <v>1</v>
      </c>
      <c r="H5" s="72">
        <f>'合并-bs'!E45</f>
        <v>4285493.8381189993</v>
      </c>
      <c r="I5" s="73">
        <f t="shared" si="5"/>
        <v>1</v>
      </c>
      <c r="J5" s="72">
        <f>'合并-bs'!F45</f>
        <v>3554699.0796709997</v>
      </c>
      <c r="K5" s="73">
        <f t="shared" si="6"/>
        <v>1</v>
      </c>
      <c r="L5" s="80">
        <f t="shared" ref="L5" si="7">B5-D5</f>
        <v>284554.07145200018</v>
      </c>
      <c r="M5" s="69">
        <f>L5/D5</f>
        <v>5.5599967374004661E-2</v>
      </c>
      <c r="N5" s="68"/>
      <c r="O5" s="80">
        <f t="shared" ref="O5" si="8">D5-F5</f>
        <v>262042.99208700005</v>
      </c>
      <c r="P5" s="69">
        <f t="shared" ref="P5" si="9">O5/F5</f>
        <v>5.39645141466338E-2</v>
      </c>
      <c r="Q5" s="68"/>
      <c r="R5" s="80">
        <f t="shared" ref="R5" si="10">F5-H5</f>
        <v>570345.1559090009</v>
      </c>
      <c r="S5" s="69">
        <f t="shared" ref="S5" si="11">R5/H5</f>
        <v>0.13308738209721435</v>
      </c>
      <c r="T5" s="68"/>
    </row>
    <row r="6" spans="1:20" s="66" customFormat="1" x14ac:dyDescent="0.3">
      <c r="A6" s="43"/>
      <c r="B6" s="74"/>
      <c r="C6" s="75"/>
      <c r="D6" s="74"/>
      <c r="E6" s="75"/>
      <c r="F6" s="74"/>
      <c r="G6" s="75"/>
      <c r="H6" s="74"/>
      <c r="I6" s="75"/>
      <c r="J6" s="74"/>
      <c r="K6" s="75"/>
    </row>
    <row r="7" spans="1:20" s="66" customFormat="1" x14ac:dyDescent="0.3">
      <c r="A7" s="43"/>
      <c r="B7" s="74"/>
      <c r="C7" s="75"/>
      <c r="D7" s="74"/>
      <c r="E7" s="75"/>
      <c r="F7" s="74"/>
      <c r="G7" s="75"/>
      <c r="H7" s="74"/>
      <c r="I7" s="75"/>
      <c r="J7" s="74"/>
      <c r="K7" s="75"/>
    </row>
    <row r="8" spans="1:20" s="66" customFormat="1" x14ac:dyDescent="0.3">
      <c r="A8" s="459" t="s">
        <v>1114</v>
      </c>
      <c r="B8" s="459"/>
      <c r="C8" s="459"/>
      <c r="D8" s="459"/>
      <c r="E8" s="459"/>
      <c r="F8" s="459"/>
      <c r="G8" s="459"/>
      <c r="H8" s="459"/>
      <c r="I8" s="459"/>
      <c r="J8" s="459"/>
      <c r="K8" s="459"/>
      <c r="L8" s="458" t="s">
        <v>1115</v>
      </c>
      <c r="M8" s="458"/>
      <c r="N8" s="458"/>
      <c r="O8" s="458"/>
      <c r="P8" s="458"/>
      <c r="Q8" s="458"/>
      <c r="R8" s="458"/>
      <c r="S8" s="458"/>
      <c r="T8" s="458"/>
    </row>
    <row r="9" spans="1:20" x14ac:dyDescent="0.3">
      <c r="A9" s="425"/>
      <c r="B9" s="425"/>
      <c r="C9" s="425"/>
      <c r="D9" s="425"/>
      <c r="E9" s="425"/>
      <c r="F9" s="425"/>
      <c r="G9" s="425"/>
      <c r="H9" s="425"/>
      <c r="I9" s="425"/>
      <c r="J9" s="425"/>
      <c r="K9" s="425"/>
      <c r="L9" s="458"/>
      <c r="M9" s="458"/>
      <c r="N9" s="458"/>
      <c r="O9" s="458"/>
      <c r="P9" s="458"/>
      <c r="Q9" s="458"/>
      <c r="R9" s="458"/>
      <c r="S9" s="458"/>
      <c r="T9" s="458"/>
    </row>
    <row r="10" spans="1:20" x14ac:dyDescent="0.3">
      <c r="A10" s="431" t="s">
        <v>278</v>
      </c>
      <c r="B10" s="431" t="str">
        <f>'合并-bs'!B2</f>
        <v>2024年9月末</v>
      </c>
      <c r="C10" s="431"/>
      <c r="D10" s="431" t="str">
        <f>'合并-bs'!C2</f>
        <v>2023年末</v>
      </c>
      <c r="E10" s="431"/>
      <c r="F10" s="431" t="str">
        <f>'合并-bs'!D2</f>
        <v>2022年末</v>
      </c>
      <c r="G10" s="431"/>
      <c r="H10" s="431" t="str">
        <f>'合并-bs'!E2</f>
        <v>2021年末</v>
      </c>
      <c r="I10" s="431"/>
      <c r="J10" s="431" t="str">
        <f>'合并-bs'!F2</f>
        <v>2020年末</v>
      </c>
      <c r="K10" s="431"/>
      <c r="L10" s="434" t="str">
        <f>B10&amp;"较"&amp;D10</f>
        <v>2024年9月末较2023年末</v>
      </c>
      <c r="M10" s="434"/>
      <c r="N10" s="434"/>
      <c r="O10" s="434" t="str">
        <f t="shared" ref="O10" si="12">D10&amp;"较"&amp;F10</f>
        <v>2023年末较2022年末</v>
      </c>
      <c r="P10" s="434"/>
      <c r="Q10" s="434"/>
      <c r="R10" s="434" t="str">
        <f t="shared" ref="R10" si="13">F10&amp;"较"&amp;H10</f>
        <v>2022年末较2021年末</v>
      </c>
      <c r="S10" s="434"/>
      <c r="T10" s="434"/>
    </row>
    <row r="11" spans="1:20" x14ac:dyDescent="0.3">
      <c r="A11" s="431"/>
      <c r="B11" s="28" t="s">
        <v>729</v>
      </c>
      <c r="C11" s="30" t="s">
        <v>763</v>
      </c>
      <c r="D11" s="28" t="s">
        <v>729</v>
      </c>
      <c r="E11" s="30" t="s">
        <v>763</v>
      </c>
      <c r="F11" s="28" t="s">
        <v>729</v>
      </c>
      <c r="G11" s="30" t="s">
        <v>763</v>
      </c>
      <c r="H11" s="28" t="s">
        <v>729</v>
      </c>
      <c r="I11" s="30" t="s">
        <v>763</v>
      </c>
      <c r="J11" s="28" t="s">
        <v>729</v>
      </c>
      <c r="K11" s="30" t="s">
        <v>763</v>
      </c>
      <c r="L11" s="43" t="s">
        <v>1110</v>
      </c>
      <c r="M11" s="43" t="s">
        <v>740</v>
      </c>
      <c r="N11" s="43" t="s">
        <v>1111</v>
      </c>
      <c r="O11" s="43" t="s">
        <v>1110</v>
      </c>
      <c r="P11" s="43" t="s">
        <v>740</v>
      </c>
      <c r="Q11" s="43" t="s">
        <v>1111</v>
      </c>
      <c r="R11" s="43" t="s">
        <v>1110</v>
      </c>
      <c r="S11" s="43" t="s">
        <v>740</v>
      </c>
      <c r="T11" s="43" t="s">
        <v>1111</v>
      </c>
    </row>
    <row r="12" spans="1:20" x14ac:dyDescent="0.3">
      <c r="A12" s="76" t="str">
        <f>'合并-bs'!A4</f>
        <v>货币资金</v>
      </c>
      <c r="B12" s="70">
        <f>'合并-bs'!B4</f>
        <v>139814.43995299999</v>
      </c>
      <c r="C12" s="71">
        <f t="shared" ref="C12:C30" si="14">B12/$B$30</f>
        <v>2.9879469614174814E-2</v>
      </c>
      <c r="D12" s="70">
        <f>'合并-bs'!C4</f>
        <v>158428.36535000001</v>
      </c>
      <c r="E12" s="71">
        <f>D12/$D$30</f>
        <v>3.6098170451572181E-2</v>
      </c>
      <c r="F12" s="70">
        <f>'合并-bs'!D4</f>
        <v>128601.72284500001</v>
      </c>
      <c r="G12" s="71">
        <f>F12/$F$30</f>
        <v>3.1747286799384107E-2</v>
      </c>
      <c r="H12" s="70">
        <f>'合并-bs'!E4</f>
        <v>383584.43414999999</v>
      </c>
      <c r="I12" s="71">
        <f>H12/$H$30</f>
        <v>0.10357009800167388</v>
      </c>
      <c r="J12" s="70">
        <f>'合并-bs'!F4</f>
        <v>608823.20639499999</v>
      </c>
      <c r="K12" s="71">
        <f>J12/$J$30</f>
        <v>0.91229417371029942</v>
      </c>
      <c r="L12" s="80">
        <f>B12-D12</f>
        <v>-18613.925397000014</v>
      </c>
      <c r="M12" s="69">
        <f>L12/D12</f>
        <v>-0.11749111565898014</v>
      </c>
      <c r="O12" s="80">
        <f>D12-F12</f>
        <v>29826.642504999996</v>
      </c>
      <c r="P12" s="69">
        <f>O12/F12</f>
        <v>0.23193034933870363</v>
      </c>
      <c r="R12" s="80">
        <f>F12-H12</f>
        <v>-254982.71130499998</v>
      </c>
      <c r="S12" s="69">
        <f>R12/H12</f>
        <v>-0.66473685740149058</v>
      </c>
    </row>
    <row r="13" spans="1:20" x14ac:dyDescent="0.3">
      <c r="A13" s="76" t="str">
        <f>'合并-bs'!A5</f>
        <v>交易性金融资产</v>
      </c>
      <c r="B13" s="70">
        <f>'合并-bs'!B5</f>
        <v>0</v>
      </c>
      <c r="C13" s="71">
        <f t="shared" si="14"/>
        <v>0</v>
      </c>
      <c r="D13" s="70">
        <f>'合并-bs'!C5</f>
        <v>0</v>
      </c>
      <c r="E13" s="71">
        <f t="shared" ref="E13:E30" si="15">D13/$D$30</f>
        <v>0</v>
      </c>
      <c r="F13" s="70">
        <f>'合并-bs'!D5</f>
        <v>0</v>
      </c>
      <c r="G13" s="71">
        <f t="shared" ref="G13:G30" si="16">F13/$F$30</f>
        <v>0</v>
      </c>
      <c r="H13" s="70">
        <f>'合并-bs'!E5</f>
        <v>0</v>
      </c>
      <c r="I13" s="71">
        <f t="shared" ref="I13:I29" si="17">H13/$H$30</f>
        <v>0</v>
      </c>
      <c r="J13" s="70">
        <f>'合并-bs'!F5</f>
        <v>0</v>
      </c>
      <c r="K13" s="71">
        <f t="shared" ref="K13:K30" si="18">J13/$J$30</f>
        <v>0</v>
      </c>
      <c r="L13" s="80">
        <f>B13-D13</f>
        <v>0</v>
      </c>
      <c r="M13" s="69" t="e">
        <f>L13/D13</f>
        <v>#DIV/0!</v>
      </c>
      <c r="O13" s="80">
        <f>D13-F13</f>
        <v>0</v>
      </c>
      <c r="P13" s="69" t="e">
        <f>O13/F13</f>
        <v>#DIV/0!</v>
      </c>
      <c r="R13" s="80">
        <f>F13-H13</f>
        <v>0</v>
      </c>
      <c r="S13" s="69" t="e">
        <f>R13/H13</f>
        <v>#DIV/0!</v>
      </c>
    </row>
    <row r="14" spans="1:20" x14ac:dyDescent="0.3">
      <c r="A14" s="76" t="str">
        <f>'合并-bs'!A6</f>
        <v>以公允价值计量且其变动计入当期损益的金融资产</v>
      </c>
      <c r="B14" s="70">
        <f>'合并-bs'!B6</f>
        <v>0</v>
      </c>
      <c r="C14" s="71">
        <f t="shared" si="14"/>
        <v>0</v>
      </c>
      <c r="D14" s="70">
        <f>'合并-bs'!C6</f>
        <v>0</v>
      </c>
      <c r="E14" s="71">
        <f t="shared" si="15"/>
        <v>0</v>
      </c>
      <c r="F14" s="70">
        <f>'合并-bs'!D6</f>
        <v>0</v>
      </c>
      <c r="G14" s="71">
        <f t="shared" si="16"/>
        <v>0</v>
      </c>
      <c r="H14" s="70">
        <f>'合并-bs'!E6</f>
        <v>0</v>
      </c>
      <c r="I14" s="71">
        <f t="shared" si="17"/>
        <v>0</v>
      </c>
      <c r="J14" s="70">
        <f>'合并-bs'!F6</f>
        <v>0</v>
      </c>
      <c r="K14" s="71">
        <f t="shared" si="18"/>
        <v>0</v>
      </c>
      <c r="L14" s="80">
        <f t="shared" ref="L14:L30" si="19">B14-D14</f>
        <v>0</v>
      </c>
      <c r="M14" s="69" t="e">
        <f t="shared" ref="M14:M30" si="20">L14/D14</f>
        <v>#DIV/0!</v>
      </c>
      <c r="O14" s="80">
        <f t="shared" ref="O14:O30" si="21">D14-F14</f>
        <v>0</v>
      </c>
      <c r="P14" s="69" t="e">
        <f t="shared" ref="P14:P30" si="22">O14/F14</f>
        <v>#DIV/0!</v>
      </c>
      <c r="R14" s="80">
        <f t="shared" ref="R14:R30" si="23">F14-H14</f>
        <v>0</v>
      </c>
      <c r="S14" s="69" t="e">
        <f t="shared" ref="S14:S30" si="24">R14/H14</f>
        <v>#DIV/0!</v>
      </c>
    </row>
    <row r="15" spans="1:20" x14ac:dyDescent="0.3">
      <c r="A15" s="76" t="str">
        <f>'合并-bs'!A7</f>
        <v>衍生金融资产</v>
      </c>
      <c r="B15" s="70">
        <f>'合并-bs'!B7</f>
        <v>0</v>
      </c>
      <c r="C15" s="71">
        <f t="shared" si="14"/>
        <v>0</v>
      </c>
      <c r="D15" s="70">
        <f>'合并-bs'!C7</f>
        <v>0</v>
      </c>
      <c r="E15" s="71">
        <f t="shared" si="15"/>
        <v>0</v>
      </c>
      <c r="F15" s="70">
        <f>'合并-bs'!D7</f>
        <v>0</v>
      </c>
      <c r="G15" s="71">
        <f t="shared" si="16"/>
        <v>0</v>
      </c>
      <c r="H15" s="70">
        <f>'合并-bs'!E7</f>
        <v>0</v>
      </c>
      <c r="I15" s="71">
        <f t="shared" si="17"/>
        <v>0</v>
      </c>
      <c r="J15" s="70">
        <f>'合并-bs'!F7</f>
        <v>0</v>
      </c>
      <c r="K15" s="71">
        <f t="shared" si="18"/>
        <v>0</v>
      </c>
      <c r="L15" s="80">
        <f t="shared" si="19"/>
        <v>0</v>
      </c>
      <c r="M15" s="69" t="e">
        <f t="shared" si="20"/>
        <v>#DIV/0!</v>
      </c>
      <c r="O15" s="80">
        <f t="shared" si="21"/>
        <v>0</v>
      </c>
      <c r="P15" s="69" t="e">
        <f t="shared" si="22"/>
        <v>#DIV/0!</v>
      </c>
      <c r="R15" s="80">
        <f t="shared" si="23"/>
        <v>0</v>
      </c>
      <c r="S15" s="69" t="e">
        <f t="shared" si="24"/>
        <v>#DIV/0!</v>
      </c>
    </row>
    <row r="16" spans="1:20" x14ac:dyDescent="0.3">
      <c r="A16" s="76" t="str">
        <f>'合并-bs'!A8</f>
        <v>应收票据</v>
      </c>
      <c r="B16" s="70">
        <f>'合并-bs'!B8</f>
        <v>0</v>
      </c>
      <c r="C16" s="71">
        <f t="shared" si="14"/>
        <v>0</v>
      </c>
      <c r="D16" s="70">
        <f>'合并-bs'!C8</f>
        <v>0</v>
      </c>
      <c r="E16" s="71">
        <f t="shared" si="15"/>
        <v>0</v>
      </c>
      <c r="F16" s="70">
        <f>'合并-bs'!D8</f>
        <v>0</v>
      </c>
      <c r="G16" s="71">
        <f t="shared" si="16"/>
        <v>0</v>
      </c>
      <c r="H16" s="70">
        <f>'合并-bs'!E8</f>
        <v>0</v>
      </c>
      <c r="I16" s="71">
        <f t="shared" si="17"/>
        <v>0</v>
      </c>
      <c r="J16" s="70">
        <f>'合并-bs'!F8</f>
        <v>0</v>
      </c>
      <c r="K16" s="71">
        <f t="shared" si="18"/>
        <v>0</v>
      </c>
      <c r="L16" s="80">
        <f t="shared" si="19"/>
        <v>0</v>
      </c>
      <c r="M16" s="69" t="e">
        <f t="shared" si="20"/>
        <v>#DIV/0!</v>
      </c>
      <c r="O16" s="80">
        <f t="shared" si="21"/>
        <v>0</v>
      </c>
      <c r="P16" s="69" t="e">
        <f t="shared" si="22"/>
        <v>#DIV/0!</v>
      </c>
      <c r="R16" s="80">
        <f t="shared" si="23"/>
        <v>0</v>
      </c>
      <c r="S16" s="69" t="e">
        <f t="shared" si="24"/>
        <v>#DIV/0!</v>
      </c>
    </row>
    <row r="17" spans="1:20" x14ac:dyDescent="0.3">
      <c r="A17" s="76" t="str">
        <f>'合并-bs'!A9</f>
        <v>应收账款</v>
      </c>
      <c r="B17" s="70">
        <f>'合并-bs'!B9</f>
        <v>168301.83004600002</v>
      </c>
      <c r="C17" s="71">
        <f t="shared" si="14"/>
        <v>3.596745385211958E-2</v>
      </c>
      <c r="D17" s="70">
        <f>'合并-bs'!C9</f>
        <v>178400.82842500001</v>
      </c>
      <c r="E17" s="71">
        <f t="shared" si="15"/>
        <v>4.064892987414348E-2</v>
      </c>
      <c r="F17" s="70">
        <f>'合并-bs'!D9</f>
        <v>88296.412217999998</v>
      </c>
      <c r="G17" s="71">
        <f t="shared" si="16"/>
        <v>2.1797309243050123E-2</v>
      </c>
      <c r="H17" s="70">
        <f>'合并-bs'!E9</f>
        <v>11085.212508000001</v>
      </c>
      <c r="I17" s="71">
        <f t="shared" si="17"/>
        <v>2.9930738674708059E-3</v>
      </c>
      <c r="J17" s="70">
        <f>'合并-bs'!F9</f>
        <v>4318.4892979999995</v>
      </c>
      <c r="K17" s="71">
        <f t="shared" si="18"/>
        <v>6.4710618524610099E-3</v>
      </c>
      <c r="L17" s="80">
        <f t="shared" si="19"/>
        <v>-10098.998378999997</v>
      </c>
      <c r="M17" s="69">
        <f t="shared" si="20"/>
        <v>-5.6608472439048298E-2</v>
      </c>
      <c r="O17" s="80">
        <f t="shared" si="21"/>
        <v>90104.416207000017</v>
      </c>
      <c r="P17" s="69">
        <f t="shared" si="22"/>
        <v>1.0204765283614938</v>
      </c>
      <c r="R17" s="80">
        <f t="shared" si="23"/>
        <v>77211.199710000001</v>
      </c>
      <c r="S17" s="69">
        <f t="shared" si="24"/>
        <v>6.9652430798487668</v>
      </c>
    </row>
    <row r="18" spans="1:20" x14ac:dyDescent="0.3">
      <c r="A18" s="76" t="str">
        <f>'合并-bs'!A10</f>
        <v>应收款项融资</v>
      </c>
      <c r="B18" s="70">
        <f>'合并-bs'!B10</f>
        <v>0</v>
      </c>
      <c r="C18" s="71">
        <f t="shared" si="14"/>
        <v>0</v>
      </c>
      <c r="D18" s="70">
        <f>'合并-bs'!C10</f>
        <v>0</v>
      </c>
      <c r="E18" s="71">
        <f t="shared" si="15"/>
        <v>0</v>
      </c>
      <c r="F18" s="70">
        <f>'合并-bs'!D10</f>
        <v>0</v>
      </c>
      <c r="G18" s="71">
        <f t="shared" si="16"/>
        <v>0</v>
      </c>
      <c r="H18" s="70">
        <f>'合并-bs'!E10</f>
        <v>0</v>
      </c>
      <c r="I18" s="71">
        <f t="shared" si="17"/>
        <v>0</v>
      </c>
      <c r="J18" s="70">
        <f>'合并-bs'!F10</f>
        <v>0</v>
      </c>
      <c r="K18" s="71">
        <f t="shared" si="18"/>
        <v>0</v>
      </c>
      <c r="L18" s="80">
        <f t="shared" si="19"/>
        <v>0</v>
      </c>
      <c r="M18" s="69" t="e">
        <f t="shared" si="20"/>
        <v>#DIV/0!</v>
      </c>
      <c r="O18" s="80">
        <f t="shared" si="21"/>
        <v>0</v>
      </c>
      <c r="P18" s="69" t="e">
        <f t="shared" si="22"/>
        <v>#DIV/0!</v>
      </c>
      <c r="R18" s="80">
        <f t="shared" si="23"/>
        <v>0</v>
      </c>
      <c r="S18" s="69" t="e">
        <f t="shared" si="24"/>
        <v>#DIV/0!</v>
      </c>
    </row>
    <row r="19" spans="1:20" x14ac:dyDescent="0.3">
      <c r="A19" s="76" t="str">
        <f>'合并-bs'!A11</f>
        <v>预付款项</v>
      </c>
      <c r="B19" s="70">
        <f>'合并-bs'!B11</f>
        <v>13024.317601000001</v>
      </c>
      <c r="C19" s="71">
        <f t="shared" si="14"/>
        <v>2.7834013577943853E-3</v>
      </c>
      <c r="D19" s="70">
        <f>'合并-bs'!C11</f>
        <v>11292.656144</v>
      </c>
      <c r="E19" s="71">
        <f t="shared" si="15"/>
        <v>2.5730507629523162E-3</v>
      </c>
      <c r="F19" s="70">
        <f>'合并-bs'!D11</f>
        <v>10043.40149</v>
      </c>
      <c r="G19" s="71">
        <f t="shared" si="16"/>
        <v>2.4793660651707861E-3</v>
      </c>
      <c r="H19" s="70">
        <f>'合并-bs'!E11</f>
        <v>13832.048816</v>
      </c>
      <c r="I19" s="71">
        <f t="shared" si="17"/>
        <v>3.7347361464538649E-3</v>
      </c>
      <c r="J19" s="70">
        <f>'合并-bs'!F11</f>
        <v>54212.348583000006</v>
      </c>
      <c r="K19" s="71">
        <f t="shared" si="18"/>
        <v>8.1234764437239565E-2</v>
      </c>
      <c r="L19" s="80">
        <f t="shared" si="19"/>
        <v>1731.6614570000002</v>
      </c>
      <c r="M19" s="69">
        <f t="shared" si="20"/>
        <v>0.15334403482391201</v>
      </c>
      <c r="O19" s="80">
        <f t="shared" si="21"/>
        <v>1249.2546540000003</v>
      </c>
      <c r="P19" s="69">
        <f t="shared" si="22"/>
        <v>0.12438561330480082</v>
      </c>
      <c r="R19" s="80">
        <f t="shared" si="23"/>
        <v>-3788.6473260000002</v>
      </c>
      <c r="S19" s="69">
        <f t="shared" si="24"/>
        <v>-0.27390355372499431</v>
      </c>
    </row>
    <row r="20" spans="1:20" x14ac:dyDescent="0.3">
      <c r="A20" s="76" t="str">
        <f>'合并-bs'!A12</f>
        <v>应收保费</v>
      </c>
      <c r="B20" s="70">
        <f>'合并-bs'!B12</f>
        <v>0</v>
      </c>
      <c r="C20" s="71">
        <f t="shared" si="14"/>
        <v>0</v>
      </c>
      <c r="D20" s="70">
        <f>'合并-bs'!C12</f>
        <v>0</v>
      </c>
      <c r="E20" s="71">
        <f t="shared" si="15"/>
        <v>0</v>
      </c>
      <c r="F20" s="70">
        <f>'合并-bs'!D12</f>
        <v>0</v>
      </c>
      <c r="G20" s="71">
        <f t="shared" si="16"/>
        <v>0</v>
      </c>
      <c r="H20" s="70">
        <f>'合并-bs'!E12</f>
        <v>0</v>
      </c>
      <c r="I20" s="71">
        <f t="shared" si="17"/>
        <v>0</v>
      </c>
      <c r="J20" s="70">
        <f>'合并-bs'!F12</f>
        <v>0</v>
      </c>
      <c r="K20" s="71">
        <f t="shared" si="18"/>
        <v>0</v>
      </c>
      <c r="L20" s="80">
        <f t="shared" si="19"/>
        <v>0</v>
      </c>
      <c r="M20" s="69" t="e">
        <f t="shared" si="20"/>
        <v>#DIV/0!</v>
      </c>
      <c r="O20" s="80">
        <f t="shared" si="21"/>
        <v>0</v>
      </c>
      <c r="P20" s="69" t="e">
        <f t="shared" si="22"/>
        <v>#DIV/0!</v>
      </c>
      <c r="R20" s="80">
        <f t="shared" si="23"/>
        <v>0</v>
      </c>
      <c r="S20" s="69" t="e">
        <f t="shared" si="24"/>
        <v>#DIV/0!</v>
      </c>
    </row>
    <row r="21" spans="1:20" x14ac:dyDescent="0.3">
      <c r="A21" s="76" t="str">
        <f>'合并-bs'!A13</f>
        <v>应收分保账款</v>
      </c>
      <c r="B21" s="70">
        <f>'合并-bs'!B13</f>
        <v>0</v>
      </c>
      <c r="C21" s="71">
        <f t="shared" si="14"/>
        <v>0</v>
      </c>
      <c r="D21" s="70">
        <f>'合并-bs'!C13</f>
        <v>0</v>
      </c>
      <c r="E21" s="71">
        <f t="shared" si="15"/>
        <v>0</v>
      </c>
      <c r="F21" s="70">
        <f>'合并-bs'!D13</f>
        <v>0</v>
      </c>
      <c r="G21" s="71">
        <f t="shared" si="16"/>
        <v>0</v>
      </c>
      <c r="H21" s="70">
        <f>'合并-bs'!E13</f>
        <v>0</v>
      </c>
      <c r="I21" s="71">
        <f t="shared" si="17"/>
        <v>0</v>
      </c>
      <c r="J21" s="70">
        <f>'合并-bs'!F13</f>
        <v>0</v>
      </c>
      <c r="K21" s="71">
        <f t="shared" si="18"/>
        <v>0</v>
      </c>
      <c r="L21" s="80">
        <f t="shared" si="19"/>
        <v>0</v>
      </c>
      <c r="M21" s="69" t="e">
        <f t="shared" si="20"/>
        <v>#DIV/0!</v>
      </c>
      <c r="O21" s="80">
        <f t="shared" si="21"/>
        <v>0</v>
      </c>
      <c r="P21" s="69" t="e">
        <f t="shared" si="22"/>
        <v>#DIV/0!</v>
      </c>
      <c r="R21" s="80">
        <f t="shared" si="23"/>
        <v>0</v>
      </c>
      <c r="S21" s="69" t="e">
        <f t="shared" si="24"/>
        <v>#DIV/0!</v>
      </c>
    </row>
    <row r="22" spans="1:20" x14ac:dyDescent="0.3">
      <c r="A22" s="76" t="str">
        <f>'合并-bs'!A14</f>
        <v>应收分保合同准备金</v>
      </c>
      <c r="B22" s="70">
        <f>'合并-bs'!B14</f>
        <v>0</v>
      </c>
      <c r="C22" s="71">
        <f t="shared" si="14"/>
        <v>0</v>
      </c>
      <c r="D22" s="70">
        <f>'合并-bs'!C14</f>
        <v>0</v>
      </c>
      <c r="E22" s="71">
        <f t="shared" si="15"/>
        <v>0</v>
      </c>
      <c r="F22" s="70">
        <f>'合并-bs'!D14</f>
        <v>0</v>
      </c>
      <c r="G22" s="71">
        <f t="shared" si="16"/>
        <v>0</v>
      </c>
      <c r="H22" s="70">
        <f>'合并-bs'!E14</f>
        <v>0</v>
      </c>
      <c r="I22" s="71">
        <f t="shared" si="17"/>
        <v>0</v>
      </c>
      <c r="J22" s="70">
        <f>'合并-bs'!F14</f>
        <v>0</v>
      </c>
      <c r="K22" s="71">
        <f t="shared" si="18"/>
        <v>0</v>
      </c>
      <c r="L22" s="80">
        <f t="shared" si="19"/>
        <v>0</v>
      </c>
      <c r="M22" s="69" t="e">
        <f t="shared" si="20"/>
        <v>#DIV/0!</v>
      </c>
      <c r="O22" s="80">
        <f t="shared" si="21"/>
        <v>0</v>
      </c>
      <c r="P22" s="69" t="e">
        <f t="shared" si="22"/>
        <v>#DIV/0!</v>
      </c>
      <c r="R22" s="80">
        <f t="shared" si="23"/>
        <v>0</v>
      </c>
      <c r="S22" s="69" t="e">
        <f t="shared" si="24"/>
        <v>#DIV/0!</v>
      </c>
    </row>
    <row r="23" spans="1:20" x14ac:dyDescent="0.3">
      <c r="A23" s="76" t="str">
        <f>'合并-bs'!A15</f>
        <v>其他应收款</v>
      </c>
      <c r="B23" s="70">
        <f>'合并-bs'!B15</f>
        <v>982962.75423299999</v>
      </c>
      <c r="C23" s="71">
        <f t="shared" si="14"/>
        <v>0.21006704140748023</v>
      </c>
      <c r="D23" s="70">
        <f>'合并-bs'!C15</f>
        <v>991421.02836399991</v>
      </c>
      <c r="E23" s="71">
        <f t="shared" si="15"/>
        <v>0.22589695470310955</v>
      </c>
      <c r="F23" s="70">
        <f>'合并-bs'!D15</f>
        <v>819392.70420699997</v>
      </c>
      <c r="G23" s="71">
        <f t="shared" si="16"/>
        <v>0.20227952321553158</v>
      </c>
      <c r="H23" s="70">
        <f>'合并-bs'!E15</f>
        <v>862315.52927499998</v>
      </c>
      <c r="I23" s="71">
        <f t="shared" si="17"/>
        <v>0.2328303651666232</v>
      </c>
      <c r="J23" s="70">
        <f>'合并-bs'!F15</f>
        <v>1291755.4054739999</v>
      </c>
      <c r="K23" s="71">
        <f t="shared" si="18"/>
        <v>1.9356373375625546</v>
      </c>
      <c r="L23" s="80">
        <f t="shared" si="19"/>
        <v>-8458.2741309999255</v>
      </c>
      <c r="M23" s="69">
        <f t="shared" si="20"/>
        <v>-8.5314653300802012E-3</v>
      </c>
      <c r="O23" s="80">
        <f t="shared" si="21"/>
        <v>172028.32415699994</v>
      </c>
      <c r="P23" s="69">
        <f t="shared" si="22"/>
        <v>0.20994612628811141</v>
      </c>
      <c r="R23" s="80">
        <f t="shared" si="23"/>
        <v>-42922.825068000006</v>
      </c>
      <c r="S23" s="69">
        <f t="shared" si="24"/>
        <v>-4.977624037930499E-2</v>
      </c>
    </row>
    <row r="24" spans="1:20" x14ac:dyDescent="0.3">
      <c r="A24" s="76" t="str">
        <f>'合并-bs'!A16</f>
        <v>买入返售金融资产</v>
      </c>
      <c r="B24" s="70">
        <f>'合并-bs'!B16</f>
        <v>0</v>
      </c>
      <c r="C24" s="71">
        <f t="shared" si="14"/>
        <v>0</v>
      </c>
      <c r="D24" s="70">
        <f>'合并-bs'!C16</f>
        <v>0</v>
      </c>
      <c r="E24" s="71">
        <f t="shared" si="15"/>
        <v>0</v>
      </c>
      <c r="F24" s="70">
        <f>'合并-bs'!D16</f>
        <v>0</v>
      </c>
      <c r="G24" s="71">
        <f t="shared" si="16"/>
        <v>0</v>
      </c>
      <c r="H24" s="70">
        <f>'合并-bs'!E16</f>
        <v>0</v>
      </c>
      <c r="I24" s="71">
        <f t="shared" si="17"/>
        <v>0</v>
      </c>
      <c r="J24" s="70">
        <f>'合并-bs'!F16</f>
        <v>0</v>
      </c>
      <c r="K24" s="71">
        <f t="shared" si="18"/>
        <v>0</v>
      </c>
      <c r="L24" s="80">
        <f t="shared" si="19"/>
        <v>0</v>
      </c>
      <c r="M24" s="69" t="e">
        <f t="shared" si="20"/>
        <v>#DIV/0!</v>
      </c>
      <c r="O24" s="80">
        <f t="shared" si="21"/>
        <v>0</v>
      </c>
      <c r="P24" s="69" t="e">
        <f t="shared" si="22"/>
        <v>#DIV/0!</v>
      </c>
      <c r="R24" s="80">
        <f t="shared" si="23"/>
        <v>0</v>
      </c>
      <c r="S24" s="69" t="e">
        <f t="shared" si="24"/>
        <v>#DIV/0!</v>
      </c>
    </row>
    <row r="25" spans="1:20" x14ac:dyDescent="0.3">
      <c r="A25" s="76" t="str">
        <f>'合并-bs'!A17</f>
        <v>存货</v>
      </c>
      <c r="B25" s="70">
        <f>'合并-bs'!B17</f>
        <v>2311989.3991630003</v>
      </c>
      <c r="C25" s="71">
        <f t="shared" si="14"/>
        <v>0.49409071783863967</v>
      </c>
      <c r="D25" s="70">
        <f>'合并-bs'!C17</f>
        <v>2145512.2023439999</v>
      </c>
      <c r="E25" s="71">
        <f t="shared" si="15"/>
        <v>0.48885857665097548</v>
      </c>
      <c r="F25" s="70">
        <f>'合并-bs'!D17</f>
        <v>2053662.3097470002</v>
      </c>
      <c r="G25" s="71">
        <f t="shared" si="16"/>
        <v>0.50697770523031915</v>
      </c>
      <c r="H25" s="70">
        <f>'合并-bs'!E17</f>
        <v>1740721.796205</v>
      </c>
      <c r="I25" s="71">
        <f t="shared" si="17"/>
        <v>0.47000532601409173</v>
      </c>
      <c r="J25" s="70">
        <f>'合并-bs'!F17</f>
        <v>1329122.7236559999</v>
      </c>
      <c r="K25" s="71">
        <f t="shared" si="18"/>
        <v>1.9916305820817202</v>
      </c>
      <c r="L25" s="80">
        <f t="shared" si="19"/>
        <v>166477.19681900041</v>
      </c>
      <c r="M25" s="69">
        <f t="shared" si="20"/>
        <v>7.7593218363951472E-2</v>
      </c>
      <c r="O25" s="80">
        <f t="shared" si="21"/>
        <v>91849.892596999649</v>
      </c>
      <c r="P25" s="69">
        <f t="shared" si="22"/>
        <v>4.4724924911493866E-2</v>
      </c>
      <c r="R25" s="80">
        <f t="shared" si="23"/>
        <v>312940.5135420002</v>
      </c>
      <c r="S25" s="69">
        <f t="shared" si="24"/>
        <v>0.17977629407769308</v>
      </c>
    </row>
    <row r="26" spans="1:20" x14ac:dyDescent="0.3">
      <c r="A26" s="76" t="str">
        <f>'合并-bs'!A18</f>
        <v>合同资产</v>
      </c>
      <c r="B26" s="70">
        <f>'合并-bs'!B18</f>
        <v>0</v>
      </c>
      <c r="C26" s="71">
        <f t="shared" si="14"/>
        <v>0</v>
      </c>
      <c r="D26" s="70">
        <f>'合并-bs'!C18</f>
        <v>0</v>
      </c>
      <c r="E26" s="71">
        <f t="shared" si="15"/>
        <v>0</v>
      </c>
      <c r="F26" s="70">
        <f>'合并-bs'!D18</f>
        <v>0</v>
      </c>
      <c r="G26" s="71">
        <f t="shared" si="16"/>
        <v>0</v>
      </c>
      <c r="H26" s="70">
        <f>'合并-bs'!E18</f>
        <v>0</v>
      </c>
      <c r="I26" s="71">
        <f t="shared" si="17"/>
        <v>0</v>
      </c>
      <c r="J26" s="70">
        <f>'合并-bs'!F18</f>
        <v>0</v>
      </c>
      <c r="K26" s="71">
        <f t="shared" si="18"/>
        <v>0</v>
      </c>
      <c r="L26" s="80">
        <f t="shared" si="19"/>
        <v>0</v>
      </c>
      <c r="M26" s="69" t="e">
        <f t="shared" si="20"/>
        <v>#DIV/0!</v>
      </c>
      <c r="O26" s="80">
        <f t="shared" si="21"/>
        <v>0</v>
      </c>
      <c r="P26" s="69" t="e">
        <f t="shared" si="22"/>
        <v>#DIV/0!</v>
      </c>
      <c r="R26" s="80">
        <f t="shared" si="23"/>
        <v>0</v>
      </c>
      <c r="S26" s="69" t="e">
        <f t="shared" si="24"/>
        <v>#DIV/0!</v>
      </c>
    </row>
    <row r="27" spans="1:20" x14ac:dyDescent="0.3">
      <c r="A27" s="76" t="str">
        <f>'合并-bs'!A19</f>
        <v>持有待售资产</v>
      </c>
      <c r="B27" s="70">
        <f>'合并-bs'!B19</f>
        <v>0</v>
      </c>
      <c r="C27" s="71">
        <f t="shared" si="14"/>
        <v>0</v>
      </c>
      <c r="D27" s="70">
        <f>'合并-bs'!C19</f>
        <v>0</v>
      </c>
      <c r="E27" s="71">
        <f t="shared" si="15"/>
        <v>0</v>
      </c>
      <c r="F27" s="70">
        <f>'合并-bs'!D19</f>
        <v>0</v>
      </c>
      <c r="G27" s="71">
        <f t="shared" si="16"/>
        <v>0</v>
      </c>
      <c r="H27" s="70">
        <f>'合并-bs'!E19</f>
        <v>0</v>
      </c>
      <c r="I27" s="71">
        <f t="shared" si="17"/>
        <v>0</v>
      </c>
      <c r="J27" s="70">
        <f>'合并-bs'!F19</f>
        <v>0</v>
      </c>
      <c r="K27" s="71">
        <f t="shared" si="18"/>
        <v>0</v>
      </c>
      <c r="L27" s="80">
        <f t="shared" si="19"/>
        <v>0</v>
      </c>
      <c r="M27" s="69" t="e">
        <f t="shared" si="20"/>
        <v>#DIV/0!</v>
      </c>
      <c r="O27" s="80">
        <f t="shared" si="21"/>
        <v>0</v>
      </c>
      <c r="P27" s="69" t="e">
        <f t="shared" si="22"/>
        <v>#DIV/0!</v>
      </c>
      <c r="R27" s="80">
        <f t="shared" si="23"/>
        <v>0</v>
      </c>
      <c r="S27" s="69" t="e">
        <f t="shared" si="24"/>
        <v>#DIV/0!</v>
      </c>
    </row>
    <row r="28" spans="1:20" x14ac:dyDescent="0.3">
      <c r="A28" s="76" t="str">
        <f>'合并-bs'!A20</f>
        <v>一年内到期的非流动资产</v>
      </c>
      <c r="B28" s="70">
        <f>'合并-bs'!B20</f>
        <v>64725.135214000002</v>
      </c>
      <c r="C28" s="71">
        <f t="shared" si="14"/>
        <v>1.3832281640939137E-2</v>
      </c>
      <c r="D28" s="70">
        <f>'合并-bs'!C20</f>
        <v>120625.40013699999</v>
      </c>
      <c r="E28" s="71">
        <f t="shared" si="15"/>
        <v>2.7484701021277837E-2</v>
      </c>
      <c r="F28" s="70">
        <f>'合并-bs'!D20</f>
        <v>121601.04554100001</v>
      </c>
      <c r="G28" s="71">
        <f t="shared" si="16"/>
        <v>3.0019063372487241E-2</v>
      </c>
      <c r="H28" s="70">
        <f>'合并-bs'!E20</f>
        <v>5741.7834320000002</v>
      </c>
      <c r="I28" s="71">
        <f t="shared" si="17"/>
        <v>1.5503159664817889E-3</v>
      </c>
      <c r="J28" s="70">
        <f>'合并-bs'!F20</f>
        <v>0</v>
      </c>
      <c r="K28" s="71">
        <f t="shared" si="18"/>
        <v>0</v>
      </c>
      <c r="L28" s="80">
        <f t="shared" si="19"/>
        <v>-55900.264922999988</v>
      </c>
      <c r="M28" s="69">
        <f t="shared" si="20"/>
        <v>-0.46342034811500238</v>
      </c>
      <c r="O28" s="80">
        <f t="shared" si="21"/>
        <v>-975.64540400002443</v>
      </c>
      <c r="P28" s="69">
        <f t="shared" si="22"/>
        <v>-8.0233307177533086E-3</v>
      </c>
      <c r="R28" s="80">
        <f t="shared" si="23"/>
        <v>115859.26210900002</v>
      </c>
      <c r="S28" s="69">
        <f t="shared" si="24"/>
        <v>20.178270999093304</v>
      </c>
    </row>
    <row r="29" spans="1:20" x14ac:dyDescent="0.3">
      <c r="A29" s="76" t="str">
        <f>'合并-bs'!A21</f>
        <v>其他流动资产</v>
      </c>
      <c r="B29" s="70">
        <f>'合并-bs'!B21</f>
        <v>998463.30777299998</v>
      </c>
      <c r="C29" s="71">
        <f t="shared" si="14"/>
        <v>0.21337963428885223</v>
      </c>
      <c r="D29" s="70">
        <f>'合并-bs'!C21</f>
        <v>783139.32279200002</v>
      </c>
      <c r="E29" s="71">
        <f t="shared" si="15"/>
        <v>0.17843961653596913</v>
      </c>
      <c r="F29" s="70">
        <f>'合并-bs'!D21</f>
        <v>829196.528743</v>
      </c>
      <c r="G29" s="71">
        <f t="shared" si="16"/>
        <v>0.20469974607405708</v>
      </c>
      <c r="H29" s="70">
        <f>'合并-bs'!E21</f>
        <v>686340.62256099994</v>
      </c>
      <c r="I29" s="71">
        <f t="shared" si="17"/>
        <v>0.18531608483720488</v>
      </c>
      <c r="J29" s="70">
        <f>'合并-bs'!F21</f>
        <v>39.820547999999995</v>
      </c>
      <c r="K29" s="71">
        <f t="shared" si="18"/>
        <v>5.9669298989864619E-5</v>
      </c>
      <c r="L29" s="80">
        <f t="shared" si="19"/>
        <v>215323.98498099996</v>
      </c>
      <c r="M29" s="69">
        <f t="shared" si="20"/>
        <v>0.27494978060013658</v>
      </c>
      <c r="O29" s="80">
        <f t="shared" si="21"/>
        <v>-46057.205950999982</v>
      </c>
      <c r="P29" s="69">
        <f t="shared" si="22"/>
        <v>-5.5544378629779442E-2</v>
      </c>
      <c r="R29" s="80">
        <f t="shared" si="23"/>
        <v>142855.90618200006</v>
      </c>
      <c r="S29" s="69">
        <f t="shared" si="24"/>
        <v>0.20814141183855608</v>
      </c>
    </row>
    <row r="30" spans="1:20" s="66" customFormat="1" x14ac:dyDescent="0.3">
      <c r="A30" s="77" t="str">
        <f>'合并-bs'!A22</f>
        <v>流动资产合计</v>
      </c>
      <c r="B30" s="72">
        <f>SUM(B12:B29)</f>
        <v>4679281.183983</v>
      </c>
      <c r="C30" s="73">
        <f t="shared" si="14"/>
        <v>1</v>
      </c>
      <c r="D30" s="72">
        <f>'合并-bs'!C22</f>
        <v>4388819.8035559999</v>
      </c>
      <c r="E30" s="73">
        <f t="shared" si="15"/>
        <v>1</v>
      </c>
      <c r="F30" s="72">
        <f>'合并-bs'!D22</f>
        <v>4050794.124791</v>
      </c>
      <c r="G30" s="73">
        <f t="shared" si="16"/>
        <v>1</v>
      </c>
      <c r="H30" s="72">
        <f>'合并-bs'!E22</f>
        <v>3703621.4269469995</v>
      </c>
      <c r="I30" s="73">
        <f>SUM(I12:I22)</f>
        <v>0.11029790801559855</v>
      </c>
      <c r="J30" s="72">
        <f>SUM(J12:J22)</f>
        <v>667354.044276</v>
      </c>
      <c r="K30" s="73">
        <f t="shared" si="18"/>
        <v>1</v>
      </c>
      <c r="L30" s="80">
        <f t="shared" si="19"/>
        <v>290461.38042700011</v>
      </c>
      <c r="M30" s="69">
        <f t="shared" si="20"/>
        <v>6.6182115791506527E-2</v>
      </c>
      <c r="N30" s="68"/>
      <c r="O30" s="80">
        <f t="shared" si="21"/>
        <v>338025.67876499984</v>
      </c>
      <c r="P30" s="69">
        <f t="shared" si="22"/>
        <v>8.3446768300632954E-2</v>
      </c>
      <c r="Q30" s="68"/>
      <c r="R30" s="80">
        <f t="shared" si="23"/>
        <v>347172.69784400053</v>
      </c>
      <c r="S30" s="69">
        <f t="shared" si="24"/>
        <v>9.3738710797497696E-2</v>
      </c>
      <c r="T30" s="68"/>
    </row>
    <row r="31" spans="1:20" s="67" customFormat="1" x14ac:dyDescent="0.3">
      <c r="A31" s="67" t="s">
        <v>104</v>
      </c>
      <c r="B31" s="78">
        <f>B30-B3</f>
        <v>0</v>
      </c>
      <c r="C31" s="79"/>
      <c r="D31" s="78">
        <f>D30-D3</f>
        <v>0</v>
      </c>
      <c r="E31" s="79"/>
      <c r="F31" s="78">
        <f>F30-F3</f>
        <v>0</v>
      </c>
      <c r="G31" s="79"/>
      <c r="H31" s="78">
        <f>H30-H3</f>
        <v>0</v>
      </c>
      <c r="I31" s="79"/>
      <c r="J31" s="78">
        <f>J30-J3</f>
        <v>-2620917.9496779996</v>
      </c>
      <c r="K31" s="79"/>
      <c r="L31" s="80"/>
      <c r="M31" s="69"/>
      <c r="N31" s="68"/>
      <c r="O31" s="80"/>
      <c r="P31" s="69"/>
      <c r="Q31" s="68"/>
      <c r="R31" s="80"/>
      <c r="S31" s="69"/>
      <c r="T31" s="68"/>
    </row>
    <row r="32" spans="1:20" s="67" customFormat="1" x14ac:dyDescent="0.3">
      <c r="B32" s="78"/>
      <c r="C32" s="79"/>
      <c r="D32" s="78"/>
      <c r="E32" s="79"/>
      <c r="F32" s="78"/>
      <c r="G32" s="79"/>
      <c r="H32" s="78"/>
      <c r="I32" s="79"/>
      <c r="J32" s="78"/>
      <c r="K32" s="79"/>
      <c r="L32" s="80"/>
      <c r="M32" s="69"/>
      <c r="N32" s="68"/>
      <c r="O32" s="80"/>
      <c r="P32" s="69"/>
      <c r="Q32" s="68"/>
      <c r="R32" s="80"/>
      <c r="S32" s="69"/>
      <c r="T32" s="68"/>
    </row>
    <row r="33" spans="1:20" s="67" customFormat="1" x14ac:dyDescent="0.3">
      <c r="A33" s="459" t="s">
        <v>1116</v>
      </c>
      <c r="B33" s="459"/>
      <c r="C33" s="459"/>
      <c r="D33" s="459"/>
      <c r="E33" s="459"/>
      <c r="F33" s="459"/>
      <c r="G33" s="459"/>
      <c r="H33" s="459"/>
      <c r="I33" s="459"/>
      <c r="J33" s="459"/>
      <c r="K33" s="459"/>
      <c r="L33" s="458" t="s">
        <v>1117</v>
      </c>
      <c r="M33" s="458"/>
      <c r="N33" s="458"/>
      <c r="O33" s="458"/>
      <c r="P33" s="458"/>
      <c r="Q33" s="458"/>
      <c r="R33" s="458"/>
      <c r="S33" s="458"/>
      <c r="T33" s="458"/>
    </row>
    <row r="34" spans="1:20" x14ac:dyDescent="0.3">
      <c r="A34" s="425"/>
      <c r="B34" s="425"/>
      <c r="C34" s="425"/>
      <c r="D34" s="425"/>
      <c r="E34" s="425"/>
      <c r="F34" s="425"/>
      <c r="G34" s="425"/>
      <c r="H34" s="425"/>
      <c r="I34" s="425"/>
      <c r="J34" s="425"/>
      <c r="K34" s="425"/>
      <c r="L34" s="458"/>
      <c r="M34" s="458"/>
      <c r="N34" s="458"/>
      <c r="O34" s="458"/>
      <c r="P34" s="458"/>
      <c r="Q34" s="458"/>
      <c r="R34" s="458"/>
      <c r="S34" s="458"/>
      <c r="T34" s="458"/>
    </row>
    <row r="35" spans="1:20" x14ac:dyDescent="0.3">
      <c r="A35" s="431" t="s">
        <v>278</v>
      </c>
      <c r="B35" s="431" t="str">
        <f>B10</f>
        <v>2024年9月末</v>
      </c>
      <c r="C35" s="431"/>
      <c r="D35" s="431" t="str">
        <f>D10</f>
        <v>2023年末</v>
      </c>
      <c r="E35" s="431"/>
      <c r="F35" s="431" t="str">
        <f>F10</f>
        <v>2022年末</v>
      </c>
      <c r="G35" s="431"/>
      <c r="H35" s="431" t="str">
        <f>H10</f>
        <v>2021年末</v>
      </c>
      <c r="I35" s="431"/>
      <c r="J35" s="431" t="str">
        <f>J10</f>
        <v>2020年末</v>
      </c>
      <c r="K35" s="431"/>
      <c r="L35" s="434" t="str">
        <f>B35&amp;"较"&amp;D35</f>
        <v>2024年9月末较2023年末</v>
      </c>
      <c r="M35" s="434"/>
      <c r="N35" s="434"/>
      <c r="O35" s="434" t="str">
        <f t="shared" ref="O35" si="25">D35&amp;"较"&amp;F35</f>
        <v>2023年末较2022年末</v>
      </c>
      <c r="P35" s="434"/>
      <c r="Q35" s="434"/>
      <c r="R35" s="434" t="str">
        <f t="shared" ref="R35" si="26">F35&amp;"较"&amp;H35</f>
        <v>2022年末较2021年末</v>
      </c>
      <c r="S35" s="434"/>
      <c r="T35" s="434"/>
    </row>
    <row r="36" spans="1:20" x14ac:dyDescent="0.3">
      <c r="A36" s="431"/>
      <c r="B36" s="28" t="s">
        <v>729</v>
      </c>
      <c r="C36" s="30" t="s">
        <v>763</v>
      </c>
      <c r="D36" s="28" t="s">
        <v>729</v>
      </c>
      <c r="E36" s="30" t="s">
        <v>763</v>
      </c>
      <c r="F36" s="28" t="s">
        <v>729</v>
      </c>
      <c r="G36" s="30" t="s">
        <v>763</v>
      </c>
      <c r="H36" s="28" t="s">
        <v>729</v>
      </c>
      <c r="I36" s="30" t="s">
        <v>763</v>
      </c>
      <c r="J36" s="28" t="s">
        <v>729</v>
      </c>
      <c r="K36" s="30" t="s">
        <v>763</v>
      </c>
      <c r="L36" s="43" t="s">
        <v>1110</v>
      </c>
      <c r="M36" s="43" t="s">
        <v>740</v>
      </c>
      <c r="N36" s="43" t="s">
        <v>1111</v>
      </c>
      <c r="O36" s="43" t="s">
        <v>1110</v>
      </c>
      <c r="P36" s="43" t="s">
        <v>740</v>
      </c>
      <c r="Q36" s="43" t="s">
        <v>1111</v>
      </c>
      <c r="R36" s="43" t="s">
        <v>1110</v>
      </c>
      <c r="S36" s="43" t="s">
        <v>740</v>
      </c>
      <c r="T36" s="43" t="s">
        <v>1111</v>
      </c>
    </row>
    <row r="37" spans="1:20" x14ac:dyDescent="0.3">
      <c r="A37" s="42" t="str">
        <f>'合并-bs'!A24</f>
        <v xml:space="preserve">   发放贷款和垫款</v>
      </c>
      <c r="B37" s="70">
        <f>'合并-bs'!B24</f>
        <v>0</v>
      </c>
      <c r="C37" s="71">
        <f>B37/$B$57</f>
        <v>0</v>
      </c>
      <c r="D37" s="70">
        <f>'合并-bs'!C24</f>
        <v>0</v>
      </c>
      <c r="E37" s="71">
        <f>D37/$D$57</f>
        <v>0</v>
      </c>
      <c r="F37" s="70">
        <f>'合并-bs'!D24</f>
        <v>0</v>
      </c>
      <c r="G37" s="71">
        <f>F37/$F$57</f>
        <v>0</v>
      </c>
      <c r="H37" s="70">
        <f>'合并-bs'!E24</f>
        <v>0</v>
      </c>
      <c r="I37" s="71">
        <f>H37/$H$57</f>
        <v>0</v>
      </c>
      <c r="J37" s="70">
        <f>'合并-bs'!F24</f>
        <v>0</v>
      </c>
      <c r="K37" s="71">
        <f>J37/$J$57</f>
        <v>0</v>
      </c>
      <c r="L37" s="80">
        <f>B37-D37</f>
        <v>0</v>
      </c>
      <c r="M37" s="69" t="e">
        <f>L37/D37</f>
        <v>#DIV/0!</v>
      </c>
      <c r="O37" s="80">
        <f>D37-F37</f>
        <v>0</v>
      </c>
      <c r="P37" s="69" t="e">
        <f>O37/F37</f>
        <v>#DIV/0!</v>
      </c>
      <c r="R37" s="80">
        <f>F37-H37</f>
        <v>0</v>
      </c>
      <c r="S37" s="69" t="e">
        <f>R37/H37</f>
        <v>#DIV/0!</v>
      </c>
    </row>
    <row r="38" spans="1:20" x14ac:dyDescent="0.3">
      <c r="A38" s="42" t="str">
        <f>'合并-bs'!A25</f>
        <v xml:space="preserve">   债权投资</v>
      </c>
      <c r="B38" s="70">
        <f>'合并-bs'!B25</f>
        <v>0</v>
      </c>
      <c r="C38" s="71">
        <f t="shared" ref="C38:C56" si="27">B38/$B$57</f>
        <v>0</v>
      </c>
      <c r="D38" s="70">
        <f>'合并-bs'!C25</f>
        <v>29000</v>
      </c>
      <c r="E38" s="71">
        <f t="shared" ref="E38:E56" si="28">D38/$D$57</f>
        <v>3.9777128335213227E-2</v>
      </c>
      <c r="F38" s="70">
        <f>'合并-bs'!D25</f>
        <v>85825.302777999997</v>
      </c>
      <c r="G38" s="71">
        <f t="shared" ref="G38:G56" si="29">F38/$F$57</f>
        <v>0.10660934074313515</v>
      </c>
      <c r="H38" s="70">
        <f>'合并-bs'!E25</f>
        <v>46765.316666999999</v>
      </c>
      <c r="I38" s="71">
        <f t="shared" ref="I38:I56" si="30">H38/$H$57</f>
        <v>8.0370396961777057E-2</v>
      </c>
      <c r="J38" s="70">
        <f>'合并-bs'!F25</f>
        <v>0</v>
      </c>
      <c r="K38" s="71">
        <f t="shared" ref="K38:K56" si="31">J38/$J$57</f>
        <v>0</v>
      </c>
      <c r="L38" s="80">
        <f t="shared" ref="L38:L57" si="32">B38-D38</f>
        <v>-29000</v>
      </c>
      <c r="M38" s="69">
        <f t="shared" ref="M38:M57" si="33">L38/D38</f>
        <v>-1</v>
      </c>
      <c r="O38" s="80">
        <f t="shared" ref="O38:O57" si="34">D38-F38</f>
        <v>-56825.302777999997</v>
      </c>
      <c r="P38" s="69">
        <f t="shared" ref="P38:P57" si="35">O38/F38</f>
        <v>-0.66210430885384874</v>
      </c>
      <c r="R38" s="80">
        <f t="shared" ref="R38:R57" si="36">F38-H38</f>
        <v>39059.986110999998</v>
      </c>
      <c r="S38" s="69">
        <f t="shared" ref="S38:S57" si="37">R38/H38</f>
        <v>0.83523407719299636</v>
      </c>
    </row>
    <row r="39" spans="1:20" x14ac:dyDescent="0.3">
      <c r="A39" s="42" t="str">
        <f>'合并-bs'!A26</f>
        <v>可供出售金融资产</v>
      </c>
      <c r="B39" s="70">
        <f>'合并-bs'!B26</f>
        <v>0</v>
      </c>
      <c r="C39" s="71">
        <f t="shared" si="27"/>
        <v>0</v>
      </c>
      <c r="D39" s="70">
        <f>'合并-bs'!C26</f>
        <v>0</v>
      </c>
      <c r="E39" s="71">
        <f t="shared" si="28"/>
        <v>0</v>
      </c>
      <c r="F39" s="70">
        <f>'合并-bs'!D26</f>
        <v>0</v>
      </c>
      <c r="G39" s="71">
        <f t="shared" si="29"/>
        <v>0</v>
      </c>
      <c r="H39" s="70">
        <f>'合并-bs'!E26</f>
        <v>0</v>
      </c>
      <c r="I39" s="71">
        <f t="shared" si="30"/>
        <v>0</v>
      </c>
      <c r="J39" s="70">
        <f>'合并-bs'!F26</f>
        <v>1840</v>
      </c>
      <c r="K39" s="71">
        <f t="shared" si="31"/>
        <v>6.9062047315806918E-3</v>
      </c>
      <c r="L39" s="80">
        <f t="shared" si="32"/>
        <v>0</v>
      </c>
      <c r="M39" s="69" t="e">
        <f t="shared" si="33"/>
        <v>#DIV/0!</v>
      </c>
      <c r="O39" s="80">
        <f t="shared" si="34"/>
        <v>0</v>
      </c>
      <c r="P39" s="69" t="e">
        <f t="shared" si="35"/>
        <v>#DIV/0!</v>
      </c>
      <c r="R39" s="80">
        <f t="shared" si="36"/>
        <v>0</v>
      </c>
      <c r="S39" s="69" t="e">
        <f t="shared" si="37"/>
        <v>#DIV/0!</v>
      </c>
    </row>
    <row r="40" spans="1:20" x14ac:dyDescent="0.3">
      <c r="A40" s="42" t="str">
        <f>'合并-bs'!A27</f>
        <v>其他债权投资</v>
      </c>
      <c r="B40" s="70">
        <f>'合并-bs'!B27</f>
        <v>0</v>
      </c>
      <c r="C40" s="71">
        <f t="shared" si="27"/>
        <v>0</v>
      </c>
      <c r="D40" s="70">
        <f>'合并-bs'!C27</f>
        <v>0</v>
      </c>
      <c r="E40" s="71">
        <f t="shared" si="28"/>
        <v>0</v>
      </c>
      <c r="F40" s="70">
        <f>'合并-bs'!D27</f>
        <v>0</v>
      </c>
      <c r="G40" s="71">
        <f t="shared" si="29"/>
        <v>0</v>
      </c>
      <c r="H40" s="70">
        <f>'合并-bs'!E27</f>
        <v>0</v>
      </c>
      <c r="I40" s="71">
        <f t="shared" si="30"/>
        <v>0</v>
      </c>
      <c r="J40" s="70">
        <f>'合并-bs'!F27</f>
        <v>0</v>
      </c>
      <c r="K40" s="71">
        <f t="shared" si="31"/>
        <v>0</v>
      </c>
      <c r="L40" s="80">
        <f t="shared" si="32"/>
        <v>0</v>
      </c>
      <c r="M40" s="69" t="e">
        <f t="shared" si="33"/>
        <v>#DIV/0!</v>
      </c>
      <c r="O40" s="80">
        <f t="shared" si="34"/>
        <v>0</v>
      </c>
      <c r="P40" s="69" t="e">
        <f t="shared" si="35"/>
        <v>#DIV/0!</v>
      </c>
      <c r="R40" s="80">
        <f t="shared" si="36"/>
        <v>0</v>
      </c>
      <c r="S40" s="69" t="e">
        <f t="shared" si="37"/>
        <v>#DIV/0!</v>
      </c>
    </row>
    <row r="41" spans="1:20" x14ac:dyDescent="0.3">
      <c r="A41" s="42" t="str">
        <f>'合并-bs'!A28</f>
        <v>持有至到期投资</v>
      </c>
      <c r="B41" s="70">
        <f>'合并-bs'!B28</f>
        <v>0</v>
      </c>
      <c r="C41" s="71">
        <f t="shared" si="27"/>
        <v>0</v>
      </c>
      <c r="D41" s="70">
        <f>'合并-bs'!C28</f>
        <v>0</v>
      </c>
      <c r="E41" s="71">
        <f t="shared" si="28"/>
        <v>0</v>
      </c>
      <c r="F41" s="70">
        <f>'合并-bs'!D28</f>
        <v>0</v>
      </c>
      <c r="G41" s="71">
        <f t="shared" si="29"/>
        <v>0</v>
      </c>
      <c r="H41" s="70">
        <f>'合并-bs'!E28</f>
        <v>0</v>
      </c>
      <c r="I41" s="71">
        <f t="shared" si="30"/>
        <v>0</v>
      </c>
      <c r="J41" s="70">
        <f>'合并-bs'!F28</f>
        <v>0</v>
      </c>
      <c r="K41" s="71">
        <f t="shared" si="31"/>
        <v>0</v>
      </c>
      <c r="L41" s="80">
        <f t="shared" si="32"/>
        <v>0</v>
      </c>
      <c r="M41" s="69" t="e">
        <f t="shared" si="33"/>
        <v>#DIV/0!</v>
      </c>
      <c r="O41" s="80">
        <f t="shared" si="34"/>
        <v>0</v>
      </c>
      <c r="P41" s="69" t="e">
        <f t="shared" si="35"/>
        <v>#DIV/0!</v>
      </c>
      <c r="R41" s="80">
        <f t="shared" si="36"/>
        <v>0</v>
      </c>
      <c r="S41" s="69" t="e">
        <f t="shared" si="37"/>
        <v>#DIV/0!</v>
      </c>
    </row>
    <row r="42" spans="1:20" x14ac:dyDescent="0.3">
      <c r="A42" s="42" t="str">
        <f>'合并-bs'!A29</f>
        <v>长期应收款</v>
      </c>
      <c r="B42" s="70">
        <f>'合并-bs'!B29</f>
        <v>370</v>
      </c>
      <c r="C42" s="71">
        <f t="shared" si="27"/>
        <v>5.1164697012447309E-4</v>
      </c>
      <c r="D42" s="70">
        <f>'合并-bs'!C29</f>
        <v>0</v>
      </c>
      <c r="E42" s="71">
        <f t="shared" si="28"/>
        <v>0</v>
      </c>
      <c r="F42" s="70">
        <f>'合并-bs'!D29</f>
        <v>0</v>
      </c>
      <c r="G42" s="71">
        <f t="shared" si="29"/>
        <v>0</v>
      </c>
      <c r="H42" s="70">
        <f>'合并-bs'!E29</f>
        <v>0</v>
      </c>
      <c r="I42" s="71">
        <f t="shared" si="30"/>
        <v>0</v>
      </c>
      <c r="J42" s="70">
        <f>'合并-bs'!F29</f>
        <v>38646.51</v>
      </c>
      <c r="K42" s="71">
        <f t="shared" si="31"/>
        <v>0.14505473381580464</v>
      </c>
      <c r="L42" s="80">
        <f t="shared" si="32"/>
        <v>370</v>
      </c>
      <c r="M42" s="69" t="e">
        <f t="shared" si="33"/>
        <v>#DIV/0!</v>
      </c>
      <c r="O42" s="80">
        <f t="shared" si="34"/>
        <v>0</v>
      </c>
      <c r="P42" s="69" t="e">
        <f t="shared" si="35"/>
        <v>#DIV/0!</v>
      </c>
      <c r="R42" s="80">
        <f t="shared" si="36"/>
        <v>0</v>
      </c>
      <c r="S42" s="69" t="e">
        <f t="shared" si="37"/>
        <v>#DIV/0!</v>
      </c>
    </row>
    <row r="43" spans="1:20" x14ac:dyDescent="0.3">
      <c r="A43" s="42" t="str">
        <f>'合并-bs'!A30</f>
        <v>长期股权投资</v>
      </c>
      <c r="B43" s="70">
        <f>'合并-bs'!B30</f>
        <v>31371.976875</v>
      </c>
      <c r="C43" s="71">
        <f t="shared" si="27"/>
        <v>4.3382099770023747E-2</v>
      </c>
      <c r="D43" s="70">
        <f>'合并-bs'!C30</f>
        <v>31272.976774999999</v>
      </c>
      <c r="E43" s="71">
        <f t="shared" si="28"/>
        <v>4.289480036563164E-2</v>
      </c>
      <c r="F43" s="70">
        <f>'合并-bs'!D30</f>
        <v>29583.164111000002</v>
      </c>
      <c r="G43" s="71">
        <f t="shared" si="29"/>
        <v>3.6747223964097971E-2</v>
      </c>
      <c r="H43" s="70">
        <f>'合并-bs'!E30</f>
        <v>38736.807718999997</v>
      </c>
      <c r="I43" s="71">
        <f t="shared" si="30"/>
        <v>6.6572683246790845E-2</v>
      </c>
      <c r="J43" s="70">
        <f>'合并-bs'!F30</f>
        <v>37562.260218000003</v>
      </c>
      <c r="K43" s="71">
        <f t="shared" si="31"/>
        <v>0.14098514089479175</v>
      </c>
      <c r="L43" s="80">
        <f t="shared" si="32"/>
        <v>99.000100000001112</v>
      </c>
      <c r="M43" s="69">
        <f t="shared" si="33"/>
        <v>3.165675615477162E-3</v>
      </c>
      <c r="O43" s="80">
        <f t="shared" si="34"/>
        <v>1689.8126639999973</v>
      </c>
      <c r="P43" s="69">
        <f t="shared" si="35"/>
        <v>5.7120754820532159E-2</v>
      </c>
      <c r="R43" s="80">
        <f t="shared" si="36"/>
        <v>-9153.6436079999949</v>
      </c>
      <c r="S43" s="69">
        <f t="shared" si="37"/>
        <v>-0.23630350942703596</v>
      </c>
    </row>
    <row r="44" spans="1:20" x14ac:dyDescent="0.3">
      <c r="A44" s="42" t="str">
        <f>'合并-bs'!A31</f>
        <v>其他权益工具投资</v>
      </c>
      <c r="B44" s="70">
        <f>'合并-bs'!B31</f>
        <v>1197.2688289999999</v>
      </c>
      <c r="C44" s="71">
        <f t="shared" si="27"/>
        <v>1.6556188345468266E-3</v>
      </c>
      <c r="D44" s="70">
        <f>'合并-bs'!C31</f>
        <v>1197.2688289999999</v>
      </c>
      <c r="E44" s="71">
        <f t="shared" si="28"/>
        <v>1.6422039952718431E-3</v>
      </c>
      <c r="F44" s="70">
        <f>'合并-bs'!D31</f>
        <v>1430.645745</v>
      </c>
      <c r="G44" s="71">
        <f t="shared" si="29"/>
        <v>1.7771006308703364E-3</v>
      </c>
      <c r="H44" s="70">
        <f>'合并-bs'!E31</f>
        <v>1840</v>
      </c>
      <c r="I44" s="71">
        <f t="shared" si="30"/>
        <v>3.1622052612769445E-3</v>
      </c>
      <c r="J44" s="70">
        <f>'合并-bs'!F31</f>
        <v>0</v>
      </c>
      <c r="K44" s="71">
        <f t="shared" si="31"/>
        <v>0</v>
      </c>
      <c r="L44" s="80">
        <f t="shared" si="32"/>
        <v>0</v>
      </c>
      <c r="M44" s="69">
        <f t="shared" si="33"/>
        <v>0</v>
      </c>
      <c r="O44" s="80">
        <f t="shared" si="34"/>
        <v>-233.37691600000016</v>
      </c>
      <c r="P44" s="69">
        <f t="shared" si="35"/>
        <v>-0.16312697732169898</v>
      </c>
      <c r="R44" s="80">
        <f t="shared" si="36"/>
        <v>-409.35425499999997</v>
      </c>
      <c r="S44" s="69">
        <f t="shared" si="37"/>
        <v>-0.2224751385869565</v>
      </c>
    </row>
    <row r="45" spans="1:20" x14ac:dyDescent="0.3">
      <c r="A45" s="42" t="str">
        <f>'合并-bs'!A32</f>
        <v>其他非流动金融资产</v>
      </c>
      <c r="B45" s="70">
        <f>'合并-bs'!B32</f>
        <v>0</v>
      </c>
      <c r="C45" s="71">
        <f t="shared" si="27"/>
        <v>0</v>
      </c>
      <c r="D45" s="70">
        <f>'合并-bs'!C32</f>
        <v>0</v>
      </c>
      <c r="E45" s="71">
        <f t="shared" si="28"/>
        <v>0</v>
      </c>
      <c r="F45" s="70">
        <f>'合并-bs'!D32</f>
        <v>0</v>
      </c>
      <c r="G45" s="71">
        <f t="shared" si="29"/>
        <v>0</v>
      </c>
      <c r="H45" s="70">
        <f>'合并-bs'!E32</f>
        <v>0</v>
      </c>
      <c r="I45" s="71">
        <f t="shared" si="30"/>
        <v>0</v>
      </c>
      <c r="J45" s="70">
        <f>'合并-bs'!F32</f>
        <v>0</v>
      </c>
      <c r="K45" s="71">
        <f t="shared" si="31"/>
        <v>0</v>
      </c>
      <c r="L45" s="80">
        <f t="shared" si="32"/>
        <v>0</v>
      </c>
      <c r="M45" s="69" t="e">
        <f t="shared" si="33"/>
        <v>#DIV/0!</v>
      </c>
      <c r="O45" s="80">
        <f t="shared" si="34"/>
        <v>0</v>
      </c>
      <c r="P45" s="69" t="e">
        <f t="shared" si="35"/>
        <v>#DIV/0!</v>
      </c>
      <c r="R45" s="80">
        <f t="shared" si="36"/>
        <v>0</v>
      </c>
      <c r="S45" s="69" t="e">
        <f t="shared" si="37"/>
        <v>#DIV/0!</v>
      </c>
    </row>
    <row r="46" spans="1:20" x14ac:dyDescent="0.3">
      <c r="A46" s="42" t="str">
        <f>'合并-bs'!A33</f>
        <v>投资性房地产</v>
      </c>
      <c r="B46" s="70">
        <f>'合并-bs'!B33</f>
        <v>169402.61380600001</v>
      </c>
      <c r="C46" s="71">
        <f t="shared" si="27"/>
        <v>0.23425495698650309</v>
      </c>
      <c r="D46" s="70">
        <f>'合并-bs'!C33</f>
        <v>169201.82</v>
      </c>
      <c r="E46" s="71">
        <f t="shared" si="28"/>
        <v>0.23208146581695338</v>
      </c>
      <c r="F46" s="70">
        <f>'合并-bs'!D33</f>
        <v>168413.42</v>
      </c>
      <c r="G46" s="71">
        <f t="shared" si="29"/>
        <v>0.20919755709966548</v>
      </c>
      <c r="H46" s="70">
        <f>'合并-bs'!E33</f>
        <v>13059.026152</v>
      </c>
      <c r="I46" s="71">
        <f t="shared" si="30"/>
        <v>2.2443109350547618E-2</v>
      </c>
      <c r="J46" s="70">
        <f>'合并-bs'!F33</f>
        <v>4339.4548569999997</v>
      </c>
      <c r="K46" s="71">
        <f t="shared" si="31"/>
        <v>1.6287588948855548E-2</v>
      </c>
      <c r="L46" s="80">
        <f t="shared" si="32"/>
        <v>200.7938060000015</v>
      </c>
      <c r="M46" s="69">
        <f t="shared" si="33"/>
        <v>1.1867118568819265E-3</v>
      </c>
      <c r="O46" s="80">
        <f t="shared" si="34"/>
        <v>788.39999999999418</v>
      </c>
      <c r="P46" s="69">
        <f t="shared" si="35"/>
        <v>4.6813371523480377E-3</v>
      </c>
      <c r="R46" s="80">
        <f t="shared" si="36"/>
        <v>155354.39384800001</v>
      </c>
      <c r="S46" s="69">
        <f t="shared" si="37"/>
        <v>11.89632305194575</v>
      </c>
    </row>
    <row r="47" spans="1:20" x14ac:dyDescent="0.3">
      <c r="A47" s="42" t="str">
        <f>'合并-bs'!A34</f>
        <v>固定资产</v>
      </c>
      <c r="B47" s="70">
        <f>'合并-bs'!B34</f>
        <v>343534.80498100002</v>
      </c>
      <c r="C47" s="71">
        <f t="shared" si="27"/>
        <v>0.47505011378602813</v>
      </c>
      <c r="D47" s="70">
        <f>'合并-bs'!C34</f>
        <v>359708.76259499998</v>
      </c>
      <c r="E47" s="71">
        <f t="shared" si="28"/>
        <v>0.49338557286351936</v>
      </c>
      <c r="F47" s="70">
        <f>'合并-bs'!D34</f>
        <v>326403.90900599997</v>
      </c>
      <c r="G47" s="71">
        <f t="shared" si="29"/>
        <v>0.40544809547740723</v>
      </c>
      <c r="H47" s="70">
        <f>'合并-bs'!E34</f>
        <v>234318.00214499998</v>
      </c>
      <c r="I47" s="71">
        <f t="shared" si="30"/>
        <v>0.40269653217109852</v>
      </c>
      <c r="J47" s="70">
        <f>'合并-bs'!F34</f>
        <v>125966.52121099998</v>
      </c>
      <c r="K47" s="71">
        <f t="shared" si="31"/>
        <v>0.47279923087400416</v>
      </c>
      <c r="L47" s="80">
        <f t="shared" si="32"/>
        <v>-16173.957613999955</v>
      </c>
      <c r="M47" s="69">
        <f t="shared" si="33"/>
        <v>-4.4964035619589261E-2</v>
      </c>
      <c r="O47" s="80">
        <f t="shared" si="34"/>
        <v>33304.853589000006</v>
      </c>
      <c r="P47" s="69">
        <f t="shared" si="35"/>
        <v>0.10203570689586255</v>
      </c>
      <c r="R47" s="80">
        <f t="shared" si="36"/>
        <v>92085.906860999996</v>
      </c>
      <c r="S47" s="69">
        <f t="shared" si="37"/>
        <v>0.39299544216844112</v>
      </c>
    </row>
    <row r="48" spans="1:20" x14ac:dyDescent="0.3">
      <c r="A48" s="42" t="str">
        <f>'合并-bs'!A35</f>
        <v>在建工程</v>
      </c>
      <c r="B48" s="70">
        <f>'合并-bs'!B35</f>
        <v>80523.774959999995</v>
      </c>
      <c r="C48" s="71">
        <f t="shared" si="27"/>
        <v>0.11135066346288895</v>
      </c>
      <c r="D48" s="70">
        <f>'合并-bs'!C35</f>
        <v>45271.834897000001</v>
      </c>
      <c r="E48" s="71">
        <f t="shared" si="28"/>
        <v>6.2095985747191502E-2</v>
      </c>
      <c r="F48" s="70">
        <f>'合并-bs'!D35</f>
        <v>71550.936398999998</v>
      </c>
      <c r="G48" s="71">
        <f t="shared" si="29"/>
        <v>8.8878196897042613E-2</v>
      </c>
      <c r="H48" s="70">
        <f>'合并-bs'!E35</f>
        <v>42997.154243999998</v>
      </c>
      <c r="I48" s="71">
        <f t="shared" si="30"/>
        <v>7.38944713969093E-2</v>
      </c>
      <c r="J48" s="70">
        <f>'合并-bs'!F35</f>
        <v>24849.749515</v>
      </c>
      <c r="K48" s="71">
        <f t="shared" si="31"/>
        <v>9.3270357434286952E-2</v>
      </c>
      <c r="L48" s="80">
        <f t="shared" si="32"/>
        <v>35251.940062999995</v>
      </c>
      <c r="M48" s="69">
        <f t="shared" si="33"/>
        <v>0.77867265913129602</v>
      </c>
      <c r="O48" s="80">
        <f t="shared" si="34"/>
        <v>-26279.101501999998</v>
      </c>
      <c r="P48" s="69">
        <f t="shared" si="35"/>
        <v>-0.36727823316603408</v>
      </c>
      <c r="R48" s="80">
        <f t="shared" si="36"/>
        <v>28553.782155000001</v>
      </c>
      <c r="S48" s="69">
        <f t="shared" si="37"/>
        <v>0.66408539488365126</v>
      </c>
    </row>
    <row r="49" spans="1:20" x14ac:dyDescent="0.3">
      <c r="A49" s="42" t="str">
        <f>'合并-bs'!A36</f>
        <v>生产性生物资产</v>
      </c>
      <c r="B49" s="70">
        <f>'合并-bs'!B36</f>
        <v>0</v>
      </c>
      <c r="C49" s="71">
        <f t="shared" si="27"/>
        <v>0</v>
      </c>
      <c r="D49" s="70">
        <f>'合并-bs'!C36</f>
        <v>0</v>
      </c>
      <c r="E49" s="71">
        <f t="shared" si="28"/>
        <v>0</v>
      </c>
      <c r="F49" s="70">
        <f>'合并-bs'!D36</f>
        <v>0</v>
      </c>
      <c r="G49" s="71">
        <f t="shared" si="29"/>
        <v>0</v>
      </c>
      <c r="H49" s="70">
        <f>'合并-bs'!E36</f>
        <v>0</v>
      </c>
      <c r="I49" s="71">
        <f t="shared" si="30"/>
        <v>0</v>
      </c>
      <c r="J49" s="70">
        <f>'合并-bs'!F36</f>
        <v>0</v>
      </c>
      <c r="K49" s="71">
        <f t="shared" si="31"/>
        <v>0</v>
      </c>
      <c r="L49" s="80">
        <f t="shared" si="32"/>
        <v>0</v>
      </c>
      <c r="M49" s="69" t="e">
        <f t="shared" si="33"/>
        <v>#DIV/0!</v>
      </c>
      <c r="O49" s="80">
        <f t="shared" si="34"/>
        <v>0</v>
      </c>
      <c r="P49" s="69" t="e">
        <f t="shared" si="35"/>
        <v>#DIV/0!</v>
      </c>
      <c r="R49" s="80">
        <f t="shared" si="36"/>
        <v>0</v>
      </c>
      <c r="S49" s="69" t="e">
        <f t="shared" si="37"/>
        <v>#DIV/0!</v>
      </c>
    </row>
    <row r="50" spans="1:20" x14ac:dyDescent="0.3">
      <c r="A50" s="42" t="str">
        <f>'合并-bs'!A37</f>
        <v>油气资产</v>
      </c>
      <c r="B50" s="70">
        <f>'合并-bs'!B37</f>
        <v>0</v>
      </c>
      <c r="C50" s="71">
        <f t="shared" si="27"/>
        <v>0</v>
      </c>
      <c r="D50" s="70">
        <f>'合并-bs'!C37</f>
        <v>0</v>
      </c>
      <c r="E50" s="71">
        <f t="shared" si="28"/>
        <v>0</v>
      </c>
      <c r="F50" s="70">
        <f>'合并-bs'!D37</f>
        <v>0</v>
      </c>
      <c r="G50" s="71">
        <f t="shared" si="29"/>
        <v>0</v>
      </c>
      <c r="H50" s="70">
        <f>'合并-bs'!E37</f>
        <v>0</v>
      </c>
      <c r="I50" s="71">
        <f t="shared" si="30"/>
        <v>0</v>
      </c>
      <c r="J50" s="70">
        <f>'合并-bs'!F37</f>
        <v>0</v>
      </c>
      <c r="K50" s="71">
        <f t="shared" si="31"/>
        <v>0</v>
      </c>
      <c r="L50" s="80">
        <f t="shared" si="32"/>
        <v>0</v>
      </c>
      <c r="M50" s="69" t="e">
        <f t="shared" si="33"/>
        <v>#DIV/0!</v>
      </c>
      <c r="O50" s="80">
        <f t="shared" si="34"/>
        <v>0</v>
      </c>
      <c r="P50" s="69" t="e">
        <f t="shared" si="35"/>
        <v>#DIV/0!</v>
      </c>
      <c r="R50" s="80">
        <f t="shared" si="36"/>
        <v>0</v>
      </c>
      <c r="S50" s="69" t="e">
        <f t="shared" si="37"/>
        <v>#DIV/0!</v>
      </c>
    </row>
    <row r="51" spans="1:20" x14ac:dyDescent="0.3">
      <c r="A51" s="42" t="str">
        <f>'合并-bs'!A38</f>
        <v>无形资产</v>
      </c>
      <c r="B51" s="70">
        <f>'合并-bs'!B38</f>
        <v>31226.348954000001</v>
      </c>
      <c r="C51" s="71">
        <f t="shared" si="27"/>
        <v>4.3180721163144892E-2</v>
      </c>
      <c r="D51" s="70">
        <f>'合并-bs'!C38</f>
        <v>31649.974335000003</v>
      </c>
      <c r="E51" s="71">
        <f t="shared" si="28"/>
        <v>4.3411899687224136E-2</v>
      </c>
      <c r="F51" s="70">
        <f>'合并-bs'!D38</f>
        <v>31611.124156999998</v>
      </c>
      <c r="G51" s="71">
        <f t="shared" si="29"/>
        <v>3.9266288582101246E-2</v>
      </c>
      <c r="H51" s="70">
        <f>'合并-bs'!E38</f>
        <v>34224.403933000001</v>
      </c>
      <c r="I51" s="71">
        <f t="shared" si="30"/>
        <v>5.881771205489128E-2</v>
      </c>
      <c r="J51" s="70">
        <f>'合并-bs'!F38</f>
        <v>33222.589916000004</v>
      </c>
      <c r="K51" s="71">
        <f t="shared" si="31"/>
        <v>0.1246967433006762</v>
      </c>
      <c r="L51" s="80">
        <f t="shared" si="32"/>
        <v>-423.62538100000165</v>
      </c>
      <c r="M51" s="69">
        <f t="shared" si="33"/>
        <v>-1.3384699036913188E-2</v>
      </c>
      <c r="O51" s="80">
        <f t="shared" si="34"/>
        <v>38.850178000004234</v>
      </c>
      <c r="P51" s="69">
        <f t="shared" si="35"/>
        <v>1.2290033662533072E-3</v>
      </c>
      <c r="R51" s="80">
        <f t="shared" si="36"/>
        <v>-2613.279776000003</v>
      </c>
      <c r="S51" s="69">
        <f t="shared" si="37"/>
        <v>-7.6357203506478469E-2</v>
      </c>
    </row>
    <row r="52" spans="1:20" x14ac:dyDescent="0.3">
      <c r="A52" s="42" t="str">
        <f>'合并-bs'!A39</f>
        <v>开发支出</v>
      </c>
      <c r="B52" s="70">
        <f>'合并-bs'!B39</f>
        <v>0</v>
      </c>
      <c r="C52" s="71">
        <f t="shared" si="27"/>
        <v>0</v>
      </c>
      <c r="D52" s="70">
        <f>'合并-bs'!C39</f>
        <v>0</v>
      </c>
      <c r="E52" s="71">
        <f t="shared" si="28"/>
        <v>0</v>
      </c>
      <c r="F52" s="70">
        <f>'合并-bs'!D39</f>
        <v>0</v>
      </c>
      <c r="G52" s="71">
        <f t="shared" si="29"/>
        <v>0</v>
      </c>
      <c r="H52" s="70">
        <f>'合并-bs'!E39</f>
        <v>0</v>
      </c>
      <c r="I52" s="71">
        <f t="shared" si="30"/>
        <v>0</v>
      </c>
      <c r="J52" s="70">
        <f>'合并-bs'!F39</f>
        <v>0</v>
      </c>
      <c r="K52" s="71">
        <f t="shared" si="31"/>
        <v>0</v>
      </c>
      <c r="L52" s="80">
        <f t="shared" si="32"/>
        <v>0</v>
      </c>
      <c r="M52" s="69" t="e">
        <f t="shared" si="33"/>
        <v>#DIV/0!</v>
      </c>
      <c r="O52" s="80">
        <f t="shared" si="34"/>
        <v>0</v>
      </c>
      <c r="P52" s="69" t="e">
        <f t="shared" si="35"/>
        <v>#DIV/0!</v>
      </c>
      <c r="R52" s="80">
        <f t="shared" si="36"/>
        <v>0</v>
      </c>
      <c r="S52" s="69" t="e">
        <f t="shared" si="37"/>
        <v>#DIV/0!</v>
      </c>
    </row>
    <row r="53" spans="1:20" x14ac:dyDescent="0.3">
      <c r="A53" s="42" t="str">
        <f>'合并-bs'!A40</f>
        <v>商誉</v>
      </c>
      <c r="B53" s="70">
        <f>'合并-bs'!B40</f>
        <v>0</v>
      </c>
      <c r="C53" s="71">
        <f t="shared" si="27"/>
        <v>0</v>
      </c>
      <c r="D53" s="70">
        <f>'合并-bs'!C40</f>
        <v>0</v>
      </c>
      <c r="E53" s="71">
        <f t="shared" si="28"/>
        <v>0</v>
      </c>
      <c r="F53" s="70">
        <f>'合并-bs'!D40</f>
        <v>0</v>
      </c>
      <c r="G53" s="71">
        <f t="shared" si="29"/>
        <v>0</v>
      </c>
      <c r="H53" s="70">
        <f>'合并-bs'!E40</f>
        <v>0</v>
      </c>
      <c r="I53" s="71">
        <f t="shared" si="30"/>
        <v>0</v>
      </c>
      <c r="J53" s="70">
        <f>'合并-bs'!F40</f>
        <v>0</v>
      </c>
      <c r="K53" s="71">
        <f t="shared" si="31"/>
        <v>0</v>
      </c>
      <c r="L53" s="80">
        <f t="shared" si="32"/>
        <v>0</v>
      </c>
      <c r="M53" s="69" t="e">
        <f t="shared" si="33"/>
        <v>#DIV/0!</v>
      </c>
      <c r="O53" s="80">
        <f t="shared" si="34"/>
        <v>0</v>
      </c>
      <c r="P53" s="69" t="e">
        <f t="shared" si="35"/>
        <v>#DIV/0!</v>
      </c>
      <c r="R53" s="80">
        <f t="shared" si="36"/>
        <v>0</v>
      </c>
      <c r="S53" s="69" t="e">
        <f t="shared" si="37"/>
        <v>#DIV/0!</v>
      </c>
    </row>
    <row r="54" spans="1:20" x14ac:dyDescent="0.3">
      <c r="A54" s="42" t="str">
        <f>'合并-bs'!A41</f>
        <v>长期待摊费用</v>
      </c>
      <c r="B54" s="70">
        <f>'合并-bs'!B41</f>
        <v>0</v>
      </c>
      <c r="C54" s="71">
        <f t="shared" si="27"/>
        <v>0</v>
      </c>
      <c r="D54" s="70">
        <f>'合并-bs'!C41</f>
        <v>0</v>
      </c>
      <c r="E54" s="71">
        <f t="shared" si="28"/>
        <v>0</v>
      </c>
      <c r="F54" s="70">
        <f>'合并-bs'!D41</f>
        <v>0</v>
      </c>
      <c r="G54" s="71">
        <f t="shared" si="29"/>
        <v>0</v>
      </c>
      <c r="H54" s="70">
        <f>'合并-bs'!E41</f>
        <v>0</v>
      </c>
      <c r="I54" s="71">
        <f t="shared" si="30"/>
        <v>0</v>
      </c>
      <c r="J54" s="70">
        <f>'合并-bs'!F41</f>
        <v>0</v>
      </c>
      <c r="K54" s="71">
        <f t="shared" si="31"/>
        <v>0</v>
      </c>
      <c r="L54" s="80">
        <f t="shared" si="32"/>
        <v>0</v>
      </c>
      <c r="M54" s="69" t="e">
        <f t="shared" si="33"/>
        <v>#DIV/0!</v>
      </c>
      <c r="O54" s="80">
        <f t="shared" si="34"/>
        <v>0</v>
      </c>
      <c r="P54" s="69" t="e">
        <f t="shared" si="35"/>
        <v>#DIV/0!</v>
      </c>
      <c r="R54" s="80">
        <f t="shared" si="36"/>
        <v>0</v>
      </c>
      <c r="S54" s="69" t="e">
        <f t="shared" si="37"/>
        <v>#DIV/0!</v>
      </c>
    </row>
    <row r="55" spans="1:20" x14ac:dyDescent="0.3">
      <c r="A55" s="42" t="str">
        <f>'合并-bs'!A42</f>
        <v>递延所得税资产</v>
      </c>
      <c r="B55" s="70">
        <f>'合并-bs'!B42</f>
        <v>19.916129000000002</v>
      </c>
      <c r="C55" s="71">
        <f t="shared" si="27"/>
        <v>2.7540613674211227E-5</v>
      </c>
      <c r="D55" s="70">
        <f>'合并-bs'!C42</f>
        <v>38.417155000000001</v>
      </c>
      <c r="E55" s="71">
        <f t="shared" si="28"/>
        <v>5.2693934645130291E-5</v>
      </c>
      <c r="F55" s="70">
        <f>'合并-bs'!D42</f>
        <v>26.736080999999999</v>
      </c>
      <c r="G55" s="71">
        <f t="shared" si="29"/>
        <v>3.3210671878872724E-5</v>
      </c>
      <c r="H55" s="70">
        <f>'合并-bs'!E42</f>
        <v>75.333629000000002</v>
      </c>
      <c r="I55" s="71">
        <f t="shared" si="30"/>
        <v>1.2946760759504643E-4</v>
      </c>
      <c r="J55" s="70">
        <f>'合并-bs'!F42</f>
        <v>0</v>
      </c>
      <c r="K55" s="71">
        <f t="shared" si="31"/>
        <v>0</v>
      </c>
      <c r="L55" s="80">
        <f t="shared" si="32"/>
        <v>-18.501026</v>
      </c>
      <c r="M55" s="69">
        <f t="shared" si="33"/>
        <v>-0.48158240765095695</v>
      </c>
      <c r="O55" s="80">
        <f t="shared" si="34"/>
        <v>11.681074000000002</v>
      </c>
      <c r="P55" s="69">
        <f t="shared" si="35"/>
        <v>0.43690300010685945</v>
      </c>
      <c r="R55" s="80">
        <f t="shared" si="36"/>
        <v>-48.597548000000003</v>
      </c>
      <c r="S55" s="69">
        <f t="shared" si="37"/>
        <v>-0.64509766282465963</v>
      </c>
    </row>
    <row r="56" spans="1:20" x14ac:dyDescent="0.3">
      <c r="A56" s="42" t="str">
        <f>'合并-bs'!A43</f>
        <v>其他非流动资产</v>
      </c>
      <c r="B56" s="70">
        <f>'合并-bs'!B43</f>
        <v>65508.169049999997</v>
      </c>
      <c r="C56" s="71">
        <f t="shared" si="27"/>
        <v>9.0586638413065634E-2</v>
      </c>
      <c r="D56" s="70">
        <f>'合并-bs'!C43</f>
        <v>61721.127973000002</v>
      </c>
      <c r="E56" s="71">
        <f t="shared" si="28"/>
        <v>8.4658249254349657E-2</v>
      </c>
      <c r="F56" s="70">
        <f>'合并-bs'!D43</f>
        <v>90199.63096000001</v>
      </c>
      <c r="G56" s="71">
        <f t="shared" si="29"/>
        <v>0.1120429859338012</v>
      </c>
      <c r="H56" s="70">
        <f>'合并-bs'!E43</f>
        <v>169856.366683</v>
      </c>
      <c r="I56" s="71">
        <f t="shared" si="30"/>
        <v>0.29191342194911335</v>
      </c>
      <c r="J56" s="70">
        <f>'合并-bs'!F43</f>
        <v>0</v>
      </c>
      <c r="K56" s="71">
        <f t="shared" si="31"/>
        <v>0</v>
      </c>
      <c r="L56" s="80">
        <f t="shared" si="32"/>
        <v>3787.0410769999944</v>
      </c>
      <c r="M56" s="69">
        <f t="shared" si="33"/>
        <v>6.1357288846967298E-2</v>
      </c>
      <c r="O56" s="80">
        <f t="shared" si="34"/>
        <v>-28478.502987000007</v>
      </c>
      <c r="P56" s="69">
        <f t="shared" si="35"/>
        <v>-0.31572748894758895</v>
      </c>
      <c r="R56" s="80">
        <f t="shared" si="36"/>
        <v>-79656.735722999991</v>
      </c>
      <c r="S56" s="69">
        <f t="shared" si="37"/>
        <v>-0.46896526329014193</v>
      </c>
    </row>
    <row r="57" spans="1:20" s="66" customFormat="1" x14ac:dyDescent="0.3">
      <c r="A57" s="77" t="str">
        <f>'合并-bs'!A44</f>
        <v>非流动资产合计</v>
      </c>
      <c r="B57" s="72">
        <f>SUM(B37:B56)</f>
        <v>723154.87358400004</v>
      </c>
      <c r="C57" s="72">
        <f t="shared" ref="C57:K57" si="38">SUM(C37:C56)</f>
        <v>0.99999999999999978</v>
      </c>
      <c r="D57" s="72">
        <f t="shared" si="38"/>
        <v>729062.1825590001</v>
      </c>
      <c r="E57" s="72">
        <f t="shared" si="38"/>
        <v>0.99999999999999989</v>
      </c>
      <c r="F57" s="72">
        <f t="shared" si="38"/>
        <v>805044.86923699989</v>
      </c>
      <c r="G57" s="72">
        <f t="shared" si="38"/>
        <v>1</v>
      </c>
      <c r="H57" s="72">
        <f t="shared" si="38"/>
        <v>581872.41117199999</v>
      </c>
      <c r="I57" s="73">
        <f t="shared" si="38"/>
        <v>1</v>
      </c>
      <c r="J57" s="72">
        <f t="shared" si="38"/>
        <v>266427.08571700001</v>
      </c>
      <c r="K57" s="73">
        <f t="shared" si="38"/>
        <v>1</v>
      </c>
      <c r="L57" s="80">
        <f t="shared" si="32"/>
        <v>-5907.3089750000509</v>
      </c>
      <c r="M57" s="69">
        <f t="shared" si="33"/>
        <v>-8.1026133522184105E-3</v>
      </c>
      <c r="N57" s="68"/>
      <c r="O57" s="80">
        <f t="shared" si="34"/>
        <v>-75982.686677999794</v>
      </c>
      <c r="P57" s="69">
        <f t="shared" si="35"/>
        <v>-9.4383169909540779E-2</v>
      </c>
      <c r="Q57" s="68"/>
      <c r="R57" s="80">
        <f t="shared" si="36"/>
        <v>223172.4580649999</v>
      </c>
      <c r="S57" s="69">
        <f t="shared" si="37"/>
        <v>0.38354191362241902</v>
      </c>
      <c r="T57" s="68"/>
    </row>
    <row r="58" spans="1:20" x14ac:dyDescent="0.3">
      <c r="A58" s="67" t="s">
        <v>104</v>
      </c>
      <c r="B58" s="78">
        <f>B4-B57</f>
        <v>0</v>
      </c>
      <c r="C58" s="79"/>
      <c r="D58" s="78">
        <f>D5-D57</f>
        <v>4388819.8035559999</v>
      </c>
      <c r="E58" s="79"/>
      <c r="F58" s="78">
        <f>F4-F57</f>
        <v>0</v>
      </c>
      <c r="G58" s="79"/>
      <c r="H58" s="78">
        <f>H4-H57</f>
        <v>0</v>
      </c>
      <c r="I58" s="79"/>
      <c r="J58" s="78">
        <f>J4-J57</f>
        <v>0</v>
      </c>
      <c r="K58" s="79"/>
    </row>
    <row r="60" spans="1:20" x14ac:dyDescent="0.3">
      <c r="A60" s="459" t="s">
        <v>1118</v>
      </c>
      <c r="B60" s="459"/>
      <c r="C60" s="459"/>
      <c r="D60" s="459"/>
      <c r="E60" s="459"/>
      <c r="F60" s="459"/>
      <c r="G60" s="459"/>
      <c r="H60" s="459"/>
      <c r="I60" s="459"/>
      <c r="J60" s="459"/>
      <c r="K60" s="459"/>
      <c r="L60" s="458" t="s">
        <v>1119</v>
      </c>
      <c r="M60" s="458"/>
      <c r="N60" s="458"/>
      <c r="O60" s="458"/>
      <c r="P60" s="458"/>
      <c r="Q60" s="458"/>
      <c r="R60" s="458"/>
      <c r="S60" s="458"/>
      <c r="T60" s="458"/>
    </row>
    <row r="61" spans="1:20" x14ac:dyDescent="0.3">
      <c r="A61" s="425"/>
      <c r="B61" s="425"/>
      <c r="C61" s="425"/>
      <c r="D61" s="425"/>
      <c r="E61" s="425"/>
      <c r="F61" s="425"/>
      <c r="G61" s="425"/>
      <c r="H61" s="425"/>
      <c r="I61" s="425"/>
      <c r="J61" s="425"/>
      <c r="K61" s="425"/>
      <c r="L61" s="458"/>
      <c r="M61" s="458"/>
      <c r="N61" s="458"/>
      <c r="O61" s="458"/>
      <c r="P61" s="458"/>
      <c r="Q61" s="458"/>
      <c r="R61" s="458"/>
      <c r="S61" s="458"/>
      <c r="T61" s="458"/>
    </row>
    <row r="62" spans="1:20" x14ac:dyDescent="0.3">
      <c r="A62" s="431" t="s">
        <v>278</v>
      </c>
      <c r="B62" s="431" t="str">
        <f>'合并-bs'!B2</f>
        <v>2024年9月末</v>
      </c>
      <c r="C62" s="431"/>
      <c r="D62" s="431" t="str">
        <f>'合并-bs'!C2</f>
        <v>2023年末</v>
      </c>
      <c r="E62" s="431"/>
      <c r="F62" s="431" t="str">
        <f>'合并-bs'!D2</f>
        <v>2022年末</v>
      </c>
      <c r="G62" s="431"/>
      <c r="H62" s="431" t="str">
        <f>'合并-bs'!E2</f>
        <v>2021年末</v>
      </c>
      <c r="I62" s="431"/>
      <c r="J62" s="431" t="str">
        <f>'合并-bs'!F2</f>
        <v>2020年末</v>
      </c>
      <c r="K62" s="438"/>
      <c r="L62" s="434" t="str">
        <f>B62&amp;"较"&amp;D62</f>
        <v>2024年9月末较2023年末</v>
      </c>
      <c r="M62" s="434"/>
      <c r="N62" s="434"/>
      <c r="O62" s="434" t="str">
        <f t="shared" ref="O62" si="39">D62&amp;"较"&amp;F62</f>
        <v>2023年末较2022年末</v>
      </c>
      <c r="P62" s="434"/>
      <c r="Q62" s="434"/>
      <c r="R62" s="434" t="str">
        <f t="shared" ref="R62" si="40">F62&amp;"较"&amp;H62</f>
        <v>2022年末较2021年末</v>
      </c>
      <c r="S62" s="434"/>
      <c r="T62" s="434"/>
    </row>
    <row r="63" spans="1:20" x14ac:dyDescent="0.3">
      <c r="A63" s="431"/>
      <c r="B63" s="28" t="s">
        <v>729</v>
      </c>
      <c r="C63" s="30" t="s">
        <v>763</v>
      </c>
      <c r="D63" s="28" t="s">
        <v>729</v>
      </c>
      <c r="E63" s="30" t="s">
        <v>763</v>
      </c>
      <c r="F63" s="28" t="s">
        <v>729</v>
      </c>
      <c r="G63" s="30" t="s">
        <v>763</v>
      </c>
      <c r="H63" s="28" t="s">
        <v>729</v>
      </c>
      <c r="I63" s="30" t="s">
        <v>763</v>
      </c>
      <c r="J63" s="28" t="s">
        <v>729</v>
      </c>
      <c r="K63" s="81" t="s">
        <v>763</v>
      </c>
      <c r="L63" s="43" t="s">
        <v>1110</v>
      </c>
      <c r="M63" s="43" t="s">
        <v>740</v>
      </c>
      <c r="N63" s="43" t="s">
        <v>1111</v>
      </c>
      <c r="O63" s="43" t="s">
        <v>1110</v>
      </c>
      <c r="P63" s="43" t="s">
        <v>740</v>
      </c>
      <c r="Q63" s="43" t="s">
        <v>1111</v>
      </c>
      <c r="R63" s="43" t="s">
        <v>1110</v>
      </c>
      <c r="S63" s="43" t="s">
        <v>740</v>
      </c>
      <c r="T63" s="43" t="s">
        <v>1111</v>
      </c>
    </row>
    <row r="64" spans="1:20" hidden="1" x14ac:dyDescent="0.3">
      <c r="A64" s="76" t="str">
        <f>'合并-bs'!A3</f>
        <v>流动资产：</v>
      </c>
      <c r="B64" s="70"/>
      <c r="C64" s="71"/>
      <c r="D64" s="70"/>
      <c r="E64" s="71"/>
      <c r="F64" s="70"/>
      <c r="G64" s="71"/>
      <c r="H64" s="70"/>
      <c r="I64" s="71"/>
      <c r="J64" s="70"/>
      <c r="K64" s="71"/>
    </row>
    <row r="65" spans="1:19" x14ac:dyDescent="0.3">
      <c r="A65" s="76" t="str">
        <f>'合并-bs'!A4</f>
        <v>货币资金</v>
      </c>
      <c r="B65" s="70">
        <f>'合并-bs'!B4</f>
        <v>139814.43995299999</v>
      </c>
      <c r="C65" s="71">
        <f t="shared" ref="C65:C83" si="41">B65/$B$106</f>
        <v>2.5879887973346186E-2</v>
      </c>
      <c r="D65" s="70">
        <f>'合并-bs'!C4</f>
        <v>158428.36535000001</v>
      </c>
      <c r="E65" s="71">
        <f t="shared" ref="E65:E83" si="42">D65/$D$106</f>
        <v>3.0955845754126788E-2</v>
      </c>
      <c r="F65" s="70">
        <f>'合并-bs'!D4</f>
        <v>128601.72284500001</v>
      </c>
      <c r="G65" s="71">
        <f t="shared" ref="G65:G83" si="43">F65/$F$106</f>
        <v>2.6483934702769607E-2</v>
      </c>
      <c r="H65" s="70">
        <f>'合并-bs'!E4</f>
        <v>383584.43414999999</v>
      </c>
      <c r="I65" s="71">
        <f t="shared" ref="I65:I83" si="44">H65/$H$106</f>
        <v>8.9507638708533038E-2</v>
      </c>
      <c r="J65" s="70">
        <f>'合并-bs'!F4</f>
        <v>608823.20639499999</v>
      </c>
      <c r="K65" s="71">
        <f t="shared" ref="K65:K83" si="45">J65/$J$106</f>
        <v>0.17127278364483917</v>
      </c>
      <c r="L65" s="80">
        <f>B65-D65</f>
        <v>-18613.925397000014</v>
      </c>
      <c r="M65" s="69">
        <f>L65/D65</f>
        <v>-0.11749111565898014</v>
      </c>
      <c r="O65" s="80">
        <f>D65-F65</f>
        <v>29826.642504999996</v>
      </c>
      <c r="P65" s="69">
        <f>O65/F65</f>
        <v>0.23193034933870363</v>
      </c>
      <c r="R65" s="80">
        <f>F65-H65</f>
        <v>-254982.71130499998</v>
      </c>
      <c r="S65" s="69">
        <f>R65/H65</f>
        <v>-0.66473685740149058</v>
      </c>
    </row>
    <row r="66" spans="1:19" hidden="1" x14ac:dyDescent="0.3">
      <c r="A66" s="76" t="str">
        <f>'合并-bs'!A5</f>
        <v>交易性金融资产</v>
      </c>
      <c r="B66" s="70">
        <f>'合并-bs'!B5</f>
        <v>0</v>
      </c>
      <c r="C66" s="71">
        <f t="shared" si="41"/>
        <v>0</v>
      </c>
      <c r="D66" s="70">
        <f>'合并-bs'!C5</f>
        <v>0</v>
      </c>
      <c r="E66" s="71">
        <f t="shared" si="42"/>
        <v>0</v>
      </c>
      <c r="F66" s="70">
        <f>'合并-bs'!D5</f>
        <v>0</v>
      </c>
      <c r="G66" s="71">
        <f t="shared" si="43"/>
        <v>0</v>
      </c>
      <c r="H66" s="70">
        <f>'合并-bs'!E5</f>
        <v>0</v>
      </c>
      <c r="I66" s="71">
        <f t="shared" si="44"/>
        <v>0</v>
      </c>
      <c r="J66" s="70">
        <f>'合并-bs'!F5</f>
        <v>0</v>
      </c>
      <c r="K66" s="71">
        <f t="shared" si="45"/>
        <v>0</v>
      </c>
      <c r="L66" s="80">
        <f t="shared" ref="L66:L107" si="46">B66-D66</f>
        <v>0</v>
      </c>
      <c r="M66" s="69" t="e">
        <f t="shared" ref="M66:M107" si="47">L66/D66</f>
        <v>#DIV/0!</v>
      </c>
      <c r="O66" s="80">
        <f t="shared" ref="O66:O107" si="48">D66-F66</f>
        <v>0</v>
      </c>
      <c r="P66" s="69" t="e">
        <f t="shared" ref="P66:P107" si="49">O66/F66</f>
        <v>#DIV/0!</v>
      </c>
      <c r="R66" s="80">
        <f t="shared" ref="R66:R107" si="50">F66-H66</f>
        <v>0</v>
      </c>
      <c r="S66" s="69" t="e">
        <f t="shared" ref="S66:S107" si="51">R66/H66</f>
        <v>#DIV/0!</v>
      </c>
    </row>
    <row r="67" spans="1:19" hidden="1" x14ac:dyDescent="0.3">
      <c r="A67" s="76" t="str">
        <f>'合并-bs'!A6</f>
        <v>以公允价值计量且其变动计入当期损益的金融资产</v>
      </c>
      <c r="B67" s="70">
        <f>'合并-bs'!B6</f>
        <v>0</v>
      </c>
      <c r="C67" s="71">
        <f t="shared" si="41"/>
        <v>0</v>
      </c>
      <c r="D67" s="70">
        <f>'合并-bs'!C6</f>
        <v>0</v>
      </c>
      <c r="E67" s="71">
        <f t="shared" si="42"/>
        <v>0</v>
      </c>
      <c r="F67" s="70">
        <f>'合并-bs'!D6</f>
        <v>0</v>
      </c>
      <c r="G67" s="71">
        <f t="shared" si="43"/>
        <v>0</v>
      </c>
      <c r="H67" s="70">
        <f>'合并-bs'!E6</f>
        <v>0</v>
      </c>
      <c r="I67" s="71">
        <f t="shared" si="44"/>
        <v>0</v>
      </c>
      <c r="J67" s="70">
        <f>'合并-bs'!F6</f>
        <v>0</v>
      </c>
      <c r="K67" s="71">
        <f t="shared" si="45"/>
        <v>0</v>
      </c>
      <c r="L67" s="80">
        <f t="shared" si="46"/>
        <v>0</v>
      </c>
      <c r="M67" s="69" t="e">
        <f t="shared" si="47"/>
        <v>#DIV/0!</v>
      </c>
      <c r="O67" s="80">
        <f t="shared" si="48"/>
        <v>0</v>
      </c>
      <c r="P67" s="69" t="e">
        <f t="shared" si="49"/>
        <v>#DIV/0!</v>
      </c>
      <c r="R67" s="80">
        <f t="shared" si="50"/>
        <v>0</v>
      </c>
      <c r="S67" s="69" t="e">
        <f t="shared" si="51"/>
        <v>#DIV/0!</v>
      </c>
    </row>
    <row r="68" spans="1:19" hidden="1" x14ac:dyDescent="0.3">
      <c r="A68" s="76" t="str">
        <f>'合并-bs'!A7</f>
        <v>衍生金融资产</v>
      </c>
      <c r="B68" s="70">
        <f>'合并-bs'!B7</f>
        <v>0</v>
      </c>
      <c r="C68" s="71">
        <f t="shared" si="41"/>
        <v>0</v>
      </c>
      <c r="D68" s="70">
        <f>'合并-bs'!C7</f>
        <v>0</v>
      </c>
      <c r="E68" s="71">
        <f t="shared" si="42"/>
        <v>0</v>
      </c>
      <c r="F68" s="70">
        <f>'合并-bs'!D7</f>
        <v>0</v>
      </c>
      <c r="G68" s="71">
        <f t="shared" si="43"/>
        <v>0</v>
      </c>
      <c r="H68" s="70">
        <f>'合并-bs'!E7</f>
        <v>0</v>
      </c>
      <c r="I68" s="71">
        <f t="shared" si="44"/>
        <v>0</v>
      </c>
      <c r="J68" s="70">
        <f>'合并-bs'!F7</f>
        <v>0</v>
      </c>
      <c r="K68" s="71">
        <f t="shared" si="45"/>
        <v>0</v>
      </c>
      <c r="L68" s="80">
        <f t="shared" si="46"/>
        <v>0</v>
      </c>
      <c r="M68" s="69" t="e">
        <f t="shared" si="47"/>
        <v>#DIV/0!</v>
      </c>
      <c r="O68" s="80">
        <f t="shared" si="48"/>
        <v>0</v>
      </c>
      <c r="P68" s="69" t="e">
        <f t="shared" si="49"/>
        <v>#DIV/0!</v>
      </c>
      <c r="R68" s="80">
        <f t="shared" si="50"/>
        <v>0</v>
      </c>
      <c r="S68" s="69" t="e">
        <f t="shared" si="51"/>
        <v>#DIV/0!</v>
      </c>
    </row>
    <row r="69" spans="1:19" hidden="1" x14ac:dyDescent="0.3">
      <c r="A69" s="76" t="str">
        <f>'合并-bs'!A8</f>
        <v>应收票据</v>
      </c>
      <c r="B69" s="70">
        <f>'合并-bs'!B8</f>
        <v>0</v>
      </c>
      <c r="C69" s="71">
        <f t="shared" si="41"/>
        <v>0</v>
      </c>
      <c r="D69" s="70">
        <f>'合并-bs'!C8</f>
        <v>0</v>
      </c>
      <c r="E69" s="71">
        <f t="shared" si="42"/>
        <v>0</v>
      </c>
      <c r="F69" s="70">
        <f>'合并-bs'!D8</f>
        <v>0</v>
      </c>
      <c r="G69" s="71">
        <f t="shared" si="43"/>
        <v>0</v>
      </c>
      <c r="H69" s="70">
        <f>'合并-bs'!E8</f>
        <v>0</v>
      </c>
      <c r="I69" s="71">
        <f t="shared" si="44"/>
        <v>0</v>
      </c>
      <c r="J69" s="70">
        <f>'合并-bs'!F8</f>
        <v>0</v>
      </c>
      <c r="K69" s="71">
        <f t="shared" si="45"/>
        <v>0</v>
      </c>
      <c r="L69" s="80">
        <f t="shared" si="46"/>
        <v>0</v>
      </c>
      <c r="M69" s="69" t="e">
        <f t="shared" si="47"/>
        <v>#DIV/0!</v>
      </c>
      <c r="O69" s="80">
        <f t="shared" si="48"/>
        <v>0</v>
      </c>
      <c r="P69" s="69" t="e">
        <f t="shared" si="49"/>
        <v>#DIV/0!</v>
      </c>
      <c r="R69" s="80">
        <f t="shared" si="50"/>
        <v>0</v>
      </c>
      <c r="S69" s="69" t="e">
        <f t="shared" si="51"/>
        <v>#DIV/0!</v>
      </c>
    </row>
    <row r="70" spans="1:19" x14ac:dyDescent="0.3">
      <c r="A70" s="76" t="str">
        <f>'合并-bs'!A9</f>
        <v>应收账款</v>
      </c>
      <c r="B70" s="70">
        <f>'合并-bs'!B9</f>
        <v>168301.83004600002</v>
      </c>
      <c r="C70" s="71">
        <f t="shared" si="41"/>
        <v>3.1152951789270251E-2</v>
      </c>
      <c r="D70" s="70">
        <f>'合并-bs'!C9</f>
        <v>178400.82842500001</v>
      </c>
      <c r="E70" s="71">
        <f t="shared" si="42"/>
        <v>3.4858331807768907E-2</v>
      </c>
      <c r="F70" s="70">
        <f>'合并-bs'!D9</f>
        <v>88296.412217999998</v>
      </c>
      <c r="G70" s="71">
        <f t="shared" si="43"/>
        <v>1.8183554340782754E-2</v>
      </c>
      <c r="H70" s="70">
        <f>'合并-bs'!E9</f>
        <v>11085.212508000001</v>
      </c>
      <c r="I70" s="71">
        <f t="shared" si="44"/>
        <v>2.5866826383923939E-3</v>
      </c>
      <c r="J70" s="70">
        <f>'合并-bs'!F9</f>
        <v>4318.4892979999995</v>
      </c>
      <c r="K70" s="71">
        <f t="shared" si="45"/>
        <v>1.2148677570759919E-3</v>
      </c>
      <c r="L70" s="80">
        <f t="shared" si="46"/>
        <v>-10098.998378999997</v>
      </c>
      <c r="M70" s="69">
        <f t="shared" si="47"/>
        <v>-5.6608472439048298E-2</v>
      </c>
      <c r="O70" s="80">
        <f t="shared" si="48"/>
        <v>90104.416207000017</v>
      </c>
      <c r="P70" s="69">
        <f t="shared" si="49"/>
        <v>1.0204765283614938</v>
      </c>
      <c r="R70" s="80">
        <f t="shared" si="50"/>
        <v>77211.199710000001</v>
      </c>
      <c r="S70" s="69">
        <f t="shared" si="51"/>
        <v>6.9652430798487668</v>
      </c>
    </row>
    <row r="71" spans="1:19" hidden="1" x14ac:dyDescent="0.3">
      <c r="A71" s="76" t="str">
        <f>'合并-bs'!A10</f>
        <v>应收款项融资</v>
      </c>
      <c r="B71" s="70">
        <f>'合并-bs'!B10</f>
        <v>0</v>
      </c>
      <c r="C71" s="71">
        <f t="shared" si="41"/>
        <v>0</v>
      </c>
      <c r="D71" s="70">
        <f>'合并-bs'!C10</f>
        <v>0</v>
      </c>
      <c r="E71" s="71">
        <f t="shared" si="42"/>
        <v>0</v>
      </c>
      <c r="F71" s="70">
        <f>'合并-bs'!D10</f>
        <v>0</v>
      </c>
      <c r="G71" s="71">
        <f t="shared" si="43"/>
        <v>0</v>
      </c>
      <c r="H71" s="70">
        <f>'合并-bs'!E10</f>
        <v>0</v>
      </c>
      <c r="I71" s="71">
        <f t="shared" si="44"/>
        <v>0</v>
      </c>
      <c r="J71" s="70">
        <f>'合并-bs'!F10</f>
        <v>0</v>
      </c>
      <c r="K71" s="71">
        <f t="shared" si="45"/>
        <v>0</v>
      </c>
      <c r="L71" s="80">
        <f t="shared" si="46"/>
        <v>0</v>
      </c>
      <c r="M71" s="69" t="e">
        <f t="shared" si="47"/>
        <v>#DIV/0!</v>
      </c>
      <c r="O71" s="80">
        <f t="shared" si="48"/>
        <v>0</v>
      </c>
      <c r="P71" s="69" t="e">
        <f t="shared" si="49"/>
        <v>#DIV/0!</v>
      </c>
      <c r="R71" s="80">
        <f t="shared" si="50"/>
        <v>0</v>
      </c>
      <c r="S71" s="69" t="e">
        <f t="shared" si="51"/>
        <v>#DIV/0!</v>
      </c>
    </row>
    <row r="72" spans="1:19" x14ac:dyDescent="0.3">
      <c r="A72" s="76" t="str">
        <f>'合并-bs'!A11</f>
        <v>预付款项</v>
      </c>
      <c r="B72" s="70">
        <f>'合并-bs'!B11</f>
        <v>13024.317601000001</v>
      </c>
      <c r="C72" s="71">
        <f t="shared" si="41"/>
        <v>2.4108230920673835E-3</v>
      </c>
      <c r="D72" s="70">
        <f>'合并-bs'!C11</f>
        <v>11292.656144</v>
      </c>
      <c r="E72" s="71">
        <f t="shared" si="42"/>
        <v>2.2065096801054396E-3</v>
      </c>
      <c r="F72" s="70">
        <f>'合并-bs'!D11</f>
        <v>10043.40149</v>
      </c>
      <c r="G72" s="71">
        <f t="shared" si="43"/>
        <v>2.0683143535755559E-3</v>
      </c>
      <c r="H72" s="70">
        <f>'合并-bs'!E11</f>
        <v>13832.048816</v>
      </c>
      <c r="I72" s="71">
        <f t="shared" si="44"/>
        <v>3.2276440798876989E-3</v>
      </c>
      <c r="J72" s="70">
        <f>'合并-bs'!F11</f>
        <v>54212.348583000006</v>
      </c>
      <c r="K72" s="71">
        <f t="shared" si="45"/>
        <v>1.5250896733575985E-2</v>
      </c>
      <c r="L72" s="80">
        <f t="shared" si="46"/>
        <v>1731.6614570000002</v>
      </c>
      <c r="M72" s="69">
        <f t="shared" si="47"/>
        <v>0.15334403482391201</v>
      </c>
      <c r="O72" s="80">
        <f t="shared" si="48"/>
        <v>1249.2546540000003</v>
      </c>
      <c r="P72" s="69">
        <f t="shared" si="49"/>
        <v>0.12438561330480082</v>
      </c>
      <c r="R72" s="80">
        <f t="shared" si="50"/>
        <v>-3788.6473260000002</v>
      </c>
      <c r="S72" s="69">
        <f t="shared" si="51"/>
        <v>-0.27390355372499431</v>
      </c>
    </row>
    <row r="73" spans="1:19" hidden="1" x14ac:dyDescent="0.3">
      <c r="A73" s="76" t="str">
        <f>'合并-bs'!A12</f>
        <v>应收保费</v>
      </c>
      <c r="B73" s="70">
        <f>'合并-bs'!B12</f>
        <v>0</v>
      </c>
      <c r="C73" s="71">
        <f t="shared" si="41"/>
        <v>0</v>
      </c>
      <c r="D73" s="70">
        <f>'合并-bs'!C12</f>
        <v>0</v>
      </c>
      <c r="E73" s="71">
        <f t="shared" si="42"/>
        <v>0</v>
      </c>
      <c r="F73" s="70">
        <f>'合并-bs'!D12</f>
        <v>0</v>
      </c>
      <c r="G73" s="71">
        <f t="shared" si="43"/>
        <v>0</v>
      </c>
      <c r="H73" s="70">
        <f>'合并-bs'!E12</f>
        <v>0</v>
      </c>
      <c r="I73" s="71">
        <f t="shared" si="44"/>
        <v>0</v>
      </c>
      <c r="J73" s="70">
        <f>'合并-bs'!F12</f>
        <v>0</v>
      </c>
      <c r="K73" s="71">
        <f t="shared" si="45"/>
        <v>0</v>
      </c>
      <c r="L73" s="80">
        <f t="shared" si="46"/>
        <v>0</v>
      </c>
      <c r="M73" s="69" t="e">
        <f t="shared" si="47"/>
        <v>#DIV/0!</v>
      </c>
      <c r="O73" s="80">
        <f t="shared" si="48"/>
        <v>0</v>
      </c>
      <c r="P73" s="69" t="e">
        <f t="shared" si="49"/>
        <v>#DIV/0!</v>
      </c>
      <c r="R73" s="80">
        <f t="shared" si="50"/>
        <v>0</v>
      </c>
      <c r="S73" s="69" t="e">
        <f t="shared" si="51"/>
        <v>#DIV/0!</v>
      </c>
    </row>
    <row r="74" spans="1:19" hidden="1" x14ac:dyDescent="0.3">
      <c r="A74" s="76" t="str">
        <f>'合并-bs'!A13</f>
        <v>应收分保账款</v>
      </c>
      <c r="B74" s="70">
        <f>'合并-bs'!B13</f>
        <v>0</v>
      </c>
      <c r="C74" s="71">
        <f t="shared" si="41"/>
        <v>0</v>
      </c>
      <c r="D74" s="70">
        <f>'合并-bs'!C13</f>
        <v>0</v>
      </c>
      <c r="E74" s="71">
        <f t="shared" si="42"/>
        <v>0</v>
      </c>
      <c r="F74" s="70">
        <f>'合并-bs'!D13</f>
        <v>0</v>
      </c>
      <c r="G74" s="71">
        <f t="shared" si="43"/>
        <v>0</v>
      </c>
      <c r="H74" s="70">
        <f>'合并-bs'!E13</f>
        <v>0</v>
      </c>
      <c r="I74" s="71">
        <f t="shared" si="44"/>
        <v>0</v>
      </c>
      <c r="J74" s="70">
        <f>'合并-bs'!F13</f>
        <v>0</v>
      </c>
      <c r="K74" s="71">
        <f t="shared" si="45"/>
        <v>0</v>
      </c>
      <c r="L74" s="80">
        <f t="shared" si="46"/>
        <v>0</v>
      </c>
      <c r="M74" s="69" t="e">
        <f t="shared" si="47"/>
        <v>#DIV/0!</v>
      </c>
      <c r="O74" s="80">
        <f t="shared" si="48"/>
        <v>0</v>
      </c>
      <c r="P74" s="69" t="e">
        <f t="shared" si="49"/>
        <v>#DIV/0!</v>
      </c>
      <c r="R74" s="80">
        <f t="shared" si="50"/>
        <v>0</v>
      </c>
      <c r="S74" s="69" t="e">
        <f t="shared" si="51"/>
        <v>#DIV/0!</v>
      </c>
    </row>
    <row r="75" spans="1:19" hidden="1" x14ac:dyDescent="0.3">
      <c r="A75" s="76" t="str">
        <f>'合并-bs'!A14</f>
        <v>应收分保合同准备金</v>
      </c>
      <c r="B75" s="70">
        <f>'合并-bs'!B14</f>
        <v>0</v>
      </c>
      <c r="C75" s="71">
        <f t="shared" si="41"/>
        <v>0</v>
      </c>
      <c r="D75" s="70">
        <f>'合并-bs'!C14</f>
        <v>0</v>
      </c>
      <c r="E75" s="71">
        <f t="shared" si="42"/>
        <v>0</v>
      </c>
      <c r="F75" s="70">
        <f>'合并-bs'!D14</f>
        <v>0</v>
      </c>
      <c r="G75" s="71">
        <f t="shared" si="43"/>
        <v>0</v>
      </c>
      <c r="H75" s="70">
        <f>'合并-bs'!E14</f>
        <v>0</v>
      </c>
      <c r="I75" s="71">
        <f t="shared" si="44"/>
        <v>0</v>
      </c>
      <c r="J75" s="70">
        <f>'合并-bs'!F14</f>
        <v>0</v>
      </c>
      <c r="K75" s="71">
        <f t="shared" si="45"/>
        <v>0</v>
      </c>
      <c r="L75" s="80">
        <f t="shared" si="46"/>
        <v>0</v>
      </c>
      <c r="M75" s="69" t="e">
        <f t="shared" si="47"/>
        <v>#DIV/0!</v>
      </c>
      <c r="O75" s="80">
        <f t="shared" si="48"/>
        <v>0</v>
      </c>
      <c r="P75" s="69" t="e">
        <f t="shared" si="49"/>
        <v>#DIV/0!</v>
      </c>
      <c r="R75" s="80">
        <f t="shared" si="50"/>
        <v>0</v>
      </c>
      <c r="S75" s="69" t="e">
        <f t="shared" si="51"/>
        <v>#DIV/0!</v>
      </c>
    </row>
    <row r="76" spans="1:19" x14ac:dyDescent="0.3">
      <c r="A76" s="76" t="str">
        <f>'合并-bs'!A15</f>
        <v>其他应收款</v>
      </c>
      <c r="B76" s="70">
        <f>'合并-bs'!B15</f>
        <v>982962.75423299999</v>
      </c>
      <c r="C76" s="71">
        <f t="shared" si="41"/>
        <v>0.1819480589420765</v>
      </c>
      <c r="D76" s="70">
        <f>'合并-bs'!C15</f>
        <v>991421.02836399991</v>
      </c>
      <c r="E76" s="71">
        <f t="shared" si="42"/>
        <v>0.19371705542522497</v>
      </c>
      <c r="F76" s="70">
        <f>'合并-bs'!D15</f>
        <v>819392.70420699997</v>
      </c>
      <c r="G76" s="71">
        <f t="shared" si="43"/>
        <v>0.16874379591554373</v>
      </c>
      <c r="H76" s="70">
        <f>'合并-bs'!E15</f>
        <v>862315.52927499998</v>
      </c>
      <c r="I76" s="71">
        <f t="shared" si="44"/>
        <v>0.20121730700084028</v>
      </c>
      <c r="J76" s="70">
        <f>'合并-bs'!F15</f>
        <v>1291755.4054739999</v>
      </c>
      <c r="K76" s="71">
        <f t="shared" si="45"/>
        <v>0.36339374347084158</v>
      </c>
      <c r="L76" s="80">
        <f t="shared" si="46"/>
        <v>-8458.2741309999255</v>
      </c>
      <c r="M76" s="69">
        <f t="shared" si="47"/>
        <v>-8.5314653300802012E-3</v>
      </c>
      <c r="O76" s="80">
        <f t="shared" si="48"/>
        <v>172028.32415699994</v>
      </c>
      <c r="P76" s="69">
        <f t="shared" si="49"/>
        <v>0.20994612628811141</v>
      </c>
      <c r="R76" s="80">
        <f t="shared" si="50"/>
        <v>-42922.825068000006</v>
      </c>
      <c r="S76" s="69">
        <f t="shared" si="51"/>
        <v>-4.977624037930499E-2</v>
      </c>
    </row>
    <row r="77" spans="1:19" hidden="1" x14ac:dyDescent="0.3">
      <c r="A77" s="76" t="str">
        <f>'合并-bs'!A16</f>
        <v>买入返售金融资产</v>
      </c>
      <c r="B77" s="70">
        <f>'合并-bs'!B16</f>
        <v>0</v>
      </c>
      <c r="C77" s="71">
        <f t="shared" si="41"/>
        <v>0</v>
      </c>
      <c r="D77" s="70">
        <f>'合并-bs'!C16</f>
        <v>0</v>
      </c>
      <c r="E77" s="71">
        <f t="shared" si="42"/>
        <v>0</v>
      </c>
      <c r="F77" s="70">
        <f>'合并-bs'!D16</f>
        <v>0</v>
      </c>
      <c r="G77" s="71">
        <f t="shared" si="43"/>
        <v>0</v>
      </c>
      <c r="H77" s="70">
        <f>'合并-bs'!E16</f>
        <v>0</v>
      </c>
      <c r="I77" s="71">
        <f t="shared" si="44"/>
        <v>0</v>
      </c>
      <c r="J77" s="70">
        <f>'合并-bs'!F16</f>
        <v>0</v>
      </c>
      <c r="K77" s="71">
        <f t="shared" si="45"/>
        <v>0</v>
      </c>
      <c r="L77" s="80">
        <f t="shared" si="46"/>
        <v>0</v>
      </c>
      <c r="M77" s="69" t="e">
        <f t="shared" si="47"/>
        <v>#DIV/0!</v>
      </c>
      <c r="O77" s="80">
        <f t="shared" si="48"/>
        <v>0</v>
      </c>
      <c r="P77" s="69" t="e">
        <f t="shared" si="49"/>
        <v>#DIV/0!</v>
      </c>
      <c r="R77" s="80">
        <f t="shared" si="50"/>
        <v>0</v>
      </c>
      <c r="S77" s="69" t="e">
        <f t="shared" si="51"/>
        <v>#DIV/0!</v>
      </c>
    </row>
    <row r="78" spans="1:19" x14ac:dyDescent="0.3">
      <c r="A78" s="76" t="str">
        <f>'合并-bs'!A17</f>
        <v>存货</v>
      </c>
      <c r="B78" s="70">
        <f>'合并-bs'!B17</f>
        <v>2311989.3991630003</v>
      </c>
      <c r="C78" s="71">
        <f t="shared" si="41"/>
        <v>0.42795312605776775</v>
      </c>
      <c r="D78" s="70">
        <f>'合并-bs'!C17</f>
        <v>2145512.2023439999</v>
      </c>
      <c r="E78" s="71">
        <f t="shared" si="42"/>
        <v>0.41921877217271764</v>
      </c>
      <c r="F78" s="70">
        <f>'合并-bs'!D17</f>
        <v>2053662.3097470002</v>
      </c>
      <c r="G78" s="71">
        <f t="shared" si="43"/>
        <v>0.42292635984692167</v>
      </c>
      <c r="H78" s="70">
        <f>'合并-bs'!E17</f>
        <v>1740721.796205</v>
      </c>
      <c r="I78" s="71">
        <f t="shared" si="44"/>
        <v>0.40618931258784458</v>
      </c>
      <c r="J78" s="70">
        <f>'合并-bs'!F17</f>
        <v>1329122.7236559999</v>
      </c>
      <c r="K78" s="71">
        <f t="shared" si="45"/>
        <v>0.37390583390226523</v>
      </c>
      <c r="L78" s="80">
        <f t="shared" si="46"/>
        <v>166477.19681900041</v>
      </c>
      <c r="M78" s="69">
        <f t="shared" si="47"/>
        <v>7.7593218363951472E-2</v>
      </c>
      <c r="O78" s="80">
        <f t="shared" si="48"/>
        <v>91849.892596999649</v>
      </c>
      <c r="P78" s="69">
        <f t="shared" si="49"/>
        <v>4.4724924911493866E-2</v>
      </c>
      <c r="R78" s="80">
        <f t="shared" si="50"/>
        <v>312940.5135420002</v>
      </c>
      <c r="S78" s="69">
        <f t="shared" si="51"/>
        <v>0.17977629407769308</v>
      </c>
    </row>
    <row r="79" spans="1:19" hidden="1" x14ac:dyDescent="0.3">
      <c r="A79" s="76" t="str">
        <f>'合并-bs'!A18</f>
        <v>合同资产</v>
      </c>
      <c r="B79" s="70">
        <f>'合并-bs'!B18</f>
        <v>0</v>
      </c>
      <c r="C79" s="71">
        <f t="shared" si="41"/>
        <v>0</v>
      </c>
      <c r="D79" s="70">
        <f>'合并-bs'!C18</f>
        <v>0</v>
      </c>
      <c r="E79" s="71">
        <f t="shared" si="42"/>
        <v>0</v>
      </c>
      <c r="F79" s="70">
        <f>'合并-bs'!D18</f>
        <v>0</v>
      </c>
      <c r="G79" s="71">
        <f t="shared" si="43"/>
        <v>0</v>
      </c>
      <c r="H79" s="70">
        <f>'合并-bs'!E18</f>
        <v>0</v>
      </c>
      <c r="I79" s="71">
        <f t="shared" si="44"/>
        <v>0</v>
      </c>
      <c r="J79" s="70">
        <f>'合并-bs'!F18</f>
        <v>0</v>
      </c>
      <c r="K79" s="71">
        <f t="shared" si="45"/>
        <v>0</v>
      </c>
      <c r="L79" s="80">
        <f t="shared" si="46"/>
        <v>0</v>
      </c>
      <c r="M79" s="69" t="e">
        <f t="shared" si="47"/>
        <v>#DIV/0!</v>
      </c>
      <c r="O79" s="80">
        <f t="shared" si="48"/>
        <v>0</v>
      </c>
      <c r="P79" s="69" t="e">
        <f t="shared" si="49"/>
        <v>#DIV/0!</v>
      </c>
      <c r="R79" s="80">
        <f t="shared" si="50"/>
        <v>0</v>
      </c>
      <c r="S79" s="69" t="e">
        <f t="shared" si="51"/>
        <v>#DIV/0!</v>
      </c>
    </row>
    <row r="80" spans="1:19" hidden="1" x14ac:dyDescent="0.3">
      <c r="A80" s="76" t="str">
        <f>'合并-bs'!A19</f>
        <v>持有待售资产</v>
      </c>
      <c r="B80" s="70">
        <f>'合并-bs'!B19</f>
        <v>0</v>
      </c>
      <c r="C80" s="71">
        <f t="shared" si="41"/>
        <v>0</v>
      </c>
      <c r="D80" s="70">
        <f>'合并-bs'!C19</f>
        <v>0</v>
      </c>
      <c r="E80" s="71">
        <f t="shared" si="42"/>
        <v>0</v>
      </c>
      <c r="F80" s="70">
        <f>'合并-bs'!D19</f>
        <v>0</v>
      </c>
      <c r="G80" s="71">
        <f t="shared" si="43"/>
        <v>0</v>
      </c>
      <c r="H80" s="70">
        <f>'合并-bs'!E19</f>
        <v>0</v>
      </c>
      <c r="I80" s="71">
        <f t="shared" si="44"/>
        <v>0</v>
      </c>
      <c r="J80" s="70">
        <f>'合并-bs'!F19</f>
        <v>0</v>
      </c>
      <c r="K80" s="71">
        <f t="shared" si="45"/>
        <v>0</v>
      </c>
      <c r="L80" s="80">
        <f t="shared" si="46"/>
        <v>0</v>
      </c>
      <c r="M80" s="69" t="e">
        <f t="shared" si="47"/>
        <v>#DIV/0!</v>
      </c>
      <c r="O80" s="80">
        <f t="shared" si="48"/>
        <v>0</v>
      </c>
      <c r="P80" s="69" t="e">
        <f t="shared" si="49"/>
        <v>#DIV/0!</v>
      </c>
      <c r="R80" s="80">
        <f t="shared" si="50"/>
        <v>0</v>
      </c>
      <c r="S80" s="69" t="e">
        <f t="shared" si="51"/>
        <v>#DIV/0!</v>
      </c>
    </row>
    <row r="81" spans="1:19" x14ac:dyDescent="0.3">
      <c r="A81" s="76" t="str">
        <f>'合并-bs'!A20</f>
        <v>一年内到期的非流动资产</v>
      </c>
      <c r="B81" s="70">
        <f>'合并-bs'!B20</f>
        <v>64725.135214000002</v>
      </c>
      <c r="C81" s="71">
        <f t="shared" si="41"/>
        <v>1.1980731381973841E-2</v>
      </c>
      <c r="D81" s="70">
        <f>'合并-bs'!C20</f>
        <v>120625.40013699999</v>
      </c>
      <c r="E81" s="71">
        <f t="shared" si="42"/>
        <v>2.3569398525456642E-2</v>
      </c>
      <c r="F81" s="70">
        <f>'合并-bs'!D20</f>
        <v>121601.04554100001</v>
      </c>
      <c r="G81" s="71">
        <f t="shared" si="43"/>
        <v>2.5042231773037001E-2</v>
      </c>
      <c r="H81" s="70">
        <f>'合并-bs'!E20</f>
        <v>5741.7834320000002</v>
      </c>
      <c r="I81" s="71">
        <f t="shared" si="44"/>
        <v>1.3398183847395753E-3</v>
      </c>
      <c r="J81" s="70">
        <f>'合并-bs'!F20</f>
        <v>0</v>
      </c>
      <c r="K81" s="71">
        <f t="shared" si="45"/>
        <v>0</v>
      </c>
      <c r="L81" s="80">
        <f t="shared" si="46"/>
        <v>-55900.264922999988</v>
      </c>
      <c r="M81" s="69">
        <f t="shared" si="47"/>
        <v>-0.46342034811500238</v>
      </c>
      <c r="O81" s="80">
        <f t="shared" si="48"/>
        <v>-975.64540400002443</v>
      </c>
      <c r="P81" s="69">
        <f t="shared" si="49"/>
        <v>-8.0233307177533086E-3</v>
      </c>
      <c r="R81" s="80">
        <f t="shared" si="50"/>
        <v>115859.26210900002</v>
      </c>
      <c r="S81" s="69">
        <f t="shared" si="51"/>
        <v>20.178270999093304</v>
      </c>
    </row>
    <row r="82" spans="1:19" x14ac:dyDescent="0.3">
      <c r="A82" s="76" t="str">
        <f>'合并-bs'!A21</f>
        <v>其他流动资产</v>
      </c>
      <c r="B82" s="70">
        <f>'合并-bs'!B21</f>
        <v>998463.30777299998</v>
      </c>
      <c r="C82" s="71">
        <f t="shared" si="41"/>
        <v>0.18481723747095311</v>
      </c>
      <c r="D82" s="70">
        <f>'合并-bs'!C21</f>
        <v>783139.32279200002</v>
      </c>
      <c r="E82" s="71">
        <f t="shared" si="42"/>
        <v>0.15302019955065113</v>
      </c>
      <c r="F82" s="70">
        <f>'合并-bs'!D21</f>
        <v>829196.528743</v>
      </c>
      <c r="G82" s="71">
        <f t="shared" si="43"/>
        <v>0.17076277235773163</v>
      </c>
      <c r="H82" s="70">
        <f>'合并-bs'!E21</f>
        <v>686340.62256099994</v>
      </c>
      <c r="I82" s="71">
        <f t="shared" si="44"/>
        <v>0.16015438324892106</v>
      </c>
      <c r="J82" s="70">
        <f>'合并-bs'!F21</f>
        <v>39.820547999999995</v>
      </c>
      <c r="K82" s="71">
        <f t="shared" si="45"/>
        <v>1.1202227560619711E-5</v>
      </c>
      <c r="L82" s="80">
        <f t="shared" si="46"/>
        <v>215323.98498099996</v>
      </c>
      <c r="M82" s="69">
        <f t="shared" si="47"/>
        <v>0.27494978060013658</v>
      </c>
      <c r="O82" s="80">
        <f t="shared" si="48"/>
        <v>-46057.205950999982</v>
      </c>
      <c r="P82" s="69">
        <f t="shared" si="49"/>
        <v>-5.5544378629779442E-2</v>
      </c>
      <c r="R82" s="80">
        <f t="shared" si="50"/>
        <v>142855.90618200006</v>
      </c>
      <c r="S82" s="69">
        <f t="shared" si="51"/>
        <v>0.20814141183855608</v>
      </c>
    </row>
    <row r="83" spans="1:19" x14ac:dyDescent="0.3">
      <c r="A83" s="76" t="str">
        <f>'合并-bs'!A22</f>
        <v>流动资产合计</v>
      </c>
      <c r="B83" s="70">
        <f>'合并-bs'!B22</f>
        <v>4679281.183983</v>
      </c>
      <c r="C83" s="71">
        <f t="shared" si="41"/>
        <v>0.86614281670745497</v>
      </c>
      <c r="D83" s="70">
        <f>'合并-bs'!C22</f>
        <v>4388819.8035559999</v>
      </c>
      <c r="E83" s="71">
        <f t="shared" si="42"/>
        <v>0.85754611291605154</v>
      </c>
      <c r="F83" s="70">
        <f>'合并-bs'!D22</f>
        <v>4050794.124791</v>
      </c>
      <c r="G83" s="71">
        <f t="shared" si="43"/>
        <v>0.83421096329036193</v>
      </c>
      <c r="H83" s="70">
        <f>'合并-bs'!E22</f>
        <v>3703621.4269469995</v>
      </c>
      <c r="I83" s="71">
        <f t="shared" si="44"/>
        <v>0.86422278664915853</v>
      </c>
      <c r="J83" s="70">
        <f>'合并-bs'!F22</f>
        <v>3288271.9939539996</v>
      </c>
      <c r="K83" s="71">
        <f t="shared" si="45"/>
        <v>0.92504932773615856</v>
      </c>
      <c r="L83" s="80">
        <f t="shared" si="46"/>
        <v>290461.38042700011</v>
      </c>
      <c r="M83" s="69">
        <f t="shared" si="47"/>
        <v>6.6182115791506527E-2</v>
      </c>
      <c r="O83" s="80">
        <f t="shared" si="48"/>
        <v>338025.67876499984</v>
      </c>
      <c r="P83" s="69">
        <f t="shared" si="49"/>
        <v>8.3446768300632954E-2</v>
      </c>
      <c r="R83" s="80">
        <f t="shared" si="50"/>
        <v>347172.69784400053</v>
      </c>
      <c r="S83" s="69">
        <f t="shared" si="51"/>
        <v>9.3738710797497696E-2</v>
      </c>
    </row>
    <row r="84" spans="1:19" hidden="1" x14ac:dyDescent="0.3">
      <c r="A84" s="76" t="str">
        <f>'合并-bs'!A23</f>
        <v>非流动资产：</v>
      </c>
      <c r="B84" s="70"/>
      <c r="C84" s="71"/>
      <c r="D84" s="70"/>
      <c r="E84" s="71"/>
      <c r="F84" s="70"/>
      <c r="G84" s="71"/>
      <c r="H84" s="70"/>
      <c r="I84" s="71"/>
      <c r="J84" s="70"/>
      <c r="K84" s="71"/>
      <c r="L84" s="80"/>
      <c r="M84" s="69"/>
      <c r="O84" s="80"/>
      <c r="P84" s="69"/>
      <c r="R84" s="80"/>
      <c r="S84" s="69"/>
    </row>
    <row r="85" spans="1:19" hidden="1" x14ac:dyDescent="0.3">
      <c r="A85" s="76" t="str">
        <f>'合并-bs'!A24</f>
        <v xml:space="preserve">   发放贷款和垫款</v>
      </c>
      <c r="B85" s="70">
        <f>'合并-bs'!B24</f>
        <v>0</v>
      </c>
      <c r="C85" s="71">
        <f t="shared" ref="C85:C106" si="52">B85/$B$106</f>
        <v>0</v>
      </c>
      <c r="D85" s="70">
        <f>'合并-bs'!C24</f>
        <v>0</v>
      </c>
      <c r="E85" s="71">
        <f t="shared" ref="E85:E106" si="53">D85/$D$106</f>
        <v>0</v>
      </c>
      <c r="F85" s="70">
        <f>'合并-bs'!D24</f>
        <v>0</v>
      </c>
      <c r="G85" s="71">
        <f t="shared" ref="G85:G106" si="54">F85/$F$106</f>
        <v>0</v>
      </c>
      <c r="H85" s="70">
        <f>'合并-bs'!E24</f>
        <v>0</v>
      </c>
      <c r="I85" s="71">
        <f t="shared" ref="I85:I106" si="55">H85/$H$106</f>
        <v>0</v>
      </c>
      <c r="J85" s="70">
        <f>'合并-bs'!F24</f>
        <v>0</v>
      </c>
      <c r="K85" s="71">
        <f t="shared" ref="K85:K106" si="56">J85/$J$106</f>
        <v>0</v>
      </c>
      <c r="L85" s="80">
        <f t="shared" si="46"/>
        <v>0</v>
      </c>
      <c r="M85" s="69" t="e">
        <f t="shared" si="47"/>
        <v>#DIV/0!</v>
      </c>
      <c r="O85" s="80">
        <f t="shared" si="48"/>
        <v>0</v>
      </c>
      <c r="P85" s="69" t="e">
        <f t="shared" si="49"/>
        <v>#DIV/0!</v>
      </c>
      <c r="R85" s="80">
        <f t="shared" si="50"/>
        <v>0</v>
      </c>
      <c r="S85" s="69" t="e">
        <f t="shared" si="51"/>
        <v>#DIV/0!</v>
      </c>
    </row>
    <row r="86" spans="1:19" x14ac:dyDescent="0.3">
      <c r="A86" s="76" t="str">
        <f>'合并-bs'!A25</f>
        <v xml:space="preserve">   债权投资</v>
      </c>
      <c r="B86" s="70">
        <f>'合并-bs'!B25</f>
        <v>0</v>
      </c>
      <c r="C86" s="71">
        <f t="shared" si="52"/>
        <v>0</v>
      </c>
      <c r="D86" s="70">
        <f>'合并-bs'!C25</f>
        <v>29000</v>
      </c>
      <c r="E86" s="71">
        <f t="shared" si="53"/>
        <v>5.6664065483881913E-3</v>
      </c>
      <c r="F86" s="70">
        <f>'合并-bs'!D25</f>
        <v>85825.302777999997</v>
      </c>
      <c r="G86" s="71">
        <f t="shared" si="54"/>
        <v>1.7674659906053942E-2</v>
      </c>
      <c r="H86" s="70">
        <f>'合并-bs'!E25</f>
        <v>46765.316666999999</v>
      </c>
      <c r="I86" s="71">
        <f t="shared" si="55"/>
        <v>1.0912468535371027E-2</v>
      </c>
      <c r="J86" s="70">
        <f>'合并-bs'!F25</f>
        <v>0</v>
      </c>
      <c r="K86" s="71">
        <f t="shared" si="56"/>
        <v>0</v>
      </c>
      <c r="L86" s="80">
        <f t="shared" si="46"/>
        <v>-29000</v>
      </c>
      <c r="M86" s="69">
        <f t="shared" si="47"/>
        <v>-1</v>
      </c>
      <c r="O86" s="80">
        <f t="shared" si="48"/>
        <v>-56825.302777999997</v>
      </c>
      <c r="P86" s="69">
        <f t="shared" si="49"/>
        <v>-0.66210430885384874</v>
      </c>
      <c r="R86" s="80">
        <f t="shared" si="50"/>
        <v>39059.986110999998</v>
      </c>
      <c r="S86" s="69">
        <f t="shared" si="51"/>
        <v>0.83523407719299636</v>
      </c>
    </row>
    <row r="87" spans="1:19" hidden="1" x14ac:dyDescent="0.3">
      <c r="A87" s="76" t="str">
        <f>'合并-bs'!A26</f>
        <v>可供出售金融资产</v>
      </c>
      <c r="B87" s="70">
        <f>'合并-bs'!B26</f>
        <v>0</v>
      </c>
      <c r="C87" s="71">
        <f t="shared" si="52"/>
        <v>0</v>
      </c>
      <c r="D87" s="70">
        <f>'合并-bs'!C26</f>
        <v>0</v>
      </c>
      <c r="E87" s="71">
        <f t="shared" si="53"/>
        <v>0</v>
      </c>
      <c r="F87" s="70">
        <f>'合并-bs'!D26</f>
        <v>0</v>
      </c>
      <c r="G87" s="71">
        <f t="shared" si="54"/>
        <v>0</v>
      </c>
      <c r="H87" s="70">
        <f>'合并-bs'!E26</f>
        <v>0</v>
      </c>
      <c r="I87" s="71">
        <f t="shared" si="55"/>
        <v>0</v>
      </c>
      <c r="J87" s="70">
        <f>'合并-bs'!F26</f>
        <v>1840</v>
      </c>
      <c r="K87" s="71">
        <f t="shared" si="56"/>
        <v>5.1762468742369571E-4</v>
      </c>
      <c r="L87" s="80">
        <f t="shared" si="46"/>
        <v>0</v>
      </c>
      <c r="M87" s="69" t="e">
        <f t="shared" si="47"/>
        <v>#DIV/0!</v>
      </c>
      <c r="O87" s="80">
        <f t="shared" si="48"/>
        <v>0</v>
      </c>
      <c r="P87" s="69" t="e">
        <f t="shared" si="49"/>
        <v>#DIV/0!</v>
      </c>
      <c r="R87" s="80">
        <f t="shared" si="50"/>
        <v>0</v>
      </c>
      <c r="S87" s="69" t="e">
        <f t="shared" si="51"/>
        <v>#DIV/0!</v>
      </c>
    </row>
    <row r="88" spans="1:19" hidden="1" x14ac:dyDescent="0.3">
      <c r="A88" s="76" t="str">
        <f>'合并-bs'!A27</f>
        <v>其他债权投资</v>
      </c>
      <c r="B88" s="70">
        <f>'合并-bs'!B27</f>
        <v>0</v>
      </c>
      <c r="C88" s="71">
        <f t="shared" si="52"/>
        <v>0</v>
      </c>
      <c r="D88" s="70">
        <f>'合并-bs'!C27</f>
        <v>0</v>
      </c>
      <c r="E88" s="71">
        <f t="shared" si="53"/>
        <v>0</v>
      </c>
      <c r="F88" s="70">
        <f>'合并-bs'!D27</f>
        <v>0</v>
      </c>
      <c r="G88" s="71">
        <f t="shared" si="54"/>
        <v>0</v>
      </c>
      <c r="H88" s="70">
        <f>'合并-bs'!E27</f>
        <v>0</v>
      </c>
      <c r="I88" s="71">
        <f t="shared" si="55"/>
        <v>0</v>
      </c>
      <c r="J88" s="70">
        <f>'合并-bs'!F27</f>
        <v>0</v>
      </c>
      <c r="K88" s="71">
        <f t="shared" si="56"/>
        <v>0</v>
      </c>
      <c r="L88" s="80">
        <f t="shared" si="46"/>
        <v>0</v>
      </c>
      <c r="M88" s="69" t="e">
        <f t="shared" si="47"/>
        <v>#DIV/0!</v>
      </c>
      <c r="O88" s="80">
        <f t="shared" si="48"/>
        <v>0</v>
      </c>
      <c r="P88" s="69" t="e">
        <f t="shared" si="49"/>
        <v>#DIV/0!</v>
      </c>
      <c r="R88" s="80">
        <f t="shared" si="50"/>
        <v>0</v>
      </c>
      <c r="S88" s="69" t="e">
        <f t="shared" si="51"/>
        <v>#DIV/0!</v>
      </c>
    </row>
    <row r="89" spans="1:19" hidden="1" x14ac:dyDescent="0.3">
      <c r="A89" s="76" t="str">
        <f>'合并-bs'!A28</f>
        <v>持有至到期投资</v>
      </c>
      <c r="B89" s="70">
        <f>'合并-bs'!B28</f>
        <v>0</v>
      </c>
      <c r="C89" s="71">
        <f t="shared" si="52"/>
        <v>0</v>
      </c>
      <c r="D89" s="70">
        <f>'合并-bs'!C28</f>
        <v>0</v>
      </c>
      <c r="E89" s="71">
        <f t="shared" si="53"/>
        <v>0</v>
      </c>
      <c r="F89" s="70">
        <f>'合并-bs'!D28</f>
        <v>0</v>
      </c>
      <c r="G89" s="71">
        <f t="shared" si="54"/>
        <v>0</v>
      </c>
      <c r="H89" s="70">
        <f>'合并-bs'!E28</f>
        <v>0</v>
      </c>
      <c r="I89" s="71">
        <f t="shared" si="55"/>
        <v>0</v>
      </c>
      <c r="J89" s="70">
        <f>'合并-bs'!F28</f>
        <v>0</v>
      </c>
      <c r="K89" s="71">
        <f t="shared" si="56"/>
        <v>0</v>
      </c>
      <c r="L89" s="80">
        <f t="shared" si="46"/>
        <v>0</v>
      </c>
      <c r="M89" s="69" t="e">
        <f t="shared" si="47"/>
        <v>#DIV/0!</v>
      </c>
      <c r="O89" s="80">
        <f t="shared" si="48"/>
        <v>0</v>
      </c>
      <c r="P89" s="69" t="e">
        <f t="shared" si="49"/>
        <v>#DIV/0!</v>
      </c>
      <c r="R89" s="80">
        <f t="shared" si="50"/>
        <v>0</v>
      </c>
      <c r="S89" s="69" t="e">
        <f t="shared" si="51"/>
        <v>#DIV/0!</v>
      </c>
    </row>
    <row r="90" spans="1:19" hidden="1" x14ac:dyDescent="0.3">
      <c r="A90" s="76" t="str">
        <f>'合并-bs'!A29</f>
        <v>长期应收款</v>
      </c>
      <c r="B90" s="70">
        <f>'合并-bs'!B29</f>
        <v>370</v>
      </c>
      <c r="C90" s="71">
        <f t="shared" si="52"/>
        <v>6.8487622261026882E-5</v>
      </c>
      <c r="D90" s="70">
        <f>'合并-bs'!C29</f>
        <v>0</v>
      </c>
      <c r="E90" s="71">
        <f t="shared" si="53"/>
        <v>0</v>
      </c>
      <c r="F90" s="70">
        <f>'合并-bs'!D29</f>
        <v>0</v>
      </c>
      <c r="G90" s="71">
        <f t="shared" si="54"/>
        <v>0</v>
      </c>
      <c r="H90" s="70">
        <f>'合并-bs'!E29</f>
        <v>0</v>
      </c>
      <c r="I90" s="71">
        <f t="shared" si="55"/>
        <v>0</v>
      </c>
      <c r="J90" s="70">
        <f>'合并-bs'!F29</f>
        <v>38646.51</v>
      </c>
      <c r="K90" s="71">
        <f t="shared" si="56"/>
        <v>1.0871949814547137E-2</v>
      </c>
      <c r="L90" s="80">
        <f t="shared" si="46"/>
        <v>370</v>
      </c>
      <c r="M90" s="69" t="e">
        <f t="shared" si="47"/>
        <v>#DIV/0!</v>
      </c>
      <c r="O90" s="80">
        <f t="shared" si="48"/>
        <v>0</v>
      </c>
      <c r="P90" s="69" t="e">
        <f t="shared" si="49"/>
        <v>#DIV/0!</v>
      </c>
      <c r="R90" s="80">
        <f t="shared" si="50"/>
        <v>0</v>
      </c>
      <c r="S90" s="69" t="e">
        <f t="shared" si="51"/>
        <v>#DIV/0!</v>
      </c>
    </row>
    <row r="91" spans="1:19" x14ac:dyDescent="0.3">
      <c r="A91" s="76" t="str">
        <f>'合并-bs'!A30</f>
        <v>长期股权投资</v>
      </c>
      <c r="B91" s="70">
        <f>'合并-bs'!B30</f>
        <v>31371.976875</v>
      </c>
      <c r="C91" s="71">
        <f t="shared" si="52"/>
        <v>5.8070056805315422E-3</v>
      </c>
      <c r="D91" s="70">
        <f>'合并-bs'!C30</f>
        <v>31272.976774999999</v>
      </c>
      <c r="E91" s="71">
        <f t="shared" si="53"/>
        <v>6.110531047774201E-3</v>
      </c>
      <c r="F91" s="70">
        <f>'合并-bs'!D30</f>
        <v>29583.164111000002</v>
      </c>
      <c r="G91" s="71">
        <f t="shared" si="54"/>
        <v>6.0922868627611287E-3</v>
      </c>
      <c r="H91" s="70">
        <f>'合并-bs'!E30</f>
        <v>38736.807718999997</v>
      </c>
      <c r="I91" s="71">
        <f t="shared" si="55"/>
        <v>9.0390534165375128E-3</v>
      </c>
      <c r="J91" s="70">
        <f>'合并-bs'!F30</f>
        <v>37562.260218000003</v>
      </c>
      <c r="K91" s="71">
        <f t="shared" si="56"/>
        <v>1.0566931089277049E-2</v>
      </c>
      <c r="L91" s="80">
        <f t="shared" si="46"/>
        <v>99.000100000001112</v>
      </c>
      <c r="M91" s="69">
        <f t="shared" si="47"/>
        <v>3.165675615477162E-3</v>
      </c>
      <c r="O91" s="80">
        <f t="shared" si="48"/>
        <v>1689.8126639999973</v>
      </c>
      <c r="P91" s="69">
        <f t="shared" si="49"/>
        <v>5.7120754820532159E-2</v>
      </c>
      <c r="R91" s="80">
        <f t="shared" si="50"/>
        <v>-9153.6436079999949</v>
      </c>
      <c r="S91" s="69">
        <f t="shared" si="51"/>
        <v>-0.23630350942703596</v>
      </c>
    </row>
    <row r="92" spans="1:19" x14ac:dyDescent="0.3">
      <c r="A92" s="76" t="str">
        <f>'合并-bs'!A31</f>
        <v>其他权益工具投资</v>
      </c>
      <c r="B92" s="70">
        <f>'合并-bs'!B31</f>
        <v>1197.2688289999999</v>
      </c>
      <c r="C92" s="71">
        <f t="shared" si="52"/>
        <v>2.2161647379852426E-4</v>
      </c>
      <c r="D92" s="70">
        <f>'合并-bs'!C31</f>
        <v>1197.2688289999999</v>
      </c>
      <c r="E92" s="71">
        <f t="shared" si="53"/>
        <v>2.3393834251126416E-4</v>
      </c>
      <c r="F92" s="70">
        <f>'合并-bs'!D31</f>
        <v>1430.645745</v>
      </c>
      <c r="G92" s="71">
        <f t="shared" si="54"/>
        <v>2.9462380172808311E-4</v>
      </c>
      <c r="H92" s="70">
        <f>'合并-bs'!E31</f>
        <v>1840</v>
      </c>
      <c r="I92" s="71">
        <f t="shared" si="55"/>
        <v>4.2935541841955321E-4</v>
      </c>
      <c r="J92" s="70">
        <f>'合并-bs'!F31</f>
        <v>0</v>
      </c>
      <c r="K92" s="71">
        <f t="shared" si="56"/>
        <v>0</v>
      </c>
      <c r="L92" s="80">
        <f t="shared" si="46"/>
        <v>0</v>
      </c>
      <c r="M92" s="69">
        <f t="shared" si="47"/>
        <v>0</v>
      </c>
      <c r="O92" s="80">
        <f t="shared" si="48"/>
        <v>-233.37691600000016</v>
      </c>
      <c r="P92" s="69">
        <f t="shared" si="49"/>
        <v>-0.16312697732169898</v>
      </c>
      <c r="R92" s="80">
        <f t="shared" si="50"/>
        <v>-409.35425499999997</v>
      </c>
      <c r="S92" s="69">
        <f t="shared" si="51"/>
        <v>-0.2224751385869565</v>
      </c>
    </row>
    <row r="93" spans="1:19" hidden="1" x14ac:dyDescent="0.3">
      <c r="A93" s="76" t="str">
        <f>'合并-bs'!A32</f>
        <v>其他非流动金融资产</v>
      </c>
      <c r="B93" s="70">
        <f>'合并-bs'!B32</f>
        <v>0</v>
      </c>
      <c r="C93" s="71">
        <f t="shared" si="52"/>
        <v>0</v>
      </c>
      <c r="D93" s="70">
        <f>'合并-bs'!C32</f>
        <v>0</v>
      </c>
      <c r="E93" s="71">
        <f t="shared" si="53"/>
        <v>0</v>
      </c>
      <c r="F93" s="70">
        <f>'合并-bs'!D32</f>
        <v>0</v>
      </c>
      <c r="G93" s="71">
        <f t="shared" si="54"/>
        <v>0</v>
      </c>
      <c r="H93" s="70">
        <f>'合并-bs'!E32</f>
        <v>0</v>
      </c>
      <c r="I93" s="71">
        <f t="shared" si="55"/>
        <v>0</v>
      </c>
      <c r="J93" s="70">
        <f>'合并-bs'!F32</f>
        <v>0</v>
      </c>
      <c r="K93" s="71">
        <f t="shared" si="56"/>
        <v>0</v>
      </c>
      <c r="L93" s="80">
        <f t="shared" si="46"/>
        <v>0</v>
      </c>
      <c r="M93" s="69" t="e">
        <f t="shared" si="47"/>
        <v>#DIV/0!</v>
      </c>
      <c r="O93" s="80">
        <f t="shared" si="48"/>
        <v>0</v>
      </c>
      <c r="P93" s="69" t="e">
        <f t="shared" si="49"/>
        <v>#DIV/0!</v>
      </c>
      <c r="R93" s="80">
        <f t="shared" si="50"/>
        <v>0</v>
      </c>
      <c r="S93" s="69" t="e">
        <f t="shared" si="51"/>
        <v>#DIV/0!</v>
      </c>
    </row>
    <row r="94" spans="1:19" x14ac:dyDescent="0.3">
      <c r="A94" s="76" t="str">
        <f>'合并-bs'!A33</f>
        <v>投资性房地产</v>
      </c>
      <c r="B94" s="70">
        <f>'合并-bs'!B33</f>
        <v>169402.61380600001</v>
      </c>
      <c r="C94" s="71">
        <f t="shared" si="52"/>
        <v>3.1356708714529585E-2</v>
      </c>
      <c r="D94" s="70">
        <f>'合并-bs'!C33</f>
        <v>169201.82</v>
      </c>
      <c r="E94" s="71">
        <f t="shared" si="53"/>
        <v>3.3060906925765521E-2</v>
      </c>
      <c r="F94" s="70">
        <f>'合并-bs'!D33</f>
        <v>168413.42</v>
      </c>
      <c r="G94" s="71">
        <f t="shared" si="54"/>
        <v>3.468266147356304E-2</v>
      </c>
      <c r="H94" s="70">
        <f>'合并-bs'!E33</f>
        <v>13059.026152</v>
      </c>
      <c r="I94" s="71">
        <f t="shared" si="55"/>
        <v>3.0472628465455696E-3</v>
      </c>
      <c r="J94" s="70">
        <f>'合并-bs'!F33</f>
        <v>4339.4548569999997</v>
      </c>
      <c r="K94" s="71">
        <f t="shared" si="56"/>
        <v>1.2207657412738385E-3</v>
      </c>
      <c r="L94" s="80">
        <f t="shared" si="46"/>
        <v>200.7938060000015</v>
      </c>
      <c r="M94" s="69">
        <f t="shared" si="47"/>
        <v>1.1867118568819265E-3</v>
      </c>
      <c r="O94" s="80">
        <f t="shared" si="48"/>
        <v>788.39999999999418</v>
      </c>
      <c r="P94" s="69">
        <f t="shared" si="49"/>
        <v>4.6813371523480377E-3</v>
      </c>
      <c r="R94" s="80">
        <f t="shared" si="50"/>
        <v>155354.39384800001</v>
      </c>
      <c r="S94" s="69">
        <f t="shared" si="51"/>
        <v>11.89632305194575</v>
      </c>
    </row>
    <row r="95" spans="1:19" x14ac:dyDescent="0.3">
      <c r="A95" s="76" t="str">
        <f>'合并-bs'!A34</f>
        <v>固定资产</v>
      </c>
      <c r="B95" s="70">
        <f>'合并-bs'!B34</f>
        <v>343534.80498100002</v>
      </c>
      <c r="C95" s="71">
        <f t="shared" si="52"/>
        <v>6.3588870154200713E-2</v>
      </c>
      <c r="D95" s="70">
        <f>'合并-bs'!C34</f>
        <v>359708.76259499998</v>
      </c>
      <c r="E95" s="71">
        <f t="shared" si="53"/>
        <v>7.0284692685549002E-2</v>
      </c>
      <c r="F95" s="70">
        <f>'合并-bs'!D34</f>
        <v>326403.90900599997</v>
      </c>
      <c r="G95" s="71">
        <f t="shared" si="54"/>
        <v>6.72188491849567E-2</v>
      </c>
      <c r="H95" s="70">
        <f>'合并-bs'!E34</f>
        <v>234318.00214499998</v>
      </c>
      <c r="I95" s="71">
        <f t="shared" si="55"/>
        <v>5.4677012964239255E-2</v>
      </c>
      <c r="J95" s="70">
        <f>'合并-bs'!F34</f>
        <v>125966.52121099998</v>
      </c>
      <c r="K95" s="71">
        <f t="shared" si="56"/>
        <v>3.5436620199833804E-2</v>
      </c>
      <c r="L95" s="80">
        <f t="shared" si="46"/>
        <v>-16173.957613999955</v>
      </c>
      <c r="M95" s="69">
        <f t="shared" si="47"/>
        <v>-4.4964035619589261E-2</v>
      </c>
      <c r="O95" s="80">
        <f t="shared" si="48"/>
        <v>33304.853589000006</v>
      </c>
      <c r="P95" s="69">
        <f t="shared" si="49"/>
        <v>0.10203570689586255</v>
      </c>
      <c r="R95" s="80">
        <f t="shared" si="50"/>
        <v>92085.906860999996</v>
      </c>
      <c r="S95" s="69">
        <f t="shared" si="51"/>
        <v>0.39299544216844112</v>
      </c>
    </row>
    <row r="96" spans="1:19" x14ac:dyDescent="0.3">
      <c r="A96" s="76" t="str">
        <f>'合并-bs'!A35</f>
        <v>在建工程</v>
      </c>
      <c r="B96" s="70">
        <f>'合并-bs'!B35</f>
        <v>80523.774959999995</v>
      </c>
      <c r="C96" s="71">
        <f t="shared" si="52"/>
        <v>1.4905086168898418E-2</v>
      </c>
      <c r="D96" s="70">
        <f>'合并-bs'!C35</f>
        <v>45271.834897000001</v>
      </c>
      <c r="E96" s="71">
        <f t="shared" si="53"/>
        <v>8.8458145419968905E-3</v>
      </c>
      <c r="F96" s="70">
        <f>'合并-bs'!D35</f>
        <v>71550.936398999998</v>
      </c>
      <c r="G96" s="71">
        <f t="shared" si="54"/>
        <v>1.4735030648050233E-2</v>
      </c>
      <c r="H96" s="70">
        <f>'合并-bs'!E35</f>
        <v>42997.154243999998</v>
      </c>
      <c r="I96" s="71">
        <f t="shared" si="55"/>
        <v>1.0033185408305808E-2</v>
      </c>
      <c r="J96" s="70">
        <f>'合并-bs'!F35</f>
        <v>24849.749515</v>
      </c>
      <c r="K96" s="71">
        <f t="shared" si="56"/>
        <v>6.990675991988592E-3</v>
      </c>
      <c r="L96" s="80">
        <f t="shared" si="46"/>
        <v>35251.940062999995</v>
      </c>
      <c r="M96" s="69">
        <f t="shared" si="47"/>
        <v>0.77867265913129602</v>
      </c>
      <c r="O96" s="80">
        <f t="shared" si="48"/>
        <v>-26279.101501999998</v>
      </c>
      <c r="P96" s="69">
        <f t="shared" si="49"/>
        <v>-0.36727823316603408</v>
      </c>
      <c r="R96" s="80">
        <f t="shared" si="50"/>
        <v>28553.782155000001</v>
      </c>
      <c r="S96" s="69">
        <f t="shared" si="51"/>
        <v>0.66408539488365126</v>
      </c>
    </row>
    <row r="97" spans="1:19" hidden="1" x14ac:dyDescent="0.3">
      <c r="A97" s="76" t="str">
        <f>'合并-bs'!A36</f>
        <v>生产性生物资产</v>
      </c>
      <c r="B97" s="70">
        <f>'合并-bs'!B36</f>
        <v>0</v>
      </c>
      <c r="C97" s="71">
        <f t="shared" si="52"/>
        <v>0</v>
      </c>
      <c r="D97" s="70">
        <f>'合并-bs'!C36</f>
        <v>0</v>
      </c>
      <c r="E97" s="71">
        <f t="shared" si="53"/>
        <v>0</v>
      </c>
      <c r="F97" s="70">
        <f>'合并-bs'!D36</f>
        <v>0</v>
      </c>
      <c r="G97" s="71">
        <f t="shared" si="54"/>
        <v>0</v>
      </c>
      <c r="H97" s="70">
        <f>'合并-bs'!E36</f>
        <v>0</v>
      </c>
      <c r="I97" s="71">
        <f t="shared" si="55"/>
        <v>0</v>
      </c>
      <c r="J97" s="70">
        <f>'合并-bs'!F36</f>
        <v>0</v>
      </c>
      <c r="K97" s="71">
        <f t="shared" si="56"/>
        <v>0</v>
      </c>
      <c r="L97" s="80">
        <f t="shared" si="46"/>
        <v>0</v>
      </c>
      <c r="M97" s="69" t="e">
        <f t="shared" si="47"/>
        <v>#DIV/0!</v>
      </c>
      <c r="O97" s="80">
        <f t="shared" si="48"/>
        <v>0</v>
      </c>
      <c r="P97" s="69" t="e">
        <f t="shared" si="49"/>
        <v>#DIV/0!</v>
      </c>
      <c r="R97" s="80">
        <f t="shared" si="50"/>
        <v>0</v>
      </c>
      <c r="S97" s="69" t="e">
        <f t="shared" si="51"/>
        <v>#DIV/0!</v>
      </c>
    </row>
    <row r="98" spans="1:19" hidden="1" x14ac:dyDescent="0.3">
      <c r="A98" s="76" t="str">
        <f>'合并-bs'!A37</f>
        <v>油气资产</v>
      </c>
      <c r="B98" s="70">
        <f>'合并-bs'!B37</f>
        <v>0</v>
      </c>
      <c r="C98" s="71">
        <f t="shared" si="52"/>
        <v>0</v>
      </c>
      <c r="D98" s="70">
        <f>'合并-bs'!C37</f>
        <v>0</v>
      </c>
      <c r="E98" s="71">
        <f t="shared" si="53"/>
        <v>0</v>
      </c>
      <c r="F98" s="70">
        <f>'合并-bs'!D37</f>
        <v>0</v>
      </c>
      <c r="G98" s="71">
        <f t="shared" si="54"/>
        <v>0</v>
      </c>
      <c r="H98" s="70">
        <f>'合并-bs'!E37</f>
        <v>0</v>
      </c>
      <c r="I98" s="71">
        <f t="shared" si="55"/>
        <v>0</v>
      </c>
      <c r="J98" s="70">
        <f>'合并-bs'!F37</f>
        <v>0</v>
      </c>
      <c r="K98" s="71">
        <f t="shared" si="56"/>
        <v>0</v>
      </c>
      <c r="L98" s="80">
        <f t="shared" si="46"/>
        <v>0</v>
      </c>
      <c r="M98" s="69" t="e">
        <f t="shared" si="47"/>
        <v>#DIV/0!</v>
      </c>
      <c r="O98" s="80">
        <f t="shared" si="48"/>
        <v>0</v>
      </c>
      <c r="P98" s="69" t="e">
        <f t="shared" si="49"/>
        <v>#DIV/0!</v>
      </c>
      <c r="R98" s="80">
        <f t="shared" si="50"/>
        <v>0</v>
      </c>
      <c r="S98" s="69" t="e">
        <f t="shared" si="51"/>
        <v>#DIV/0!</v>
      </c>
    </row>
    <row r="99" spans="1:19" x14ac:dyDescent="0.3">
      <c r="A99" s="76" t="str">
        <f>'合并-bs'!A38</f>
        <v>无形资产</v>
      </c>
      <c r="B99" s="70">
        <f>'合并-bs'!B38</f>
        <v>31226.348954000001</v>
      </c>
      <c r="C99" s="71">
        <f t="shared" si="52"/>
        <v>5.7800497074393621E-3</v>
      </c>
      <c r="D99" s="70">
        <f>'合并-bs'!C38</f>
        <v>31649.974335000003</v>
      </c>
      <c r="E99" s="71">
        <f t="shared" si="53"/>
        <v>6.1841938561435243E-3</v>
      </c>
      <c r="F99" s="70">
        <f>'合并-bs'!D38</f>
        <v>31611.124156999998</v>
      </c>
      <c r="G99" s="71">
        <f t="shared" si="54"/>
        <v>6.5099201591892232E-3</v>
      </c>
      <c r="H99" s="70">
        <f>'合并-bs'!E38</f>
        <v>34224.403933000001</v>
      </c>
      <c r="I99" s="71">
        <f t="shared" si="55"/>
        <v>7.9861050384853367E-3</v>
      </c>
      <c r="J99" s="70">
        <f>'合并-bs'!F38</f>
        <v>33222.589916000004</v>
      </c>
      <c r="K99" s="71">
        <f t="shared" si="56"/>
        <v>9.3461047394973514E-3</v>
      </c>
      <c r="L99" s="80">
        <f t="shared" si="46"/>
        <v>-423.62538100000165</v>
      </c>
      <c r="M99" s="69">
        <f t="shared" si="47"/>
        <v>-1.3384699036913188E-2</v>
      </c>
      <c r="O99" s="80">
        <f t="shared" si="48"/>
        <v>38.850178000004234</v>
      </c>
      <c r="P99" s="69">
        <f t="shared" si="49"/>
        <v>1.2290033662533072E-3</v>
      </c>
      <c r="R99" s="80">
        <f t="shared" si="50"/>
        <v>-2613.279776000003</v>
      </c>
      <c r="S99" s="69">
        <f t="shared" si="51"/>
        <v>-7.6357203506478469E-2</v>
      </c>
    </row>
    <row r="100" spans="1:19" hidden="1" x14ac:dyDescent="0.3">
      <c r="A100" s="76" t="str">
        <f>'合并-bs'!A39</f>
        <v>开发支出</v>
      </c>
      <c r="B100" s="70">
        <f>'合并-bs'!B39</f>
        <v>0</v>
      </c>
      <c r="C100" s="71">
        <f t="shared" si="52"/>
        <v>0</v>
      </c>
      <c r="D100" s="70">
        <f>'合并-bs'!C39</f>
        <v>0</v>
      </c>
      <c r="E100" s="71">
        <f t="shared" si="53"/>
        <v>0</v>
      </c>
      <c r="F100" s="70">
        <f>'合并-bs'!D39</f>
        <v>0</v>
      </c>
      <c r="G100" s="71">
        <f t="shared" si="54"/>
        <v>0</v>
      </c>
      <c r="H100" s="70">
        <f>'合并-bs'!E39</f>
        <v>0</v>
      </c>
      <c r="I100" s="71">
        <f t="shared" si="55"/>
        <v>0</v>
      </c>
      <c r="J100" s="70">
        <f>'合并-bs'!F39</f>
        <v>0</v>
      </c>
      <c r="K100" s="71">
        <f t="shared" si="56"/>
        <v>0</v>
      </c>
      <c r="L100" s="80">
        <f t="shared" si="46"/>
        <v>0</v>
      </c>
      <c r="M100" s="69" t="e">
        <f t="shared" si="47"/>
        <v>#DIV/0!</v>
      </c>
      <c r="O100" s="80">
        <f t="shared" si="48"/>
        <v>0</v>
      </c>
      <c r="P100" s="69" t="e">
        <f t="shared" si="49"/>
        <v>#DIV/0!</v>
      </c>
      <c r="R100" s="80">
        <f t="shared" si="50"/>
        <v>0</v>
      </c>
      <c r="S100" s="69" t="e">
        <f t="shared" si="51"/>
        <v>#DIV/0!</v>
      </c>
    </row>
    <row r="101" spans="1:19" hidden="1" x14ac:dyDescent="0.3">
      <c r="A101" s="76" t="str">
        <f>'合并-bs'!A40</f>
        <v>商誉</v>
      </c>
      <c r="B101" s="70">
        <f>'合并-bs'!B40</f>
        <v>0</v>
      </c>
      <c r="C101" s="71">
        <f t="shared" si="52"/>
        <v>0</v>
      </c>
      <c r="D101" s="70">
        <f>'合并-bs'!C40</f>
        <v>0</v>
      </c>
      <c r="E101" s="71">
        <f t="shared" si="53"/>
        <v>0</v>
      </c>
      <c r="F101" s="70">
        <f>'合并-bs'!D40</f>
        <v>0</v>
      </c>
      <c r="G101" s="71">
        <f t="shared" si="54"/>
        <v>0</v>
      </c>
      <c r="H101" s="70">
        <f>'合并-bs'!E40</f>
        <v>0</v>
      </c>
      <c r="I101" s="71">
        <f t="shared" si="55"/>
        <v>0</v>
      </c>
      <c r="J101" s="70">
        <f>'合并-bs'!F40</f>
        <v>0</v>
      </c>
      <c r="K101" s="71">
        <f t="shared" si="56"/>
        <v>0</v>
      </c>
      <c r="L101" s="80">
        <f t="shared" si="46"/>
        <v>0</v>
      </c>
      <c r="M101" s="69" t="e">
        <f t="shared" si="47"/>
        <v>#DIV/0!</v>
      </c>
      <c r="O101" s="80">
        <f t="shared" si="48"/>
        <v>0</v>
      </c>
      <c r="P101" s="69" t="e">
        <f t="shared" si="49"/>
        <v>#DIV/0!</v>
      </c>
      <c r="R101" s="80">
        <f t="shared" si="50"/>
        <v>0</v>
      </c>
      <c r="S101" s="69" t="e">
        <f t="shared" si="51"/>
        <v>#DIV/0!</v>
      </c>
    </row>
    <row r="102" spans="1:19" hidden="1" x14ac:dyDescent="0.3">
      <c r="A102" s="76" t="str">
        <f>'合并-bs'!A41</f>
        <v>长期待摊费用</v>
      </c>
      <c r="B102" s="70">
        <f>'合并-bs'!B41</f>
        <v>0</v>
      </c>
      <c r="C102" s="71">
        <f t="shared" si="52"/>
        <v>0</v>
      </c>
      <c r="D102" s="70">
        <f>'合并-bs'!C41</f>
        <v>0</v>
      </c>
      <c r="E102" s="71">
        <f t="shared" si="53"/>
        <v>0</v>
      </c>
      <c r="F102" s="70">
        <f>'合并-bs'!D41</f>
        <v>0</v>
      </c>
      <c r="G102" s="71">
        <f t="shared" si="54"/>
        <v>0</v>
      </c>
      <c r="H102" s="70">
        <f>'合并-bs'!E41</f>
        <v>0</v>
      </c>
      <c r="I102" s="71">
        <f t="shared" si="55"/>
        <v>0</v>
      </c>
      <c r="J102" s="70">
        <f>'合并-bs'!F41</f>
        <v>0</v>
      </c>
      <c r="K102" s="71">
        <f t="shared" si="56"/>
        <v>0</v>
      </c>
      <c r="L102" s="80">
        <f t="shared" si="46"/>
        <v>0</v>
      </c>
      <c r="M102" s="69" t="e">
        <f t="shared" si="47"/>
        <v>#DIV/0!</v>
      </c>
      <c r="O102" s="80">
        <f t="shared" si="48"/>
        <v>0</v>
      </c>
      <c r="P102" s="69" t="e">
        <f t="shared" si="49"/>
        <v>#DIV/0!</v>
      </c>
      <c r="R102" s="80">
        <f t="shared" si="50"/>
        <v>0</v>
      </c>
      <c r="S102" s="69" t="e">
        <f t="shared" si="51"/>
        <v>#DIV/0!</v>
      </c>
    </row>
    <row r="103" spans="1:19" x14ac:dyDescent="0.3">
      <c r="A103" s="76" t="str">
        <f>'合并-bs'!A42</f>
        <v>递延所得税资产</v>
      </c>
      <c r="B103" s="70">
        <f>'合并-bs'!B42</f>
        <v>19.916129000000002</v>
      </c>
      <c r="C103" s="71">
        <f t="shared" si="52"/>
        <v>3.6865089725780624E-6</v>
      </c>
      <c r="D103" s="70">
        <f>'合并-bs'!C42</f>
        <v>38.417155000000001</v>
      </c>
      <c r="E103" s="71">
        <f t="shared" si="53"/>
        <v>7.5064558159463505E-6</v>
      </c>
      <c r="F103" s="70">
        <f>'合并-bs'!D42</f>
        <v>26.736080999999999</v>
      </c>
      <c r="G103" s="71">
        <f t="shared" si="54"/>
        <v>5.5059652992781723E-6</v>
      </c>
      <c r="H103" s="70">
        <f>'合并-bs'!E42</f>
        <v>75.333629000000002</v>
      </c>
      <c r="I103" s="71">
        <f t="shared" si="55"/>
        <v>1.7578750978455647E-5</v>
      </c>
      <c r="J103" s="70">
        <f>'合并-bs'!F42</f>
        <v>0</v>
      </c>
      <c r="K103" s="71">
        <f t="shared" si="56"/>
        <v>0</v>
      </c>
      <c r="L103" s="80">
        <f t="shared" si="46"/>
        <v>-18.501026</v>
      </c>
      <c r="M103" s="69">
        <f t="shared" si="47"/>
        <v>-0.48158240765095695</v>
      </c>
      <c r="O103" s="80">
        <f t="shared" si="48"/>
        <v>11.681074000000002</v>
      </c>
      <c r="P103" s="69">
        <f t="shared" si="49"/>
        <v>0.43690300010685945</v>
      </c>
      <c r="R103" s="80">
        <f t="shared" si="50"/>
        <v>-48.597548000000003</v>
      </c>
      <c r="S103" s="69">
        <f t="shared" si="51"/>
        <v>-0.64509766282465963</v>
      </c>
    </row>
    <row r="104" spans="1:19" x14ac:dyDescent="0.3">
      <c r="A104" s="76" t="str">
        <f>'合并-bs'!A43</f>
        <v>其他非流动资产</v>
      </c>
      <c r="B104" s="70">
        <f>'合并-bs'!B43</f>
        <v>65508.169049999997</v>
      </c>
      <c r="C104" s="71">
        <f t="shared" si="52"/>
        <v>1.2125672261913221E-2</v>
      </c>
      <c r="D104" s="70">
        <f>'合并-bs'!C43</f>
        <v>61721.127973000002</v>
      </c>
      <c r="E104" s="71">
        <f t="shared" si="53"/>
        <v>1.2059896680003889E-2</v>
      </c>
      <c r="F104" s="70">
        <f>'合并-bs'!D43</f>
        <v>90199.63096000001</v>
      </c>
      <c r="G104" s="71">
        <f t="shared" si="54"/>
        <v>1.8575498708036424E-2</v>
      </c>
      <c r="H104" s="70">
        <f>'合并-bs'!E43</f>
        <v>169856.366683</v>
      </c>
      <c r="I104" s="71">
        <f t="shared" si="55"/>
        <v>3.9635190971958979E-2</v>
      </c>
      <c r="J104" s="70">
        <f>'合并-bs'!F43</f>
        <v>0</v>
      </c>
      <c r="K104" s="71">
        <f t="shared" si="56"/>
        <v>0</v>
      </c>
      <c r="L104" s="80">
        <f t="shared" si="46"/>
        <v>3787.0410769999944</v>
      </c>
      <c r="M104" s="69">
        <f t="shared" si="47"/>
        <v>6.1357288846967298E-2</v>
      </c>
      <c r="O104" s="80">
        <f t="shared" si="48"/>
        <v>-28478.502987000007</v>
      </c>
      <c r="P104" s="69">
        <f t="shared" si="49"/>
        <v>-0.31572748894758895</v>
      </c>
      <c r="R104" s="80">
        <f t="shared" si="50"/>
        <v>-79656.735722999991</v>
      </c>
      <c r="S104" s="69">
        <f t="shared" si="51"/>
        <v>-0.46896526329014193</v>
      </c>
    </row>
    <row r="105" spans="1:19" x14ac:dyDescent="0.3">
      <c r="A105" s="76" t="str">
        <f>'合并-bs'!A44</f>
        <v>非流动资产合计</v>
      </c>
      <c r="B105" s="70">
        <f>'合并-bs'!B44</f>
        <v>723154.87358400004</v>
      </c>
      <c r="C105" s="71">
        <f t="shared" si="52"/>
        <v>0.13385718329254498</v>
      </c>
      <c r="D105" s="70">
        <f>'合并-bs'!C44</f>
        <v>729062.1825590001</v>
      </c>
      <c r="E105" s="71">
        <f t="shared" si="53"/>
        <v>0.14245388708394846</v>
      </c>
      <c r="F105" s="70">
        <f>'合并-bs'!D44</f>
        <v>805044.86923699989</v>
      </c>
      <c r="G105" s="71">
        <f t="shared" si="54"/>
        <v>0.16578903670963802</v>
      </c>
      <c r="H105" s="70">
        <f>'合并-bs'!E44</f>
        <v>581872.41117199999</v>
      </c>
      <c r="I105" s="71">
        <f t="shared" si="55"/>
        <v>0.1357772133508415</v>
      </c>
      <c r="J105" s="70">
        <f>'合并-bs'!F44</f>
        <v>266427.08571700001</v>
      </c>
      <c r="K105" s="71">
        <f t="shared" si="56"/>
        <v>7.4950672263841472E-2</v>
      </c>
      <c r="L105" s="80">
        <f t="shared" si="46"/>
        <v>-5907.3089750000509</v>
      </c>
      <c r="M105" s="69">
        <f t="shared" si="47"/>
        <v>-8.1026133522184105E-3</v>
      </c>
      <c r="O105" s="80">
        <f t="shared" si="48"/>
        <v>-75982.686677999794</v>
      </c>
      <c r="P105" s="69">
        <f t="shared" si="49"/>
        <v>-9.4383169909540779E-2</v>
      </c>
      <c r="R105" s="80">
        <f t="shared" si="50"/>
        <v>223172.4580649999</v>
      </c>
      <c r="S105" s="69">
        <f t="shared" si="51"/>
        <v>0.38354191362241902</v>
      </c>
    </row>
    <row r="106" spans="1:19" x14ac:dyDescent="0.3">
      <c r="A106" s="76" t="str">
        <f>'合并-bs'!A45</f>
        <v>资产总计</v>
      </c>
      <c r="B106" s="70">
        <f>'合并-bs'!B45</f>
        <v>5402436.0575670004</v>
      </c>
      <c r="C106" s="71">
        <f t="shared" si="52"/>
        <v>1</v>
      </c>
      <c r="D106" s="70">
        <f>'合并-bs'!C45</f>
        <v>5117881.9861150002</v>
      </c>
      <c r="E106" s="71">
        <f t="shared" si="53"/>
        <v>1</v>
      </c>
      <c r="F106" s="70">
        <f>'合并-bs'!D45</f>
        <v>4855838.9940280002</v>
      </c>
      <c r="G106" s="71">
        <f t="shared" si="54"/>
        <v>1</v>
      </c>
      <c r="H106" s="70">
        <f>'合并-bs'!E45</f>
        <v>4285493.8381189993</v>
      </c>
      <c r="I106" s="71">
        <f t="shared" si="55"/>
        <v>1</v>
      </c>
      <c r="J106" s="70">
        <f>'合并-bs'!F45</f>
        <v>3554699.0796709997</v>
      </c>
      <c r="K106" s="71">
        <f t="shared" si="56"/>
        <v>1</v>
      </c>
      <c r="L106" s="80">
        <f t="shared" si="46"/>
        <v>284554.07145200018</v>
      </c>
      <c r="M106" s="69">
        <f t="shared" si="47"/>
        <v>5.5599967374004661E-2</v>
      </c>
      <c r="O106" s="80">
        <f t="shared" si="48"/>
        <v>262042.99208700005</v>
      </c>
      <c r="P106" s="69">
        <f t="shared" si="49"/>
        <v>5.39645141466338E-2</v>
      </c>
      <c r="R106" s="80">
        <f t="shared" si="50"/>
        <v>570345.1559090009</v>
      </c>
      <c r="S106" s="69">
        <f t="shared" si="51"/>
        <v>0.13308738209721435</v>
      </c>
    </row>
    <row r="107" spans="1:19" x14ac:dyDescent="0.3">
      <c r="A107" s="43" t="s">
        <v>272</v>
      </c>
      <c r="B107" s="82">
        <f>SUBTOTAL(9,B64:B106)</f>
        <v>16206938.172701001</v>
      </c>
      <c r="C107" s="83">
        <f t="shared" ref="C107:K107" si="57">SUBTOTAL(9,C64:C106)</f>
        <v>2.9999315123777386</v>
      </c>
      <c r="D107" s="82">
        <f t="shared" si="57"/>
        <v>15353645.958345</v>
      </c>
      <c r="E107" s="83">
        <f t="shared" si="57"/>
        <v>3</v>
      </c>
      <c r="F107" s="82">
        <f t="shared" si="57"/>
        <v>14567516.982084</v>
      </c>
      <c r="G107" s="83">
        <f t="shared" si="57"/>
        <v>3</v>
      </c>
      <c r="H107" s="82">
        <f t="shared" si="57"/>
        <v>12856481.514356997</v>
      </c>
      <c r="I107" s="83">
        <f t="shared" si="57"/>
        <v>3.0000000000000004</v>
      </c>
      <c r="J107" s="82">
        <f t="shared" si="57"/>
        <v>10623610.729013</v>
      </c>
      <c r="K107" s="83">
        <f t="shared" si="57"/>
        <v>2.9886104254980292</v>
      </c>
      <c r="L107" s="80">
        <f t="shared" si="46"/>
        <v>853292.21435600147</v>
      </c>
      <c r="M107" s="69">
        <f t="shared" si="47"/>
        <v>5.5575868863396632E-2</v>
      </c>
      <c r="O107" s="80">
        <f t="shared" si="48"/>
        <v>786128.97626099922</v>
      </c>
      <c r="P107" s="69">
        <f t="shared" si="49"/>
        <v>5.3964514146633738E-2</v>
      </c>
      <c r="R107" s="80">
        <f t="shared" si="50"/>
        <v>1711035.4677270036</v>
      </c>
      <c r="S107" s="69">
        <f t="shared" si="51"/>
        <v>0.13308738209721444</v>
      </c>
    </row>
    <row r="108" spans="1:19" x14ac:dyDescent="0.3">
      <c r="B108" s="80"/>
      <c r="C108" s="80"/>
      <c r="D108" s="80"/>
      <c r="E108" s="80"/>
      <c r="F108" s="80"/>
      <c r="G108" s="80"/>
      <c r="H108" s="80"/>
      <c r="L108" s="80"/>
    </row>
    <row r="110" spans="1:19" x14ac:dyDescent="0.3">
      <c r="D110" s="84"/>
    </row>
    <row r="111" spans="1:19" x14ac:dyDescent="0.3">
      <c r="D111" s="69"/>
    </row>
  </sheetData>
  <autoFilter ref="A63:T106" xr:uid="{00000000-0009-0000-0000-00001B000000}">
    <filterColumn colId="1">
      <filters>
        <filter val="1,430.65"/>
        <filter val="114,588.95"/>
        <filter val="13,093.37"/>
        <filter val="132,682.89"/>
        <filter val="179,671.32"/>
        <filter val="187,443.65"/>
        <filter val="2,109,521.71"/>
        <filter val="29,583.16"/>
        <filter val="31,429.19"/>
        <filter val="326,058.70"/>
        <filter val="38.42"/>
        <filter val="4,301,429.71"/>
        <filter val="41,822.00"/>
        <filter val="5,064,796.74"/>
        <filter val="61,156.28"/>
        <filter val="746,915.63"/>
        <filter val="763,367.03"/>
        <filter val="92,177.32"/>
        <filter val="997,183.50"/>
      </filters>
    </filterColumn>
  </autoFilter>
  <mergeCells count="42">
    <mergeCell ref="A1:A2"/>
    <mergeCell ref="A10:A11"/>
    <mergeCell ref="A35:A36"/>
    <mergeCell ref="A62:A63"/>
    <mergeCell ref="L60:T61"/>
    <mergeCell ref="A60:K61"/>
    <mergeCell ref="L8:T9"/>
    <mergeCell ref="A33:K34"/>
    <mergeCell ref="L33:T34"/>
    <mergeCell ref="A8:K9"/>
    <mergeCell ref="L35:N35"/>
    <mergeCell ref="O35:Q35"/>
    <mergeCell ref="R35:T35"/>
    <mergeCell ref="B62:C62"/>
    <mergeCell ref="D62:E62"/>
    <mergeCell ref="F62:G62"/>
    <mergeCell ref="H62:I62"/>
    <mergeCell ref="J62:K62"/>
    <mergeCell ref="L62:N62"/>
    <mergeCell ref="O62:Q62"/>
    <mergeCell ref="R62:T62"/>
    <mergeCell ref="B35:C35"/>
    <mergeCell ref="D35:E35"/>
    <mergeCell ref="F35:G35"/>
    <mergeCell ref="H35:I35"/>
    <mergeCell ref="J35:K35"/>
    <mergeCell ref="L1:N1"/>
    <mergeCell ref="O1:Q1"/>
    <mergeCell ref="R1:T1"/>
    <mergeCell ref="B10:C10"/>
    <mergeCell ref="D10:E10"/>
    <mergeCell ref="F10:G10"/>
    <mergeCell ref="H10:I10"/>
    <mergeCell ref="J10:K10"/>
    <mergeCell ref="L10:N10"/>
    <mergeCell ref="O10:Q10"/>
    <mergeCell ref="R10:T10"/>
    <mergeCell ref="B1:C1"/>
    <mergeCell ref="D1:E1"/>
    <mergeCell ref="F1:G1"/>
    <mergeCell ref="H1:I1"/>
    <mergeCell ref="J1:K1"/>
  </mergeCells>
  <phoneticPr fontId="41" type="noConversion"/>
  <pageMargins left="0.7" right="0.7" top="0.75" bottom="0.75" header="0.3" footer="0.3"/>
  <pageSetup paperSize="9" orientation="portrait" verticalDpi="30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filterMode="1"/>
  <dimension ref="A1:T116"/>
  <sheetViews>
    <sheetView topLeftCell="A40" zoomScale="70" zoomScaleNormal="70" workbookViewId="0">
      <selection activeCell="D61" sqref="D61"/>
    </sheetView>
  </sheetViews>
  <sheetFormatPr defaultColWidth="9" defaultRowHeight="11.25" x14ac:dyDescent="0.3"/>
  <cols>
    <col min="1" max="1" width="29.9296875" style="45" customWidth="1"/>
    <col min="2" max="2" width="17.9296875" style="45" customWidth="1"/>
    <col min="3" max="3" width="16.46484375" style="46" hidden="1" customWidth="1"/>
    <col min="4" max="4" width="16.06640625" style="45" customWidth="1"/>
    <col min="5" max="5" width="12.1328125" style="46" hidden="1" customWidth="1"/>
    <col min="6" max="6" width="16.06640625" style="45" hidden="1" customWidth="1"/>
    <col min="7" max="7" width="8.46484375" style="46" hidden="1" customWidth="1"/>
    <col min="8" max="8" width="16.06640625" style="45" hidden="1" customWidth="1"/>
    <col min="9" max="9" width="9.06640625" style="46" hidden="1" customWidth="1"/>
    <col min="10" max="10" width="16.06640625" style="45" hidden="1" customWidth="1"/>
    <col min="11" max="11" width="8.86328125" style="46" hidden="1" customWidth="1"/>
    <col min="12" max="12" width="17.1328125" style="45" customWidth="1"/>
    <col min="13" max="14" width="9" style="45"/>
    <col min="15" max="15" width="14.59765625" style="45" customWidth="1"/>
    <col min="16" max="17" width="9" style="45"/>
    <col min="18" max="18" width="13" style="45" customWidth="1"/>
    <col min="19" max="16384" width="9" style="45"/>
  </cols>
  <sheetData>
    <row r="1" spans="1:20" x14ac:dyDescent="0.3">
      <c r="A1" s="460" t="s">
        <v>278</v>
      </c>
      <c r="B1" s="460" t="str">
        <f>'合并-bs'!B2</f>
        <v>2024年9月末</v>
      </c>
      <c r="C1" s="460"/>
      <c r="D1" s="460" t="str">
        <f>'合并-bs'!C2</f>
        <v>2023年末</v>
      </c>
      <c r="E1" s="460"/>
      <c r="F1" s="460" t="str">
        <f>'合并-bs'!D2</f>
        <v>2022年末</v>
      </c>
      <c r="G1" s="460"/>
      <c r="H1" s="460" t="str">
        <f>'合并-bs'!E2</f>
        <v>2021年末</v>
      </c>
      <c r="I1" s="460"/>
      <c r="J1" s="460" t="str">
        <f>'合并-bs'!F2</f>
        <v>2020年末</v>
      </c>
      <c r="K1" s="460"/>
    </row>
    <row r="2" spans="1:20" x14ac:dyDescent="0.3">
      <c r="A2" s="460"/>
      <c r="B2" s="47" t="s">
        <v>729</v>
      </c>
      <c r="C2" s="48" t="s">
        <v>763</v>
      </c>
      <c r="D2" s="47" t="s">
        <v>729</v>
      </c>
      <c r="E2" s="48" t="s">
        <v>763</v>
      </c>
      <c r="F2" s="47" t="s">
        <v>729</v>
      </c>
      <c r="G2" s="48" t="s">
        <v>763</v>
      </c>
      <c r="H2" s="47" t="s">
        <v>729</v>
      </c>
      <c r="I2" s="48" t="s">
        <v>763</v>
      </c>
      <c r="J2" s="47" t="s">
        <v>729</v>
      </c>
      <c r="K2" s="48" t="s">
        <v>763</v>
      </c>
    </row>
    <row r="3" spans="1:20" x14ac:dyDescent="0.3">
      <c r="A3" s="49" t="s">
        <v>1120</v>
      </c>
      <c r="B3" s="50">
        <f>'合并-bs'!B62</f>
        <v>2179313.0892079999</v>
      </c>
      <c r="C3" s="51">
        <f>B3/$B$5</f>
        <v>0.5894719422712672</v>
      </c>
      <c r="D3" s="50">
        <f>'合并-bs'!C62</f>
        <v>1861262.499812</v>
      </c>
      <c r="E3" s="51">
        <f>D3/$D$5</f>
        <v>0.54738275267270287</v>
      </c>
      <c r="F3" s="50">
        <f>'合并-bs'!D62</f>
        <v>1279460.0717310002</v>
      </c>
      <c r="G3" s="51">
        <f>F3/$F$5</f>
        <v>0.40650744700852082</v>
      </c>
      <c r="H3" s="50">
        <f>'合并-bs'!E62</f>
        <v>1480630.108425</v>
      </c>
      <c r="I3" s="51">
        <f>H3/$H$5</f>
        <v>0.53272028956633399</v>
      </c>
      <c r="J3" s="50">
        <f>'合并-bs'!F62</f>
        <v>1030926.694717</v>
      </c>
      <c r="K3" s="51">
        <f>J3/$J$5</f>
        <v>0.47104901922273146</v>
      </c>
    </row>
    <row r="4" spans="1:20" x14ac:dyDescent="0.3">
      <c r="A4" s="49" t="s">
        <v>1121</v>
      </c>
      <c r="B4" s="50">
        <f>'合并-bs'!B73</f>
        <v>1517746.8265040002</v>
      </c>
      <c r="C4" s="51">
        <f t="shared" ref="C4:C5" si="0">B4/$B$5</f>
        <v>0.41052805772873291</v>
      </c>
      <c r="D4" s="50">
        <f>'合并-bs'!C73</f>
        <v>1539031.8841889999</v>
      </c>
      <c r="E4" s="51">
        <f t="shared" ref="E4:E5" si="1">D4/$D$5</f>
        <v>0.45261724732729708</v>
      </c>
      <c r="F4" s="50">
        <f>'合并-bs'!D73</f>
        <v>1867985.51911</v>
      </c>
      <c r="G4" s="51">
        <f t="shared" ref="G4:G5" si="2">F4/$F$5</f>
        <v>0.59349255299147929</v>
      </c>
      <c r="H4" s="50">
        <f>'合并-bs'!E73</f>
        <v>1298746.1185070002</v>
      </c>
      <c r="I4" s="51">
        <f t="shared" ref="I4:I5" si="3">H4/$H$5</f>
        <v>0.46727971043366595</v>
      </c>
      <c r="J4" s="50">
        <f>'合并-bs'!F73</f>
        <v>1157649.552439</v>
      </c>
      <c r="K4" s="51">
        <f t="shared" ref="K4:K5" si="4">J4/$J$5</f>
        <v>0.52895098077726865</v>
      </c>
    </row>
    <row r="5" spans="1:20" s="44" customFormat="1" x14ac:dyDescent="0.3">
      <c r="A5" s="47" t="s">
        <v>745</v>
      </c>
      <c r="B5" s="52">
        <f>'合并-bs'!B74</f>
        <v>3697059.9157119999</v>
      </c>
      <c r="C5" s="53">
        <f t="shared" si="0"/>
        <v>1</v>
      </c>
      <c r="D5" s="52">
        <f>'合并-bs'!C74</f>
        <v>3400294.3840009999</v>
      </c>
      <c r="E5" s="53">
        <f t="shared" si="1"/>
        <v>1</v>
      </c>
      <c r="F5" s="52">
        <f>'合并-bs'!D74</f>
        <v>3147445.590841</v>
      </c>
      <c r="G5" s="53">
        <f t="shared" si="2"/>
        <v>1</v>
      </c>
      <c r="H5" s="52">
        <f>'合并-bs'!E74</f>
        <v>2779376.2269320004</v>
      </c>
      <c r="I5" s="53">
        <f t="shared" si="3"/>
        <v>1</v>
      </c>
      <c r="J5" s="52">
        <f>'合并-bs'!F74</f>
        <v>2188576.2471559998</v>
      </c>
      <c r="K5" s="53">
        <f t="shared" si="4"/>
        <v>1</v>
      </c>
    </row>
    <row r="6" spans="1:20" s="44" customFormat="1" x14ac:dyDescent="0.3">
      <c r="A6" s="54"/>
      <c r="B6" s="55"/>
      <c r="C6" s="56"/>
      <c r="D6" s="55"/>
      <c r="E6" s="56"/>
      <c r="F6" s="55"/>
      <c r="G6" s="56"/>
      <c r="H6" s="55"/>
      <c r="I6" s="56"/>
      <c r="J6" s="55"/>
      <c r="K6" s="56"/>
    </row>
    <row r="7" spans="1:20" s="44" customFormat="1" x14ac:dyDescent="0.3">
      <c r="A7" s="54"/>
      <c r="B7" s="55"/>
      <c r="C7" s="56"/>
      <c r="D7" s="55"/>
      <c r="E7" s="56"/>
      <c r="F7" s="55"/>
      <c r="G7" s="56"/>
      <c r="H7" s="55"/>
      <c r="I7" s="56"/>
      <c r="J7" s="55"/>
      <c r="K7" s="56"/>
    </row>
    <row r="8" spans="1:20" s="44" customFormat="1" x14ac:dyDescent="0.3">
      <c r="A8" s="54"/>
      <c r="B8" s="55"/>
      <c r="C8" s="56"/>
      <c r="D8" s="55"/>
      <c r="E8" s="56"/>
      <c r="F8" s="55"/>
      <c r="G8" s="56"/>
      <c r="H8" s="55"/>
      <c r="I8" s="56"/>
      <c r="J8" s="55"/>
      <c r="K8" s="56"/>
    </row>
    <row r="9" spans="1:20" s="44" customFormat="1" x14ac:dyDescent="0.3">
      <c r="A9" s="459" t="s">
        <v>1122</v>
      </c>
      <c r="B9" s="459"/>
      <c r="C9" s="459"/>
      <c r="D9" s="459"/>
      <c r="E9" s="459"/>
      <c r="F9" s="459"/>
      <c r="G9" s="459"/>
      <c r="H9" s="459"/>
      <c r="I9" s="459"/>
      <c r="J9" s="459"/>
      <c r="K9" s="459"/>
      <c r="L9" s="458" t="s">
        <v>1123</v>
      </c>
      <c r="M9" s="458"/>
      <c r="N9" s="458"/>
      <c r="O9" s="458"/>
      <c r="P9" s="458"/>
      <c r="Q9" s="458"/>
      <c r="R9" s="458"/>
      <c r="S9" s="458"/>
      <c r="T9" s="458"/>
    </row>
    <row r="10" spans="1:20" x14ac:dyDescent="0.3">
      <c r="A10" s="425"/>
      <c r="B10" s="425"/>
      <c r="C10" s="425"/>
      <c r="D10" s="425"/>
      <c r="E10" s="425"/>
      <c r="F10" s="425"/>
      <c r="G10" s="425"/>
      <c r="H10" s="425"/>
      <c r="I10" s="425"/>
      <c r="J10" s="425"/>
      <c r="K10" s="425"/>
      <c r="L10" s="458"/>
      <c r="M10" s="458"/>
      <c r="N10" s="458"/>
      <c r="O10" s="458"/>
      <c r="P10" s="458"/>
      <c r="Q10" s="458"/>
      <c r="R10" s="458"/>
      <c r="S10" s="458"/>
      <c r="T10" s="458"/>
    </row>
    <row r="11" spans="1:20" x14ac:dyDescent="0.3">
      <c r="A11" s="460" t="s">
        <v>278</v>
      </c>
      <c r="B11" s="460" t="str">
        <f>'合并-bs'!B2</f>
        <v>2024年9月末</v>
      </c>
      <c r="C11" s="460"/>
      <c r="D11" s="460" t="str">
        <f>'合并-bs'!C2</f>
        <v>2023年末</v>
      </c>
      <c r="E11" s="460"/>
      <c r="F11" s="460" t="str">
        <f>'合并-bs'!D2</f>
        <v>2022年末</v>
      </c>
      <c r="G11" s="460"/>
      <c r="H11" s="460" t="str">
        <f>'合并-bs'!E2</f>
        <v>2021年末</v>
      </c>
      <c r="I11" s="460"/>
      <c r="J11" s="460" t="str">
        <f>'合并-bs'!F2</f>
        <v>2020年末</v>
      </c>
      <c r="K11" s="460"/>
      <c r="L11" s="461" t="str">
        <f>B11&amp;"较"&amp;D11</f>
        <v>2024年9月末较2023年末</v>
      </c>
      <c r="M11" s="461"/>
      <c r="N11" s="461"/>
      <c r="O11" s="461" t="str">
        <f t="shared" ref="O11" si="5">D11&amp;"较"&amp;F11</f>
        <v>2023年末较2022年末</v>
      </c>
      <c r="P11" s="461"/>
      <c r="Q11" s="461"/>
      <c r="R11" s="461" t="str">
        <f t="shared" ref="R11" si="6">F11&amp;"较"&amp;H11</f>
        <v>2022年末较2021年末</v>
      </c>
      <c r="S11" s="461"/>
      <c r="T11" s="461"/>
    </row>
    <row r="12" spans="1:20" x14ac:dyDescent="0.3">
      <c r="A12" s="460"/>
      <c r="B12" s="47" t="s">
        <v>729</v>
      </c>
      <c r="C12" s="48" t="s">
        <v>763</v>
      </c>
      <c r="D12" s="47" t="s">
        <v>729</v>
      </c>
      <c r="E12" s="48" t="s">
        <v>763</v>
      </c>
      <c r="F12" s="47" t="s">
        <v>729</v>
      </c>
      <c r="G12" s="48" t="s">
        <v>763</v>
      </c>
      <c r="H12" s="47" t="s">
        <v>729</v>
      </c>
      <c r="I12" s="48" t="s">
        <v>763</v>
      </c>
      <c r="J12" s="47" t="s">
        <v>729</v>
      </c>
      <c r="K12" s="48" t="s">
        <v>763</v>
      </c>
      <c r="L12" s="54" t="s">
        <v>1110</v>
      </c>
      <c r="M12" s="54" t="s">
        <v>740</v>
      </c>
      <c r="N12" s="54" t="s">
        <v>1111</v>
      </c>
      <c r="O12" s="54" t="s">
        <v>1110</v>
      </c>
      <c r="P12" s="54" t="s">
        <v>740</v>
      </c>
      <c r="Q12" s="54" t="s">
        <v>1111</v>
      </c>
      <c r="R12" s="54" t="s">
        <v>1110</v>
      </c>
      <c r="S12" s="54" t="s">
        <v>740</v>
      </c>
      <c r="T12" s="54" t="s">
        <v>1111</v>
      </c>
    </row>
    <row r="13" spans="1:20" x14ac:dyDescent="0.3">
      <c r="A13" s="50" t="str">
        <f>'合并-bs'!A47</f>
        <v>短期借款</v>
      </c>
      <c r="B13" s="50">
        <f>'合并-bs'!B47</f>
        <v>328258.53939499997</v>
      </c>
      <c r="C13" s="51">
        <f>B13/B$28</f>
        <v>0.15062477301703117</v>
      </c>
      <c r="D13" s="50">
        <f>'合并-bs'!C47</f>
        <v>286684.63133200002</v>
      </c>
      <c r="E13" s="51">
        <f>D13/D$28</f>
        <v>0.15402697435797319</v>
      </c>
      <c r="F13" s="50">
        <f>'合并-bs'!D47</f>
        <v>273787.01435300004</v>
      </c>
      <c r="G13" s="51">
        <f>F13/F$28</f>
        <v>0.21398636847071717</v>
      </c>
      <c r="H13" s="50">
        <f>'合并-bs'!E47</f>
        <v>223595.36625999998</v>
      </c>
      <c r="I13" s="51">
        <f>H13/H$28</f>
        <v>0.15101365627222488</v>
      </c>
      <c r="J13" s="50">
        <f>'合并-bs'!F47</f>
        <v>117107.009179</v>
      </c>
      <c r="K13" s="51">
        <f>J13/J$28</f>
        <v>0.11359392455265413</v>
      </c>
      <c r="L13" s="62">
        <f>B13-D13</f>
        <v>41573.908062999952</v>
      </c>
      <c r="M13" s="46">
        <f>L13/D13</f>
        <v>0.14501617289297444</v>
      </c>
      <c r="O13" s="62">
        <f>D13-F13</f>
        <v>12897.616978999984</v>
      </c>
      <c r="P13" s="46">
        <f>O13/F13</f>
        <v>4.7108212964296341E-2</v>
      </c>
      <c r="R13" s="62">
        <f>F13-H13</f>
        <v>50191.648093000054</v>
      </c>
      <c r="S13" s="46">
        <f>R13/H13</f>
        <v>0.22447534997051982</v>
      </c>
    </row>
    <row r="14" spans="1:20" x14ac:dyDescent="0.3">
      <c r="A14" s="50" t="str">
        <f>'合并-bs'!A48</f>
        <v>交易性金融负债</v>
      </c>
      <c r="B14" s="50">
        <f>'合并-bs'!B48</f>
        <v>0</v>
      </c>
      <c r="C14" s="51">
        <f t="shared" ref="C14:C27" si="7">B14/B$28</f>
        <v>0</v>
      </c>
      <c r="D14" s="50">
        <f>'合并-bs'!C48</f>
        <v>0</v>
      </c>
      <c r="E14" s="51">
        <f t="shared" ref="E14:E27" si="8">D14/D$28</f>
        <v>0</v>
      </c>
      <c r="F14" s="50">
        <f>'合并-bs'!D48</f>
        <v>0</v>
      </c>
      <c r="G14" s="51">
        <f t="shared" ref="G14:G27" si="9">F14/F$28</f>
        <v>0</v>
      </c>
      <c r="H14" s="50">
        <f>'合并-bs'!E48</f>
        <v>0</v>
      </c>
      <c r="I14" s="51">
        <f t="shared" ref="I14:I27" si="10">H14/H$28</f>
        <v>0</v>
      </c>
      <c r="J14" s="50">
        <f>'合并-bs'!F48</f>
        <v>0</v>
      </c>
      <c r="K14" s="51">
        <f t="shared" ref="K14:K27" si="11">J14/J$28</f>
        <v>0</v>
      </c>
      <c r="L14" s="62">
        <f t="shared" ref="L14:L28" si="12">B14-D14</f>
        <v>0</v>
      </c>
      <c r="M14" s="46" t="e">
        <f t="shared" ref="M14:M28" si="13">L14/D14</f>
        <v>#DIV/0!</v>
      </c>
      <c r="O14" s="62">
        <f t="shared" ref="O14:O28" si="14">D14-F14</f>
        <v>0</v>
      </c>
      <c r="P14" s="46" t="e">
        <f t="shared" ref="P14:P28" si="15">O14/F14</f>
        <v>#DIV/0!</v>
      </c>
      <c r="R14" s="62">
        <f t="shared" ref="R14:R28" si="16">F14-H14</f>
        <v>0</v>
      </c>
      <c r="S14" s="46" t="e">
        <f t="shared" ref="S14:S28" si="17">R14/H14</f>
        <v>#DIV/0!</v>
      </c>
    </row>
    <row r="15" spans="1:20" x14ac:dyDescent="0.3">
      <c r="A15" s="50" t="str">
        <f>'合并-bs'!A49</f>
        <v>以公允价值计量且其变动计入当期损益的金融负债</v>
      </c>
      <c r="B15" s="50">
        <f>'合并-bs'!B49</f>
        <v>0</v>
      </c>
      <c r="C15" s="51">
        <f t="shared" si="7"/>
        <v>0</v>
      </c>
      <c r="D15" s="50">
        <f>'合并-bs'!C49</f>
        <v>0</v>
      </c>
      <c r="E15" s="51">
        <f t="shared" si="8"/>
        <v>0</v>
      </c>
      <c r="F15" s="50">
        <f>'合并-bs'!D49</f>
        <v>0</v>
      </c>
      <c r="G15" s="51">
        <f t="shared" si="9"/>
        <v>0</v>
      </c>
      <c r="H15" s="50">
        <f>'合并-bs'!E49</f>
        <v>0</v>
      </c>
      <c r="I15" s="51">
        <f t="shared" si="10"/>
        <v>0</v>
      </c>
      <c r="J15" s="50">
        <f>'合并-bs'!F49</f>
        <v>0</v>
      </c>
      <c r="K15" s="51">
        <f t="shared" si="11"/>
        <v>0</v>
      </c>
      <c r="L15" s="62">
        <f t="shared" si="12"/>
        <v>0</v>
      </c>
      <c r="M15" s="46" t="e">
        <f t="shared" si="13"/>
        <v>#DIV/0!</v>
      </c>
      <c r="O15" s="62">
        <f t="shared" si="14"/>
        <v>0</v>
      </c>
      <c r="P15" s="46" t="e">
        <f t="shared" si="15"/>
        <v>#DIV/0!</v>
      </c>
      <c r="R15" s="62">
        <f t="shared" si="16"/>
        <v>0</v>
      </c>
      <c r="S15" s="46" t="e">
        <f t="shared" si="17"/>
        <v>#DIV/0!</v>
      </c>
    </row>
    <row r="16" spans="1:20" x14ac:dyDescent="0.3">
      <c r="A16" s="50" t="str">
        <f>'合并-bs'!A50</f>
        <v>衍生金融负债</v>
      </c>
      <c r="B16" s="50">
        <f>'合并-bs'!B50</f>
        <v>0</v>
      </c>
      <c r="C16" s="51">
        <f t="shared" si="7"/>
        <v>0</v>
      </c>
      <c r="D16" s="50">
        <f>'合并-bs'!C50</f>
        <v>0</v>
      </c>
      <c r="E16" s="51">
        <f t="shared" si="8"/>
        <v>0</v>
      </c>
      <c r="F16" s="50">
        <f>'合并-bs'!D50</f>
        <v>0</v>
      </c>
      <c r="G16" s="51">
        <f t="shared" si="9"/>
        <v>0</v>
      </c>
      <c r="H16" s="50">
        <f>'合并-bs'!E50</f>
        <v>0</v>
      </c>
      <c r="I16" s="51">
        <f t="shared" si="10"/>
        <v>0</v>
      </c>
      <c r="J16" s="50">
        <f>'合并-bs'!F50</f>
        <v>0</v>
      </c>
      <c r="K16" s="51">
        <f t="shared" si="11"/>
        <v>0</v>
      </c>
      <c r="L16" s="62">
        <f t="shared" si="12"/>
        <v>0</v>
      </c>
      <c r="M16" s="46" t="e">
        <f t="shared" si="13"/>
        <v>#DIV/0!</v>
      </c>
      <c r="O16" s="62">
        <f t="shared" si="14"/>
        <v>0</v>
      </c>
      <c r="P16" s="46" t="e">
        <f t="shared" si="15"/>
        <v>#DIV/0!</v>
      </c>
      <c r="R16" s="62">
        <f t="shared" si="16"/>
        <v>0</v>
      </c>
      <c r="S16" s="46" t="e">
        <f t="shared" si="17"/>
        <v>#DIV/0!</v>
      </c>
    </row>
    <row r="17" spans="1:20" x14ac:dyDescent="0.3">
      <c r="A17" s="50" t="str">
        <f>'合并-bs'!A51</f>
        <v>应付票据</v>
      </c>
      <c r="B17" s="50">
        <f>'合并-bs'!B51</f>
        <v>164200</v>
      </c>
      <c r="C17" s="51">
        <f t="shared" si="7"/>
        <v>7.5344841827969342E-2</v>
      </c>
      <c r="D17" s="50">
        <f>'合并-bs'!C51</f>
        <v>40520</v>
      </c>
      <c r="E17" s="51">
        <f t="shared" si="8"/>
        <v>2.1770169443639891E-2</v>
      </c>
      <c r="F17" s="50">
        <f>'合并-bs'!D51</f>
        <v>121217.20360199999</v>
      </c>
      <c r="G17" s="51">
        <f t="shared" si="9"/>
        <v>9.4740903823597608E-2</v>
      </c>
      <c r="H17" s="50">
        <f>'合并-bs'!E51</f>
        <v>128440</v>
      </c>
      <c r="I17" s="51">
        <f t="shared" si="10"/>
        <v>8.6746851404113548E-2</v>
      </c>
      <c r="J17" s="50">
        <f>'合并-bs'!F51</f>
        <v>118506.585099</v>
      </c>
      <c r="K17" s="51">
        <f t="shared" si="11"/>
        <v>0.11495151469671787</v>
      </c>
      <c r="L17" s="62">
        <f t="shared" si="12"/>
        <v>123680</v>
      </c>
      <c r="M17" s="46">
        <f t="shared" si="13"/>
        <v>3.0523198420533069</v>
      </c>
      <c r="O17" s="62">
        <f t="shared" si="14"/>
        <v>-80697.203601999994</v>
      </c>
      <c r="P17" s="46">
        <f t="shared" si="15"/>
        <v>-0.66572401609723775</v>
      </c>
      <c r="R17" s="62">
        <f t="shared" si="16"/>
        <v>-7222.7963980000059</v>
      </c>
      <c r="S17" s="46">
        <f t="shared" si="17"/>
        <v>-5.6234789769542243E-2</v>
      </c>
    </row>
    <row r="18" spans="1:20" x14ac:dyDescent="0.3">
      <c r="A18" s="50" t="str">
        <f>'合并-bs'!A52</f>
        <v>应付账款</v>
      </c>
      <c r="B18" s="50">
        <f>'合并-bs'!B52</f>
        <v>121184.98126500001</v>
      </c>
      <c r="C18" s="51">
        <f t="shared" si="7"/>
        <v>5.5606962517276821E-2</v>
      </c>
      <c r="D18" s="50">
        <f>'合并-bs'!C52</f>
        <v>106824.072833</v>
      </c>
      <c r="E18" s="51">
        <f t="shared" si="8"/>
        <v>5.7393340726410134E-2</v>
      </c>
      <c r="F18" s="50">
        <f>'合并-bs'!D52</f>
        <v>74314.623949000001</v>
      </c>
      <c r="G18" s="51">
        <f t="shared" si="9"/>
        <v>5.808280038661829E-2</v>
      </c>
      <c r="H18" s="50">
        <f>'合并-bs'!E52</f>
        <v>37872.314405000005</v>
      </c>
      <c r="I18" s="51">
        <f t="shared" si="10"/>
        <v>2.5578511600906292E-2</v>
      </c>
      <c r="J18" s="50">
        <f>'合并-bs'!F52</f>
        <v>10450.573596</v>
      </c>
      <c r="K18" s="51">
        <f t="shared" si="11"/>
        <v>1.0137067600978933E-2</v>
      </c>
      <c r="L18" s="62">
        <f t="shared" si="12"/>
        <v>14360.908432000011</v>
      </c>
      <c r="M18" s="46">
        <f t="shared" si="13"/>
        <v>0.13443513293535136</v>
      </c>
      <c r="O18" s="62">
        <f t="shared" si="14"/>
        <v>32509.448883999998</v>
      </c>
      <c r="P18" s="46">
        <f t="shared" si="15"/>
        <v>0.43745695203019935</v>
      </c>
      <c r="R18" s="62">
        <f t="shared" si="16"/>
        <v>36442.309543999996</v>
      </c>
      <c r="S18" s="46">
        <f t="shared" si="17"/>
        <v>0.96224141873908775</v>
      </c>
    </row>
    <row r="19" spans="1:20" x14ac:dyDescent="0.3">
      <c r="A19" s="50" t="str">
        <f>'合并-bs'!A53</f>
        <v>预收款项</v>
      </c>
      <c r="B19" s="50">
        <f>'合并-bs'!B53</f>
        <v>469.44040000000001</v>
      </c>
      <c r="C19" s="51">
        <f t="shared" si="7"/>
        <v>2.1540750722082012E-4</v>
      </c>
      <c r="D19" s="50">
        <f>'合并-bs'!C53</f>
        <v>520.80111399999998</v>
      </c>
      <c r="E19" s="51">
        <f t="shared" si="8"/>
        <v>2.7981067369734489E-4</v>
      </c>
      <c r="F19" s="50">
        <f>'合并-bs'!D53</f>
        <v>400.64884700000005</v>
      </c>
      <c r="G19" s="51">
        <f t="shared" si="9"/>
        <v>3.1313899968598191E-4</v>
      </c>
      <c r="H19" s="50">
        <f>'合并-bs'!E53</f>
        <v>366.00184200000001</v>
      </c>
      <c r="I19" s="51">
        <f t="shared" si="10"/>
        <v>2.471932996076444E-4</v>
      </c>
      <c r="J19" s="50">
        <f>'合并-bs'!F53</f>
        <v>8927.4658870000003</v>
      </c>
      <c r="K19" s="51">
        <f t="shared" si="11"/>
        <v>8.6596514890427603E-3</v>
      </c>
      <c r="L19" s="62">
        <f t="shared" si="12"/>
        <v>-51.360713999999973</v>
      </c>
      <c r="M19" s="46">
        <f t="shared" si="13"/>
        <v>-9.8618671541474426E-2</v>
      </c>
      <c r="O19" s="62">
        <f t="shared" si="14"/>
        <v>120.15226699999994</v>
      </c>
      <c r="P19" s="46">
        <f t="shared" si="15"/>
        <v>0.29989420386376381</v>
      </c>
      <c r="R19" s="62">
        <f t="shared" si="16"/>
        <v>34.647005000000036</v>
      </c>
      <c r="S19" s="46">
        <f t="shared" si="17"/>
        <v>9.4663471666353069E-2</v>
      </c>
    </row>
    <row r="20" spans="1:20" x14ac:dyDescent="0.3">
      <c r="A20" s="50" t="str">
        <f>'合并-bs'!A54</f>
        <v>合同负债</v>
      </c>
      <c r="B20" s="50">
        <f>'合并-bs'!B54</f>
        <v>23239.653619999997</v>
      </c>
      <c r="C20" s="51">
        <f t="shared" si="7"/>
        <v>1.066375168170338E-2</v>
      </c>
      <c r="D20" s="50">
        <f>'合并-bs'!C54</f>
        <v>17826.829105000001</v>
      </c>
      <c r="E20" s="51">
        <f t="shared" si="8"/>
        <v>9.5778156529778211E-3</v>
      </c>
      <c r="F20" s="50">
        <f>'合并-bs'!D54</f>
        <v>20394.641284999998</v>
      </c>
      <c r="G20" s="51">
        <f t="shared" si="9"/>
        <v>1.5940037313870836E-2</v>
      </c>
      <c r="H20" s="50">
        <f>'合并-bs'!E54</f>
        <v>31442.350245999998</v>
      </c>
      <c r="I20" s="51">
        <f t="shared" si="10"/>
        <v>2.1235790132247391E-2</v>
      </c>
      <c r="J20" s="50">
        <f>'合并-bs'!F54</f>
        <v>0</v>
      </c>
      <c r="K20" s="51">
        <f t="shared" si="11"/>
        <v>0</v>
      </c>
      <c r="L20" s="62">
        <f t="shared" si="12"/>
        <v>5412.8245149999966</v>
      </c>
      <c r="M20" s="46">
        <f t="shared" si="13"/>
        <v>0.30363361218747692</v>
      </c>
      <c r="O20" s="62">
        <f t="shared" si="14"/>
        <v>-2567.8121799999972</v>
      </c>
      <c r="P20" s="46">
        <f t="shared" si="15"/>
        <v>-0.12590621938953106</v>
      </c>
      <c r="R20" s="62">
        <f t="shared" si="16"/>
        <v>-11047.708961</v>
      </c>
      <c r="S20" s="46">
        <f t="shared" si="17"/>
        <v>-0.35136396848723028</v>
      </c>
    </row>
    <row r="21" spans="1:20" x14ac:dyDescent="0.3">
      <c r="A21" s="50" t="str">
        <f>'合并-bs'!A55</f>
        <v>应付职工薪酬</v>
      </c>
      <c r="B21" s="50">
        <f>'合并-bs'!B55</f>
        <v>727.50698299999999</v>
      </c>
      <c r="C21" s="51">
        <f t="shared" si="7"/>
        <v>3.3382398637562838E-4</v>
      </c>
      <c r="D21" s="50">
        <f>'合并-bs'!C55</f>
        <v>1361.9093720000001</v>
      </c>
      <c r="E21" s="51">
        <f t="shared" si="8"/>
        <v>7.3171268004247766E-4</v>
      </c>
      <c r="F21" s="50">
        <f>'合并-bs'!D55</f>
        <v>1222.144395</v>
      </c>
      <c r="G21" s="51">
        <f t="shared" si="9"/>
        <v>9.5520323142756858E-4</v>
      </c>
      <c r="H21" s="50">
        <f>'合并-bs'!E55</f>
        <v>1072.9880410000001</v>
      </c>
      <c r="I21" s="51">
        <f t="shared" si="10"/>
        <v>7.2468338641402908E-4</v>
      </c>
      <c r="J21" s="50">
        <f>'合并-bs'!F55</f>
        <v>1393.4309020000001</v>
      </c>
      <c r="K21" s="51">
        <f t="shared" si="11"/>
        <v>1.3516294700104852E-3</v>
      </c>
      <c r="L21" s="62">
        <f t="shared" si="12"/>
        <v>-634.40238900000008</v>
      </c>
      <c r="M21" s="46">
        <f t="shared" si="13"/>
        <v>-0.4658183591675879</v>
      </c>
      <c r="O21" s="62">
        <f t="shared" si="14"/>
        <v>139.76497700000004</v>
      </c>
      <c r="P21" s="46">
        <f t="shared" si="15"/>
        <v>0.11436044510927044</v>
      </c>
      <c r="R21" s="62">
        <f t="shared" si="16"/>
        <v>149.15635399999996</v>
      </c>
      <c r="S21" s="46">
        <f t="shared" si="17"/>
        <v>0.13901026693735533</v>
      </c>
    </row>
    <row r="22" spans="1:20" x14ac:dyDescent="0.3">
      <c r="A22" s="50" t="str">
        <f>'合并-bs'!A56</f>
        <v>应交税费</v>
      </c>
      <c r="B22" s="50">
        <f>'合并-bs'!B56</f>
        <v>34975.377783999997</v>
      </c>
      <c r="C22" s="51">
        <f t="shared" si="7"/>
        <v>1.6048808203465E-2</v>
      </c>
      <c r="D22" s="50">
        <f>'合并-bs'!C56</f>
        <v>35225.236494999997</v>
      </c>
      <c r="E22" s="51">
        <f t="shared" si="8"/>
        <v>1.8925453286980198E-2</v>
      </c>
      <c r="F22" s="50">
        <f>'合并-bs'!D56</f>
        <v>27279.129649000002</v>
      </c>
      <c r="G22" s="51">
        <f t="shared" si="9"/>
        <v>2.1320813561687524E-2</v>
      </c>
      <c r="H22" s="50">
        <f>'合并-bs'!E56</f>
        <v>16258.76175</v>
      </c>
      <c r="I22" s="51">
        <f t="shared" si="10"/>
        <v>1.0980974692791459E-2</v>
      </c>
      <c r="J22" s="50">
        <f>'合并-bs'!F56</f>
        <v>13625.813128</v>
      </c>
      <c r="K22" s="51">
        <f t="shared" si="11"/>
        <v>1.3217053353866665E-2</v>
      </c>
      <c r="L22" s="62">
        <f t="shared" si="12"/>
        <v>-249.85871100000077</v>
      </c>
      <c r="M22" s="46">
        <f t="shared" si="13"/>
        <v>-7.0931734137673324E-3</v>
      </c>
      <c r="O22" s="62">
        <f t="shared" si="14"/>
        <v>7946.1068459999951</v>
      </c>
      <c r="P22" s="46">
        <f t="shared" si="15"/>
        <v>0.29128886985187535</v>
      </c>
      <c r="R22" s="62">
        <f t="shared" si="16"/>
        <v>11020.367899000003</v>
      </c>
      <c r="S22" s="46">
        <f t="shared" si="17"/>
        <v>0.6778110208177448</v>
      </c>
    </row>
    <row r="23" spans="1:20" x14ac:dyDescent="0.3">
      <c r="A23" s="50" t="str">
        <f>'合并-bs'!A57</f>
        <v>其他应付款</v>
      </c>
      <c r="B23" s="50">
        <f>'合并-bs'!B57</f>
        <v>192675.49462099999</v>
      </c>
      <c r="C23" s="51">
        <f t="shared" si="7"/>
        <v>8.8411112462515248E-2</v>
      </c>
      <c r="D23" s="50">
        <f>'合并-bs'!C57</f>
        <v>198101.403254</v>
      </c>
      <c r="E23" s="51">
        <f t="shared" si="8"/>
        <v>0.10643388736086908</v>
      </c>
      <c r="F23" s="50">
        <f>'合并-bs'!D57</f>
        <v>139714.55822599999</v>
      </c>
      <c r="G23" s="51">
        <f t="shared" si="9"/>
        <v>0.10919806042636261</v>
      </c>
      <c r="H23" s="50">
        <f>'合并-bs'!E57</f>
        <v>55580.825785000001</v>
      </c>
      <c r="I23" s="51">
        <f t="shared" si="10"/>
        <v>3.7538629985123931E-2</v>
      </c>
      <c r="J23" s="50">
        <f>'合并-bs'!F57</f>
        <v>114238.177631</v>
      </c>
      <c r="K23" s="51">
        <f t="shared" si="11"/>
        <v>0.11081115487300439</v>
      </c>
      <c r="L23" s="62">
        <f t="shared" si="12"/>
        <v>-5425.9086330000137</v>
      </c>
      <c r="M23" s="46">
        <f t="shared" si="13"/>
        <v>-2.7389551733982758E-2</v>
      </c>
      <c r="O23" s="62">
        <f t="shared" si="14"/>
        <v>58386.845028000011</v>
      </c>
      <c r="P23" s="46">
        <f t="shared" si="15"/>
        <v>0.41790093866635142</v>
      </c>
      <c r="R23" s="62">
        <f t="shared" si="16"/>
        <v>84133.732441</v>
      </c>
      <c r="S23" s="46">
        <f t="shared" si="17"/>
        <v>1.5137186476222846</v>
      </c>
    </row>
    <row r="24" spans="1:20" s="44" customFormat="1" x14ac:dyDescent="0.3">
      <c r="A24" s="50" t="str">
        <f>'合并-bs'!A58</f>
        <v>担保业务准备金</v>
      </c>
      <c r="B24" s="50">
        <f>'合并-bs'!B58</f>
        <v>0</v>
      </c>
      <c r="C24" s="51">
        <f t="shared" si="7"/>
        <v>0</v>
      </c>
      <c r="D24" s="50">
        <f>'合并-bs'!C58</f>
        <v>0</v>
      </c>
      <c r="E24" s="51">
        <f t="shared" si="8"/>
        <v>0</v>
      </c>
      <c r="F24" s="50">
        <f>'合并-bs'!D58</f>
        <v>0</v>
      </c>
      <c r="G24" s="51">
        <f t="shared" si="9"/>
        <v>0</v>
      </c>
      <c r="H24" s="50">
        <f>'合并-bs'!E58</f>
        <v>0</v>
      </c>
      <c r="I24" s="51">
        <f t="shared" si="10"/>
        <v>0</v>
      </c>
      <c r="J24" s="50">
        <f>'合并-bs'!F58</f>
        <v>0</v>
      </c>
      <c r="K24" s="51">
        <f t="shared" si="11"/>
        <v>0</v>
      </c>
      <c r="L24" s="62">
        <f t="shared" si="12"/>
        <v>0</v>
      </c>
      <c r="M24" s="46" t="e">
        <f t="shared" si="13"/>
        <v>#DIV/0!</v>
      </c>
      <c r="N24" s="45"/>
      <c r="O24" s="62">
        <f t="shared" si="14"/>
        <v>0</v>
      </c>
      <c r="P24" s="46" t="e">
        <f t="shared" si="15"/>
        <v>#DIV/0!</v>
      </c>
      <c r="Q24" s="45"/>
      <c r="R24" s="62">
        <f t="shared" si="16"/>
        <v>0</v>
      </c>
      <c r="S24" s="46" t="e">
        <f t="shared" si="17"/>
        <v>#DIV/0!</v>
      </c>
      <c r="T24" s="45"/>
    </row>
    <row r="25" spans="1:20" x14ac:dyDescent="0.3">
      <c r="A25" s="50" t="str">
        <f>'合并-bs'!A59</f>
        <v>持有待售负债</v>
      </c>
      <c r="B25" s="50">
        <f>'合并-bs'!B59</f>
        <v>0</v>
      </c>
      <c r="C25" s="51">
        <f t="shared" si="7"/>
        <v>0</v>
      </c>
      <c r="D25" s="50">
        <f>'合并-bs'!C59</f>
        <v>0</v>
      </c>
      <c r="E25" s="51">
        <f t="shared" si="8"/>
        <v>0</v>
      </c>
      <c r="F25" s="50">
        <f>'合并-bs'!D59</f>
        <v>0</v>
      </c>
      <c r="G25" s="51">
        <f t="shared" si="9"/>
        <v>0</v>
      </c>
      <c r="H25" s="50">
        <f>'合并-bs'!E59</f>
        <v>0</v>
      </c>
      <c r="I25" s="51">
        <f t="shared" si="10"/>
        <v>0</v>
      </c>
      <c r="J25" s="50">
        <f>'合并-bs'!F59</f>
        <v>0</v>
      </c>
      <c r="K25" s="51">
        <f t="shared" si="11"/>
        <v>0</v>
      </c>
      <c r="L25" s="62">
        <f t="shared" si="12"/>
        <v>0</v>
      </c>
      <c r="M25" s="46" t="e">
        <f t="shared" si="13"/>
        <v>#DIV/0!</v>
      </c>
      <c r="O25" s="62">
        <f t="shared" si="14"/>
        <v>0</v>
      </c>
      <c r="P25" s="46" t="e">
        <f t="shared" si="15"/>
        <v>#DIV/0!</v>
      </c>
      <c r="R25" s="62">
        <f t="shared" si="16"/>
        <v>0</v>
      </c>
      <c r="S25" s="46" t="e">
        <f t="shared" si="17"/>
        <v>#DIV/0!</v>
      </c>
    </row>
    <row r="26" spans="1:20" x14ac:dyDescent="0.3">
      <c r="A26" s="50" t="str">
        <f>'合并-bs'!A60</f>
        <v>一年内到期的非流动负债</v>
      </c>
      <c r="B26" s="50">
        <f>'合并-bs'!B60</f>
        <v>772420.26084499992</v>
      </c>
      <c r="C26" s="51">
        <f t="shared" si="7"/>
        <v>0.35443290120636628</v>
      </c>
      <c r="D26" s="50">
        <f>'合并-bs'!C60</f>
        <v>882339.84503600001</v>
      </c>
      <c r="E26" s="51">
        <f t="shared" si="8"/>
        <v>0.47405448996319555</v>
      </c>
      <c r="F26" s="50">
        <f>'合并-bs'!D60</f>
        <v>429194.06271100004</v>
      </c>
      <c r="G26" s="51">
        <f t="shared" si="9"/>
        <v>0.33544936039335493</v>
      </c>
      <c r="H26" s="50">
        <f>'合并-bs'!E60</f>
        <v>366739.71048100002</v>
      </c>
      <c r="I26" s="51">
        <f t="shared" si="10"/>
        <v>0.24769164722113773</v>
      </c>
      <c r="J26" s="50">
        <f>'合并-bs'!F60</f>
        <v>220488.63929499997</v>
      </c>
      <c r="K26" s="51">
        <f t="shared" si="11"/>
        <v>0.2138742166876631</v>
      </c>
      <c r="L26" s="62">
        <f t="shared" si="12"/>
        <v>-109919.58419100009</v>
      </c>
      <c r="M26" s="46">
        <f t="shared" si="13"/>
        <v>-0.1245773777636839</v>
      </c>
      <c r="O26" s="62">
        <f t="shared" si="14"/>
        <v>453145.78232499998</v>
      </c>
      <c r="P26" s="46">
        <f t="shared" si="15"/>
        <v>1.0558062696923372</v>
      </c>
      <c r="R26" s="62">
        <f t="shared" si="16"/>
        <v>62454.352230000019</v>
      </c>
      <c r="S26" s="46">
        <f t="shared" si="17"/>
        <v>0.17029612677636566</v>
      </c>
    </row>
    <row r="27" spans="1:20" x14ac:dyDescent="0.3">
      <c r="A27" s="50" t="str">
        <f>'合并-bs'!A61</f>
        <v>其他流动负债</v>
      </c>
      <c r="B27" s="50">
        <f>'合并-bs'!B61</f>
        <v>541161.83429499995</v>
      </c>
      <c r="C27" s="51">
        <f t="shared" si="7"/>
        <v>0.24831761759007631</v>
      </c>
      <c r="D27" s="50">
        <f>'合并-bs'!C61</f>
        <v>291857.77127099998</v>
      </c>
      <c r="E27" s="51">
        <f t="shared" si="8"/>
        <v>0.15680634585421432</v>
      </c>
      <c r="F27" s="50">
        <f>'合并-bs'!D61</f>
        <v>191936.04471400002</v>
      </c>
      <c r="G27" s="51">
        <f t="shared" si="9"/>
        <v>0.15001331339267737</v>
      </c>
      <c r="H27" s="50">
        <f>'合并-bs'!E61</f>
        <v>619261.78961500002</v>
      </c>
      <c r="I27" s="51">
        <f t="shared" si="10"/>
        <v>0.41824206200543312</v>
      </c>
      <c r="J27" s="50">
        <f>'合并-bs'!F61</f>
        <v>426189</v>
      </c>
      <c r="K27" s="51">
        <f t="shared" si="11"/>
        <v>0.41340378727606164</v>
      </c>
      <c r="L27" s="62">
        <f t="shared" si="12"/>
        <v>249304.06302399997</v>
      </c>
      <c r="M27" s="46">
        <f t="shared" si="13"/>
        <v>0.85419710408366201</v>
      </c>
      <c r="O27" s="62">
        <f t="shared" si="14"/>
        <v>99921.726556999958</v>
      </c>
      <c r="P27" s="46">
        <f t="shared" si="15"/>
        <v>0.52059907093475477</v>
      </c>
      <c r="R27" s="62">
        <f t="shared" si="16"/>
        <v>-427325.744901</v>
      </c>
      <c r="S27" s="46">
        <f t="shared" si="17"/>
        <v>-0.69005669664629532</v>
      </c>
    </row>
    <row r="28" spans="1:20" x14ac:dyDescent="0.3">
      <c r="A28" s="50" t="str">
        <f>'合并-bs'!A62</f>
        <v>流动负债合计</v>
      </c>
      <c r="B28" s="50">
        <f>SUM(B13:B27)</f>
        <v>2179313.0892079999</v>
      </c>
      <c r="C28" s="50">
        <f t="shared" ref="C28:K28" si="18">SUM(C13:C27)</f>
        <v>1</v>
      </c>
      <c r="D28" s="50">
        <f t="shared" si="18"/>
        <v>1861262.499812</v>
      </c>
      <c r="E28" s="50">
        <f t="shared" si="18"/>
        <v>1</v>
      </c>
      <c r="F28" s="50">
        <f t="shared" si="18"/>
        <v>1279460.0717310002</v>
      </c>
      <c r="G28" s="50">
        <f t="shared" si="18"/>
        <v>1</v>
      </c>
      <c r="H28" s="50">
        <f t="shared" si="18"/>
        <v>1480630.108425</v>
      </c>
      <c r="I28" s="50">
        <f t="shared" si="18"/>
        <v>1</v>
      </c>
      <c r="J28" s="50">
        <f t="shared" si="18"/>
        <v>1030926.694717</v>
      </c>
      <c r="K28" s="50">
        <f t="shared" si="18"/>
        <v>1</v>
      </c>
      <c r="L28" s="62">
        <f t="shared" si="12"/>
        <v>318050.58939599991</v>
      </c>
      <c r="M28" s="46">
        <f t="shared" si="13"/>
        <v>0.17087895416585525</v>
      </c>
      <c r="O28" s="62">
        <f t="shared" si="14"/>
        <v>581802.42808099976</v>
      </c>
      <c r="P28" s="46">
        <f t="shared" si="15"/>
        <v>0.45472495854745254</v>
      </c>
      <c r="R28" s="62">
        <f t="shared" si="16"/>
        <v>-201170.03669399978</v>
      </c>
      <c r="S28" s="46">
        <f t="shared" si="17"/>
        <v>-0.13586785487429515</v>
      </c>
    </row>
    <row r="29" spans="1:20" x14ac:dyDescent="0.3">
      <c r="A29" s="58" t="s">
        <v>104</v>
      </c>
      <c r="B29" s="59">
        <f>B3-B28</f>
        <v>0</v>
      </c>
      <c r="C29" s="60"/>
      <c r="D29" s="59">
        <f>D3-D28</f>
        <v>0</v>
      </c>
      <c r="E29" s="60"/>
      <c r="F29" s="59">
        <f>F3-F28</f>
        <v>0</v>
      </c>
      <c r="G29" s="60"/>
      <c r="H29" s="59">
        <f>H3-H28</f>
        <v>0</v>
      </c>
      <c r="I29" s="60"/>
      <c r="J29" s="59">
        <f>J3-J28</f>
        <v>0</v>
      </c>
      <c r="K29" s="60"/>
    </row>
    <row r="31" spans="1:20" x14ac:dyDescent="0.3">
      <c r="A31" s="459" t="s">
        <v>1124</v>
      </c>
      <c r="B31" s="459"/>
      <c r="C31" s="459"/>
      <c r="D31" s="459"/>
      <c r="E31" s="459"/>
      <c r="F31" s="459"/>
      <c r="G31" s="459"/>
      <c r="H31" s="459"/>
      <c r="I31" s="459"/>
      <c r="J31" s="459"/>
      <c r="K31" s="459"/>
      <c r="L31" s="458" t="s">
        <v>1125</v>
      </c>
      <c r="M31" s="458"/>
      <c r="N31" s="458"/>
      <c r="O31" s="458"/>
      <c r="P31" s="458"/>
      <c r="Q31" s="458"/>
      <c r="R31" s="458"/>
      <c r="S31" s="458"/>
      <c r="T31" s="458"/>
    </row>
    <row r="32" spans="1:20" x14ac:dyDescent="0.3">
      <c r="A32" s="425"/>
      <c r="B32" s="425"/>
      <c r="C32" s="425"/>
      <c r="D32" s="425"/>
      <c r="E32" s="425"/>
      <c r="F32" s="425"/>
      <c r="G32" s="425"/>
      <c r="H32" s="425"/>
      <c r="I32" s="425"/>
      <c r="J32" s="425"/>
      <c r="K32" s="425"/>
      <c r="L32" s="458"/>
      <c r="M32" s="458"/>
      <c r="N32" s="458"/>
      <c r="O32" s="458"/>
      <c r="P32" s="458"/>
      <c r="Q32" s="458"/>
      <c r="R32" s="458"/>
      <c r="S32" s="458"/>
      <c r="T32" s="458"/>
    </row>
    <row r="33" spans="1:20" x14ac:dyDescent="0.3">
      <c r="A33" s="460" t="s">
        <v>278</v>
      </c>
      <c r="B33" s="460" t="str">
        <f>B11</f>
        <v>2024年9月末</v>
      </c>
      <c r="C33" s="460"/>
      <c r="D33" s="460" t="str">
        <f>D11</f>
        <v>2023年末</v>
      </c>
      <c r="E33" s="460"/>
      <c r="F33" s="460" t="str">
        <f>F11</f>
        <v>2022年末</v>
      </c>
      <c r="G33" s="460"/>
      <c r="H33" s="460" t="str">
        <f>H11</f>
        <v>2021年末</v>
      </c>
      <c r="I33" s="460"/>
      <c r="J33" s="460" t="str">
        <f>J11</f>
        <v>2020年末</v>
      </c>
      <c r="K33" s="460"/>
      <c r="L33" s="461" t="str">
        <f>B33&amp;"较"&amp;D33</f>
        <v>2024年9月末较2023年末</v>
      </c>
      <c r="M33" s="461"/>
      <c r="N33" s="461"/>
      <c r="O33" s="461" t="str">
        <f t="shared" ref="O33" si="19">D33&amp;"较"&amp;F33</f>
        <v>2023年末较2022年末</v>
      </c>
      <c r="P33" s="461"/>
      <c r="Q33" s="461"/>
      <c r="R33" s="461" t="str">
        <f t="shared" ref="R33" si="20">F33&amp;"较"&amp;H33</f>
        <v>2022年末较2021年末</v>
      </c>
      <c r="S33" s="461"/>
      <c r="T33" s="461"/>
    </row>
    <row r="34" spans="1:20" x14ac:dyDescent="0.3">
      <c r="A34" s="460"/>
      <c r="B34" s="47" t="s">
        <v>729</v>
      </c>
      <c r="C34" s="48" t="s">
        <v>763</v>
      </c>
      <c r="D34" s="47" t="s">
        <v>729</v>
      </c>
      <c r="E34" s="48" t="s">
        <v>763</v>
      </c>
      <c r="F34" s="47" t="s">
        <v>729</v>
      </c>
      <c r="G34" s="48" t="s">
        <v>763</v>
      </c>
      <c r="H34" s="47" t="s">
        <v>729</v>
      </c>
      <c r="I34" s="48" t="s">
        <v>763</v>
      </c>
      <c r="J34" s="47" t="s">
        <v>729</v>
      </c>
      <c r="K34" s="48" t="s">
        <v>763</v>
      </c>
      <c r="L34" s="54" t="s">
        <v>1110</v>
      </c>
      <c r="M34" s="54" t="s">
        <v>740</v>
      </c>
      <c r="N34" s="54" t="s">
        <v>1111</v>
      </c>
      <c r="O34" s="54" t="s">
        <v>1110</v>
      </c>
      <c r="P34" s="54" t="s">
        <v>740</v>
      </c>
      <c r="Q34" s="54" t="s">
        <v>1111</v>
      </c>
      <c r="R34" s="54" t="s">
        <v>1110</v>
      </c>
      <c r="S34" s="54" t="s">
        <v>740</v>
      </c>
      <c r="T34" s="54" t="s">
        <v>1111</v>
      </c>
    </row>
    <row r="35" spans="1:20" x14ac:dyDescent="0.3">
      <c r="A35" s="61" t="str">
        <f>'合并-bs'!A64</f>
        <v>长期借款</v>
      </c>
      <c r="B35" s="50">
        <f>'合并-bs'!B64</f>
        <v>1157759.483004</v>
      </c>
      <c r="C35" s="51">
        <f>B35/B$44</f>
        <v>0.76281462941405043</v>
      </c>
      <c r="D35" s="50">
        <f>'合并-bs'!C64</f>
        <v>921871.16391299991</v>
      </c>
      <c r="E35" s="51">
        <f>D35/D$44</f>
        <v>0.59899419458667302</v>
      </c>
      <c r="F35" s="50">
        <f>'合并-bs'!D64</f>
        <v>787232.25028000004</v>
      </c>
      <c r="G35" s="51">
        <f>F35/F$44</f>
        <v>0.42143380782473955</v>
      </c>
      <c r="H35" s="50">
        <f>'合并-bs'!E64</f>
        <v>542280.72326700005</v>
      </c>
      <c r="I35" s="51">
        <f>H35/H$44</f>
        <v>0.41754174702781011</v>
      </c>
      <c r="J35" s="50">
        <f>'合并-bs'!F64</f>
        <v>380982.57841199997</v>
      </c>
      <c r="K35" s="51">
        <f>J35/J$44</f>
        <v>0.3291000956285301</v>
      </c>
      <c r="L35" s="62">
        <f>B35-D35</f>
        <v>235888.31909100013</v>
      </c>
      <c r="M35" s="46">
        <f>L35/D35</f>
        <v>0.25587991936936394</v>
      </c>
      <c r="O35" s="62">
        <f>D35-F35</f>
        <v>134638.91363299987</v>
      </c>
      <c r="P35" s="46">
        <f>O35/F35</f>
        <v>0.17102819858448631</v>
      </c>
      <c r="R35" s="62">
        <f>F35-H35</f>
        <v>244951.52701299998</v>
      </c>
      <c r="S35" s="46">
        <f>R35/H35</f>
        <v>0.45170613024426914</v>
      </c>
    </row>
    <row r="36" spans="1:20" x14ac:dyDescent="0.3">
      <c r="A36" s="61" t="str">
        <f>'合并-bs'!A65</f>
        <v>应付债券</v>
      </c>
      <c r="B36" s="50">
        <f>'合并-bs'!B65</f>
        <v>180141.94301700001</v>
      </c>
      <c r="C36" s="51">
        <f t="shared" ref="C36:C43" si="21">B36/B$44</f>
        <v>0.11869037699254595</v>
      </c>
      <c r="D36" s="50">
        <f>'合并-bs'!C65</f>
        <v>443600.99190200004</v>
      </c>
      <c r="E36" s="51">
        <f t="shared" ref="E36:E43" si="22">D36/D$44</f>
        <v>0.28823378934462923</v>
      </c>
      <c r="F36" s="50">
        <f>'合并-bs'!D65</f>
        <v>851342.51196000003</v>
      </c>
      <c r="G36" s="51">
        <f t="shared" ref="G36:G43" si="23">F36/F$44</f>
        <v>0.45575434244566382</v>
      </c>
      <c r="H36" s="50">
        <f>'合并-bs'!E65</f>
        <v>574034.50741099997</v>
      </c>
      <c r="I36" s="51">
        <f t="shared" ref="I36:I43" si="24">H36/H$44</f>
        <v>0.44199131703345768</v>
      </c>
      <c r="J36" s="50">
        <f>'合并-bs'!F65</f>
        <v>615633.49983300001</v>
      </c>
      <c r="K36" s="51">
        <f t="shared" ref="K36:K43" si="25">J36/J$44</f>
        <v>0.53179608503795417</v>
      </c>
      <c r="L36" s="62">
        <f t="shared" ref="L36:L44" si="26">B36-D36</f>
        <v>-263459.04888500005</v>
      </c>
      <c r="M36" s="46">
        <f t="shared" ref="M36:M44" si="27">L36/D36</f>
        <v>-0.59390996344571567</v>
      </c>
      <c r="O36" s="62">
        <f t="shared" ref="O36:O44" si="28">D36-F36</f>
        <v>-407741.52005799999</v>
      </c>
      <c r="P36" s="46">
        <f t="shared" ref="P36:P44" si="29">O36/F36</f>
        <v>-0.47893945659929354</v>
      </c>
      <c r="R36" s="62">
        <f t="shared" ref="R36:R44" si="30">F36-H36</f>
        <v>277308.00454900006</v>
      </c>
      <c r="S36" s="46">
        <f t="shared" ref="S36:S44" si="31">R36/H36</f>
        <v>0.48308594861258358</v>
      </c>
    </row>
    <row r="37" spans="1:20" x14ac:dyDescent="0.3">
      <c r="A37" s="61" t="str">
        <f>'合并-bs'!A66</f>
        <v>长期应付款</v>
      </c>
      <c r="B37" s="50">
        <f>'合并-bs'!B66</f>
        <v>126189.91598599999</v>
      </c>
      <c r="C37" s="51">
        <f t="shared" si="21"/>
        <v>8.3142928571735289E-2</v>
      </c>
      <c r="D37" s="50">
        <f>'合并-bs'!C66</f>
        <v>120531.619877</v>
      </c>
      <c r="E37" s="51">
        <f t="shared" si="22"/>
        <v>7.8316519050230529E-2</v>
      </c>
      <c r="F37" s="50">
        <f>'合并-bs'!D66</f>
        <v>169251.796072</v>
      </c>
      <c r="G37" s="51">
        <f t="shared" si="23"/>
        <v>9.060658893792703E-2</v>
      </c>
      <c r="H37" s="50">
        <f>'合并-bs'!E66</f>
        <v>161467.30257200002</v>
      </c>
      <c r="I37" s="51">
        <f t="shared" si="24"/>
        <v>0.12432553235086319</v>
      </c>
      <c r="J37" s="50">
        <f>'合并-bs'!F66</f>
        <v>136733.33214700001</v>
      </c>
      <c r="K37" s="51">
        <f t="shared" si="25"/>
        <v>0.11811288818703612</v>
      </c>
      <c r="L37" s="62">
        <f t="shared" si="26"/>
        <v>5658.2961089999881</v>
      </c>
      <c r="M37" s="46">
        <f t="shared" si="27"/>
        <v>4.6944495683158997E-2</v>
      </c>
      <c r="O37" s="62">
        <f t="shared" si="28"/>
        <v>-48720.176194999993</v>
      </c>
      <c r="P37" s="46">
        <f t="shared" si="29"/>
        <v>-0.28785618425150628</v>
      </c>
      <c r="R37" s="62">
        <f t="shared" si="30"/>
        <v>7784.4934999999823</v>
      </c>
      <c r="S37" s="46">
        <f t="shared" si="31"/>
        <v>4.8210958974364441E-2</v>
      </c>
    </row>
    <row r="38" spans="1:20" x14ac:dyDescent="0.3">
      <c r="A38" s="61" t="str">
        <f>'合并-bs'!A67</f>
        <v>专项应付款</v>
      </c>
      <c r="B38" s="50">
        <f>'合并-bs'!B67</f>
        <v>0</v>
      </c>
      <c r="C38" s="51">
        <f t="shared" si="21"/>
        <v>0</v>
      </c>
      <c r="D38" s="50">
        <f>'合并-bs'!C67</f>
        <v>0</v>
      </c>
      <c r="E38" s="51">
        <f t="shared" si="22"/>
        <v>0</v>
      </c>
      <c r="F38" s="50">
        <f>'合并-bs'!D67</f>
        <v>0</v>
      </c>
      <c r="G38" s="51">
        <f t="shared" si="23"/>
        <v>0</v>
      </c>
      <c r="H38" s="50">
        <f>'合并-bs'!E67</f>
        <v>0</v>
      </c>
      <c r="I38" s="51">
        <f t="shared" si="24"/>
        <v>0</v>
      </c>
      <c r="J38" s="50">
        <f>'合并-bs'!F67</f>
        <v>0</v>
      </c>
      <c r="K38" s="51">
        <f t="shared" si="25"/>
        <v>0</v>
      </c>
      <c r="L38" s="62">
        <f t="shared" si="26"/>
        <v>0</v>
      </c>
      <c r="M38" s="46" t="e">
        <f t="shared" si="27"/>
        <v>#DIV/0!</v>
      </c>
      <c r="O38" s="62">
        <f t="shared" si="28"/>
        <v>0</v>
      </c>
      <c r="P38" s="46" t="e">
        <f t="shared" si="29"/>
        <v>#DIV/0!</v>
      </c>
      <c r="R38" s="62">
        <f t="shared" si="30"/>
        <v>0</v>
      </c>
      <c r="S38" s="46" t="e">
        <f t="shared" si="31"/>
        <v>#DIV/0!</v>
      </c>
    </row>
    <row r="39" spans="1:20" x14ac:dyDescent="0.3">
      <c r="A39" s="61" t="str">
        <f>'合并-bs'!A68</f>
        <v>长期应付职工薪酬</v>
      </c>
      <c r="B39" s="50">
        <f>'合并-bs'!B68</f>
        <v>0</v>
      </c>
      <c r="C39" s="51">
        <f t="shared" si="21"/>
        <v>0</v>
      </c>
      <c r="D39" s="50">
        <f>'合并-bs'!C68</f>
        <v>0</v>
      </c>
      <c r="E39" s="51">
        <f t="shared" si="22"/>
        <v>0</v>
      </c>
      <c r="F39" s="50">
        <f>'合并-bs'!D68</f>
        <v>0</v>
      </c>
      <c r="G39" s="51">
        <f t="shared" si="23"/>
        <v>0</v>
      </c>
      <c r="H39" s="50">
        <f>'合并-bs'!E68</f>
        <v>0</v>
      </c>
      <c r="I39" s="51">
        <f t="shared" si="24"/>
        <v>0</v>
      </c>
      <c r="J39" s="50">
        <f>'合并-bs'!F68</f>
        <v>0</v>
      </c>
      <c r="K39" s="51">
        <f t="shared" si="25"/>
        <v>0</v>
      </c>
      <c r="L39" s="62">
        <f t="shared" si="26"/>
        <v>0</v>
      </c>
      <c r="M39" s="46" t="e">
        <f t="shared" si="27"/>
        <v>#DIV/0!</v>
      </c>
      <c r="O39" s="62">
        <f t="shared" si="28"/>
        <v>0</v>
      </c>
      <c r="P39" s="46" t="e">
        <f t="shared" si="29"/>
        <v>#DIV/0!</v>
      </c>
      <c r="R39" s="62">
        <f t="shared" si="30"/>
        <v>0</v>
      </c>
      <c r="S39" s="46" t="e">
        <f t="shared" si="31"/>
        <v>#DIV/0!</v>
      </c>
    </row>
    <row r="40" spans="1:20" x14ac:dyDescent="0.3">
      <c r="A40" s="61" t="str">
        <f>'合并-bs'!A69</f>
        <v>预计负债</v>
      </c>
      <c r="B40" s="50">
        <f>'合并-bs'!B69</f>
        <v>0</v>
      </c>
      <c r="C40" s="51">
        <f t="shared" si="21"/>
        <v>0</v>
      </c>
      <c r="D40" s="50">
        <f>'合并-bs'!C69</f>
        <v>0</v>
      </c>
      <c r="E40" s="51">
        <f t="shared" si="22"/>
        <v>0</v>
      </c>
      <c r="F40" s="50">
        <f>'合并-bs'!D69</f>
        <v>0</v>
      </c>
      <c r="G40" s="51">
        <f t="shared" si="23"/>
        <v>0</v>
      </c>
      <c r="H40" s="50">
        <f>'合并-bs'!E69</f>
        <v>0</v>
      </c>
      <c r="I40" s="51">
        <f t="shared" si="24"/>
        <v>0</v>
      </c>
      <c r="J40" s="50">
        <f>'合并-bs'!F69</f>
        <v>0</v>
      </c>
      <c r="K40" s="51">
        <f t="shared" si="25"/>
        <v>0</v>
      </c>
      <c r="L40" s="62">
        <f t="shared" si="26"/>
        <v>0</v>
      </c>
      <c r="M40" s="46" t="e">
        <f t="shared" si="27"/>
        <v>#DIV/0!</v>
      </c>
      <c r="O40" s="62">
        <f t="shared" si="28"/>
        <v>0</v>
      </c>
      <c r="P40" s="46" t="e">
        <f t="shared" si="29"/>
        <v>#DIV/0!</v>
      </c>
      <c r="R40" s="62">
        <f t="shared" si="30"/>
        <v>0</v>
      </c>
      <c r="S40" s="46" t="e">
        <f t="shared" si="31"/>
        <v>#DIV/0!</v>
      </c>
    </row>
    <row r="41" spans="1:20" x14ac:dyDescent="0.3">
      <c r="A41" s="61" t="str">
        <f>'合并-bs'!A70</f>
        <v>递延收益</v>
      </c>
      <c r="B41" s="50">
        <f>'合并-bs'!B70</f>
        <v>5711.4180719999995</v>
      </c>
      <c r="C41" s="51">
        <f t="shared" si="21"/>
        <v>3.7630901098016207E-3</v>
      </c>
      <c r="D41" s="50">
        <f>'合并-bs'!C70</f>
        <v>5084.0420720000002</v>
      </c>
      <c r="E41" s="51">
        <f t="shared" si="22"/>
        <v>3.3034026937518966E-3</v>
      </c>
      <c r="F41" s="50">
        <f>'合并-bs'!D70</f>
        <v>9495.7831349999997</v>
      </c>
      <c r="G41" s="51">
        <f t="shared" si="23"/>
        <v>5.0834350897560792E-3</v>
      </c>
      <c r="H41" s="50">
        <f>'合并-bs'!E70</f>
        <v>11126.192959</v>
      </c>
      <c r="I41" s="51">
        <f t="shared" si="24"/>
        <v>8.5668729249334281E-3</v>
      </c>
      <c r="J41" s="50">
        <f>'合并-bs'!F70</f>
        <v>14324.001144999998</v>
      </c>
      <c r="K41" s="51">
        <f t="shared" si="25"/>
        <v>1.2373348320155613E-2</v>
      </c>
      <c r="L41" s="62">
        <f t="shared" si="26"/>
        <v>627.37599999999929</v>
      </c>
      <c r="M41" s="46">
        <f t="shared" si="27"/>
        <v>0.12340102444376454</v>
      </c>
      <c r="O41" s="62">
        <f t="shared" si="28"/>
        <v>-4411.7410629999995</v>
      </c>
      <c r="P41" s="46">
        <f t="shared" si="29"/>
        <v>-0.46460002300800224</v>
      </c>
      <c r="R41" s="62">
        <f t="shared" si="30"/>
        <v>-1630.4098240000003</v>
      </c>
      <c r="S41" s="46">
        <f t="shared" si="31"/>
        <v>-0.14653797844492339</v>
      </c>
    </row>
    <row r="42" spans="1:20" x14ac:dyDescent="0.3">
      <c r="A42" s="61" t="str">
        <f>'合并-bs'!A71</f>
        <v>递延所得税负债</v>
      </c>
      <c r="B42" s="50">
        <f>'合并-bs'!B71</f>
        <v>27844.066425000001</v>
      </c>
      <c r="C42" s="51">
        <f t="shared" si="21"/>
        <v>1.8345659459645468E-2</v>
      </c>
      <c r="D42" s="50">
        <f>'合并-bs'!C71</f>
        <v>27844.066425000001</v>
      </c>
      <c r="E42" s="51">
        <f t="shared" si="22"/>
        <v>1.8091936048272684E-2</v>
      </c>
      <c r="F42" s="50">
        <f>'合并-bs'!D71</f>
        <v>30563.177662999999</v>
      </c>
      <c r="G42" s="51">
        <f t="shared" si="23"/>
        <v>1.6361570981322061E-2</v>
      </c>
      <c r="H42" s="50">
        <f>'合并-bs'!E71</f>
        <v>9837.3922980000007</v>
      </c>
      <c r="I42" s="51">
        <f t="shared" si="24"/>
        <v>7.5745306629357058E-3</v>
      </c>
      <c r="J42" s="50">
        <f>'合并-bs'!F71</f>
        <v>9976.1409019999992</v>
      </c>
      <c r="K42" s="51">
        <f t="shared" si="25"/>
        <v>8.6175828263240061E-3</v>
      </c>
      <c r="L42" s="62">
        <f t="shared" si="26"/>
        <v>0</v>
      </c>
      <c r="M42" s="46">
        <f t="shared" si="27"/>
        <v>0</v>
      </c>
      <c r="O42" s="62">
        <f t="shared" si="28"/>
        <v>-2719.1112379999977</v>
      </c>
      <c r="P42" s="46">
        <f t="shared" si="29"/>
        <v>-8.896690219786188E-2</v>
      </c>
      <c r="R42" s="62">
        <f t="shared" si="30"/>
        <v>20725.785364999996</v>
      </c>
      <c r="S42" s="46">
        <f t="shared" si="31"/>
        <v>2.1068373342408711</v>
      </c>
    </row>
    <row r="43" spans="1:20" x14ac:dyDescent="0.3">
      <c r="A43" s="61" t="str">
        <f>'合并-bs'!A72</f>
        <v>其他非流动负债</v>
      </c>
      <c r="B43" s="50">
        <f>'合并-bs'!B72</f>
        <v>20100</v>
      </c>
      <c r="C43" s="51">
        <f t="shared" si="21"/>
        <v>1.3243315452221124E-2</v>
      </c>
      <c r="D43" s="50">
        <f>'合并-bs'!C72</f>
        <v>20100</v>
      </c>
      <c r="E43" s="51">
        <f t="shared" si="22"/>
        <v>1.3060158276442588E-2</v>
      </c>
      <c r="F43" s="50">
        <f>'合并-bs'!D72</f>
        <v>20100</v>
      </c>
      <c r="G43" s="51">
        <f t="shared" si="23"/>
        <v>1.0760254720591531E-2</v>
      </c>
      <c r="H43" s="50">
        <f>'合并-bs'!E72</f>
        <v>0</v>
      </c>
      <c r="I43" s="51">
        <f t="shared" si="24"/>
        <v>0</v>
      </c>
      <c r="J43" s="50">
        <f>'合并-bs'!F72</f>
        <v>0</v>
      </c>
      <c r="K43" s="51">
        <f t="shared" si="25"/>
        <v>0</v>
      </c>
      <c r="L43" s="62">
        <f t="shared" si="26"/>
        <v>0</v>
      </c>
      <c r="M43" s="46">
        <f t="shared" si="27"/>
        <v>0</v>
      </c>
      <c r="O43" s="62">
        <f t="shared" si="28"/>
        <v>0</v>
      </c>
      <c r="P43" s="46">
        <f t="shared" si="29"/>
        <v>0</v>
      </c>
      <c r="R43" s="62">
        <f t="shared" si="30"/>
        <v>20100</v>
      </c>
      <c r="S43" s="46" t="e">
        <f t="shared" si="31"/>
        <v>#DIV/0!</v>
      </c>
    </row>
    <row r="44" spans="1:20" x14ac:dyDescent="0.3">
      <c r="A44" s="61" t="str">
        <f>'合并-bs'!A73</f>
        <v>非流动负债合计</v>
      </c>
      <c r="B44" s="50">
        <f>SUM(B35:B43)</f>
        <v>1517746.8265040002</v>
      </c>
      <c r="C44" s="50">
        <f t="shared" ref="C44:K44" si="32">SUM(C35:C43)</f>
        <v>0.99999999999999989</v>
      </c>
      <c r="D44" s="50">
        <f t="shared" si="32"/>
        <v>1539031.8841890001</v>
      </c>
      <c r="E44" s="51">
        <f t="shared" si="32"/>
        <v>0.99999999999999978</v>
      </c>
      <c r="F44" s="50">
        <f t="shared" si="32"/>
        <v>1867985.51911</v>
      </c>
      <c r="G44" s="50">
        <f t="shared" si="32"/>
        <v>1</v>
      </c>
      <c r="H44" s="50">
        <f t="shared" si="32"/>
        <v>1298746.1185069999</v>
      </c>
      <c r="I44" s="50">
        <f t="shared" si="32"/>
        <v>1</v>
      </c>
      <c r="J44" s="50">
        <f t="shared" si="32"/>
        <v>1157649.552439</v>
      </c>
      <c r="K44" s="50">
        <f t="shared" si="32"/>
        <v>1</v>
      </c>
      <c r="L44" s="62">
        <f t="shared" si="26"/>
        <v>-21285.057684999891</v>
      </c>
      <c r="M44" s="46">
        <f t="shared" si="27"/>
        <v>-1.3830160312900956E-2</v>
      </c>
      <c r="O44" s="62">
        <f t="shared" si="28"/>
        <v>-328953.63492099987</v>
      </c>
      <c r="P44" s="46">
        <f t="shared" si="29"/>
        <v>-0.1761007414435041</v>
      </c>
      <c r="R44" s="62">
        <f t="shared" si="30"/>
        <v>569239.40060300007</v>
      </c>
      <c r="S44" s="46">
        <f t="shared" si="31"/>
        <v>0.43829921221045176</v>
      </c>
    </row>
    <row r="45" spans="1:20" x14ac:dyDescent="0.3">
      <c r="A45" s="58" t="s">
        <v>104</v>
      </c>
      <c r="B45" s="59">
        <f>B4-B44</f>
        <v>0</v>
      </c>
      <c r="C45" s="60"/>
      <c r="D45" s="59">
        <f>D4-D44</f>
        <v>0</v>
      </c>
      <c r="E45" s="60"/>
      <c r="F45" s="59">
        <f>F4-F44</f>
        <v>0</v>
      </c>
      <c r="G45" s="60"/>
      <c r="H45" s="59">
        <f>H4-H44</f>
        <v>0</v>
      </c>
      <c r="I45" s="60"/>
      <c r="J45" s="59">
        <f>J4-J44</f>
        <v>0</v>
      </c>
      <c r="K45" s="60"/>
      <c r="L45" s="62"/>
      <c r="M45" s="46"/>
      <c r="O45" s="62"/>
      <c r="P45" s="46"/>
      <c r="R45" s="62"/>
      <c r="S45" s="46"/>
    </row>
    <row r="46" spans="1:20" x14ac:dyDescent="0.3">
      <c r="L46" s="62"/>
      <c r="M46" s="46"/>
      <c r="O46" s="62"/>
      <c r="P46" s="46"/>
      <c r="R46" s="62"/>
      <c r="S46" s="46"/>
    </row>
    <row r="47" spans="1:20" x14ac:dyDescent="0.3">
      <c r="A47" s="463" t="s">
        <v>1126</v>
      </c>
      <c r="B47" s="464"/>
      <c r="C47" s="464"/>
      <c r="D47" s="464"/>
      <c r="E47" s="464"/>
      <c r="F47" s="464"/>
      <c r="G47" s="464"/>
      <c r="H47" s="464"/>
      <c r="I47" s="464"/>
      <c r="J47" s="464"/>
      <c r="K47" s="464"/>
      <c r="L47" s="462" t="s">
        <v>1127</v>
      </c>
      <c r="M47" s="462"/>
      <c r="N47" s="462"/>
      <c r="O47" s="462"/>
      <c r="P47" s="462"/>
      <c r="Q47" s="462"/>
      <c r="R47" s="462"/>
      <c r="S47" s="462"/>
      <c r="T47" s="462"/>
    </row>
    <row r="48" spans="1:20" x14ac:dyDescent="0.3">
      <c r="A48" s="465"/>
      <c r="B48" s="465"/>
      <c r="C48" s="465"/>
      <c r="D48" s="465"/>
      <c r="E48" s="465"/>
      <c r="F48" s="465"/>
      <c r="G48" s="465"/>
      <c r="H48" s="465"/>
      <c r="I48" s="465"/>
      <c r="J48" s="465"/>
      <c r="K48" s="465"/>
      <c r="L48" s="462"/>
      <c r="M48" s="462"/>
      <c r="N48" s="462"/>
      <c r="O48" s="462"/>
      <c r="P48" s="462"/>
      <c r="Q48" s="462"/>
      <c r="R48" s="462"/>
      <c r="S48" s="462"/>
      <c r="T48" s="462"/>
    </row>
    <row r="49" spans="1:20" x14ac:dyDescent="0.3">
      <c r="A49" s="460" t="s">
        <v>278</v>
      </c>
      <c r="B49" s="460" t="str">
        <f>B1</f>
        <v>2024年9月末</v>
      </c>
      <c r="C49" s="460"/>
      <c r="D49" s="460" t="str">
        <f>D1</f>
        <v>2023年末</v>
      </c>
      <c r="E49" s="460"/>
      <c r="F49" s="460" t="str">
        <f>F1</f>
        <v>2022年末</v>
      </c>
      <c r="G49" s="460"/>
      <c r="H49" s="460" t="str">
        <f>H1</f>
        <v>2021年末</v>
      </c>
      <c r="I49" s="460"/>
      <c r="J49" s="460" t="str">
        <f>J1</f>
        <v>2020年末</v>
      </c>
      <c r="K49" s="460"/>
      <c r="L49" s="461" t="str">
        <f>B49&amp;"较"&amp;D49</f>
        <v>2024年9月末较2023年末</v>
      </c>
      <c r="M49" s="461"/>
      <c r="N49" s="461"/>
      <c r="O49" s="461" t="str">
        <f t="shared" ref="O49" si="33">D49&amp;"较"&amp;F49</f>
        <v>2023年末较2022年末</v>
      </c>
      <c r="P49" s="461"/>
      <c r="Q49" s="461"/>
      <c r="R49" s="461" t="str">
        <f t="shared" ref="R49" si="34">F49&amp;"较"&amp;H49</f>
        <v>2022年末较2021年末</v>
      </c>
      <c r="S49" s="461"/>
      <c r="T49" s="461"/>
    </row>
    <row r="50" spans="1:20" x14ac:dyDescent="0.3">
      <c r="A50" s="460"/>
      <c r="B50" s="47" t="s">
        <v>729</v>
      </c>
      <c r="C50" s="48" t="s">
        <v>763</v>
      </c>
      <c r="D50" s="47" t="s">
        <v>729</v>
      </c>
      <c r="E50" s="48" t="s">
        <v>763</v>
      </c>
      <c r="F50" s="47" t="s">
        <v>729</v>
      </c>
      <c r="G50" s="48" t="s">
        <v>763</v>
      </c>
      <c r="H50" s="47" t="s">
        <v>729</v>
      </c>
      <c r="I50" s="48" t="s">
        <v>763</v>
      </c>
      <c r="J50" s="47" t="s">
        <v>729</v>
      </c>
      <c r="K50" s="48" t="s">
        <v>763</v>
      </c>
      <c r="L50" s="54" t="s">
        <v>1110</v>
      </c>
      <c r="M50" s="54" t="s">
        <v>740</v>
      </c>
      <c r="N50" s="54" t="s">
        <v>1111</v>
      </c>
      <c r="O50" s="54" t="s">
        <v>1110</v>
      </c>
      <c r="P50" s="54" t="s">
        <v>740</v>
      </c>
      <c r="Q50" s="54" t="s">
        <v>1111</v>
      </c>
      <c r="R50" s="54" t="s">
        <v>1110</v>
      </c>
      <c r="S50" s="54" t="s">
        <v>740</v>
      </c>
      <c r="T50" s="54" t="s">
        <v>1111</v>
      </c>
    </row>
    <row r="51" spans="1:20" hidden="1" x14ac:dyDescent="0.3">
      <c r="A51" s="61" t="str">
        <f>'合并-bs'!A46</f>
        <v>流动负债：</v>
      </c>
      <c r="B51" s="50"/>
      <c r="C51" s="51"/>
      <c r="D51" s="50"/>
      <c r="E51" s="51"/>
      <c r="F51" s="50"/>
      <c r="G51" s="51"/>
      <c r="H51" s="50"/>
      <c r="I51" s="51"/>
      <c r="J51" s="50"/>
      <c r="K51" s="51"/>
    </row>
    <row r="52" spans="1:20" x14ac:dyDescent="0.3">
      <c r="A52" s="61" t="str">
        <f>'合并-bs'!A47</f>
        <v>短期借款</v>
      </c>
      <c r="B52" s="50">
        <f>'合并-bs'!B47</f>
        <v>328258.53939499997</v>
      </c>
      <c r="C52" s="51">
        <f t="shared" ref="C52:C67" si="35">B52/B$79</f>
        <v>8.8789077504518116E-2</v>
      </c>
      <c r="D52" s="50">
        <f>'合并-bs'!C47</f>
        <v>286684.63133200002</v>
      </c>
      <c r="E52" s="51">
        <f t="shared" ref="E52:E67" si="36">D52/D$79</f>
        <v>8.4311709209915195E-2</v>
      </c>
      <c r="F52" s="50">
        <f>'合并-bs'!D47</f>
        <v>273787.01435300004</v>
      </c>
      <c r="G52" s="51">
        <f t="shared" ref="G52:G67" si="37">F52/F$79</f>
        <v>8.6987052341655866E-2</v>
      </c>
      <c r="H52" s="50">
        <f>'合并-bs'!E47</f>
        <v>223595.36625999998</v>
      </c>
      <c r="I52" s="51">
        <f t="shared" ref="I52:I67" si="38">H52/H$79</f>
        <v>8.0448038697810462E-2</v>
      </c>
      <c r="J52" s="50">
        <f>'合并-bs'!F47</f>
        <v>117107.009179</v>
      </c>
      <c r="K52" s="51">
        <f t="shared" ref="K52:K67" si="39">J52/J$79</f>
        <v>5.3508306750188687E-2</v>
      </c>
      <c r="L52" s="62">
        <f>B52-D52</f>
        <v>41573.908062999952</v>
      </c>
      <c r="M52" s="46">
        <f>L52/D52</f>
        <v>0.14501617289297444</v>
      </c>
      <c r="O52" s="62">
        <f>D52-F52</f>
        <v>12897.616978999984</v>
      </c>
      <c r="P52" s="46">
        <f>O52/F52</f>
        <v>4.7108212964296341E-2</v>
      </c>
      <c r="R52" s="62">
        <f>F52-H52</f>
        <v>50191.648093000054</v>
      </c>
      <c r="S52" s="46">
        <f>R52/H52</f>
        <v>0.22447534997051982</v>
      </c>
    </row>
    <row r="53" spans="1:20" hidden="1" x14ac:dyDescent="0.3">
      <c r="A53" s="61" t="str">
        <f>'合并-bs'!A48</f>
        <v>交易性金融负债</v>
      </c>
      <c r="B53" s="50">
        <f>'合并-bs'!B48</f>
        <v>0</v>
      </c>
      <c r="C53" s="51">
        <f t="shared" si="35"/>
        <v>0</v>
      </c>
      <c r="D53" s="50">
        <f>'合并-bs'!C48</f>
        <v>0</v>
      </c>
      <c r="E53" s="51">
        <f t="shared" si="36"/>
        <v>0</v>
      </c>
      <c r="F53" s="50">
        <f>'合并-bs'!D48</f>
        <v>0</v>
      </c>
      <c r="G53" s="51">
        <f t="shared" si="37"/>
        <v>0</v>
      </c>
      <c r="H53" s="50">
        <f>'合并-bs'!E48</f>
        <v>0</v>
      </c>
      <c r="I53" s="51">
        <f t="shared" si="38"/>
        <v>0</v>
      </c>
      <c r="J53" s="50">
        <f>'合并-bs'!F48</f>
        <v>0</v>
      </c>
      <c r="K53" s="51">
        <f t="shared" si="39"/>
        <v>0</v>
      </c>
      <c r="L53" s="62">
        <f t="shared" ref="L53:L80" si="40">B53-D53</f>
        <v>0</v>
      </c>
      <c r="M53" s="46" t="e">
        <f t="shared" ref="M53:M80" si="41">L53/D53</f>
        <v>#DIV/0!</v>
      </c>
      <c r="O53" s="62">
        <f t="shared" ref="O53:O80" si="42">D53-F53</f>
        <v>0</v>
      </c>
      <c r="P53" s="46" t="e">
        <f t="shared" ref="P53:P80" si="43">O53/F53</f>
        <v>#DIV/0!</v>
      </c>
      <c r="R53" s="62">
        <f t="shared" ref="R53:R80" si="44">F53-H53</f>
        <v>0</v>
      </c>
      <c r="S53" s="46" t="e">
        <f t="shared" ref="S53:S80" si="45">R53/H53</f>
        <v>#DIV/0!</v>
      </c>
    </row>
    <row r="54" spans="1:20" hidden="1" x14ac:dyDescent="0.3">
      <c r="A54" s="61" t="str">
        <f>'合并-bs'!A49</f>
        <v>以公允价值计量且其变动计入当期损益的金融负债</v>
      </c>
      <c r="B54" s="50">
        <f>'合并-bs'!B49</f>
        <v>0</v>
      </c>
      <c r="C54" s="51">
        <f t="shared" si="35"/>
        <v>0</v>
      </c>
      <c r="D54" s="50">
        <f>'合并-bs'!C49</f>
        <v>0</v>
      </c>
      <c r="E54" s="51">
        <f t="shared" si="36"/>
        <v>0</v>
      </c>
      <c r="F54" s="50">
        <f>'合并-bs'!D49</f>
        <v>0</v>
      </c>
      <c r="G54" s="51">
        <f t="shared" si="37"/>
        <v>0</v>
      </c>
      <c r="H54" s="50">
        <f>'合并-bs'!E49</f>
        <v>0</v>
      </c>
      <c r="I54" s="51">
        <f t="shared" si="38"/>
        <v>0</v>
      </c>
      <c r="J54" s="50">
        <f>'合并-bs'!F49</f>
        <v>0</v>
      </c>
      <c r="K54" s="51">
        <f t="shared" si="39"/>
        <v>0</v>
      </c>
      <c r="L54" s="62">
        <f t="shared" si="40"/>
        <v>0</v>
      </c>
      <c r="M54" s="46" t="e">
        <f t="shared" si="41"/>
        <v>#DIV/0!</v>
      </c>
      <c r="O54" s="62">
        <f t="shared" si="42"/>
        <v>0</v>
      </c>
      <c r="P54" s="46" t="e">
        <f t="shared" si="43"/>
        <v>#DIV/0!</v>
      </c>
      <c r="R54" s="62">
        <f t="shared" si="44"/>
        <v>0</v>
      </c>
      <c r="S54" s="46" t="e">
        <f t="shared" si="45"/>
        <v>#DIV/0!</v>
      </c>
    </row>
    <row r="55" spans="1:20" hidden="1" x14ac:dyDescent="0.3">
      <c r="A55" s="61" t="str">
        <f>'合并-bs'!A50</f>
        <v>衍生金融负债</v>
      </c>
      <c r="B55" s="50">
        <f>'合并-bs'!B50</f>
        <v>0</v>
      </c>
      <c r="C55" s="51">
        <f t="shared" si="35"/>
        <v>0</v>
      </c>
      <c r="D55" s="50">
        <f>'合并-bs'!C50</f>
        <v>0</v>
      </c>
      <c r="E55" s="51">
        <f t="shared" si="36"/>
        <v>0</v>
      </c>
      <c r="F55" s="50">
        <f>'合并-bs'!D50</f>
        <v>0</v>
      </c>
      <c r="G55" s="51">
        <f t="shared" si="37"/>
        <v>0</v>
      </c>
      <c r="H55" s="50">
        <f>'合并-bs'!E50</f>
        <v>0</v>
      </c>
      <c r="I55" s="51">
        <f t="shared" si="38"/>
        <v>0</v>
      </c>
      <c r="J55" s="50">
        <f>'合并-bs'!F50</f>
        <v>0</v>
      </c>
      <c r="K55" s="51">
        <f t="shared" si="39"/>
        <v>0</v>
      </c>
      <c r="L55" s="62">
        <f t="shared" si="40"/>
        <v>0</v>
      </c>
      <c r="M55" s="46" t="e">
        <f t="shared" si="41"/>
        <v>#DIV/0!</v>
      </c>
      <c r="O55" s="62">
        <f t="shared" si="42"/>
        <v>0</v>
      </c>
      <c r="P55" s="46" t="e">
        <f t="shared" si="43"/>
        <v>#DIV/0!</v>
      </c>
      <c r="R55" s="62">
        <f t="shared" si="44"/>
        <v>0</v>
      </c>
      <c r="S55" s="46" t="e">
        <f t="shared" si="45"/>
        <v>#DIV/0!</v>
      </c>
    </row>
    <row r="56" spans="1:20" x14ac:dyDescent="0.3">
      <c r="A56" s="61" t="str">
        <f>'合并-bs'!A51</f>
        <v>应付票据</v>
      </c>
      <c r="B56" s="50">
        <f>'合并-bs'!B51</f>
        <v>164200</v>
      </c>
      <c r="C56" s="51">
        <f t="shared" si="35"/>
        <v>4.4413670252454504E-2</v>
      </c>
      <c r="D56" s="50">
        <f>'合并-bs'!C51</f>
        <v>40520</v>
      </c>
      <c r="E56" s="51">
        <f t="shared" si="36"/>
        <v>1.1916615276210768E-2</v>
      </c>
      <c r="F56" s="50">
        <f>'合并-bs'!D51</f>
        <v>121217.20360199999</v>
      </c>
      <c r="G56" s="51">
        <f t="shared" si="37"/>
        <v>3.851288294061047E-2</v>
      </c>
      <c r="H56" s="50">
        <f>'合并-bs'!E51</f>
        <v>128440</v>
      </c>
      <c r="I56" s="51">
        <f t="shared" si="38"/>
        <v>4.6211807798967115E-2</v>
      </c>
      <c r="J56" s="50">
        <f>'合并-bs'!F51</f>
        <v>118506.585099</v>
      </c>
      <c r="K56" s="51">
        <f t="shared" si="39"/>
        <v>5.4147798256056354E-2</v>
      </c>
      <c r="L56" s="62">
        <f t="shared" si="40"/>
        <v>123680</v>
      </c>
      <c r="M56" s="46">
        <f t="shared" si="41"/>
        <v>3.0523198420533069</v>
      </c>
      <c r="O56" s="62">
        <f t="shared" si="42"/>
        <v>-80697.203601999994</v>
      </c>
      <c r="P56" s="46">
        <f t="shared" si="43"/>
        <v>-0.66572401609723775</v>
      </c>
      <c r="R56" s="62">
        <f t="shared" si="44"/>
        <v>-7222.7963980000059</v>
      </c>
      <c r="S56" s="46">
        <f t="shared" si="45"/>
        <v>-5.6234789769542243E-2</v>
      </c>
    </row>
    <row r="57" spans="1:20" x14ac:dyDescent="0.3">
      <c r="A57" s="61" t="str">
        <f>'合并-bs'!A52</f>
        <v>应付账款</v>
      </c>
      <c r="B57" s="50">
        <f>'合并-bs'!B52</f>
        <v>121184.98126500001</v>
      </c>
      <c r="C57" s="51">
        <f t="shared" si="35"/>
        <v>3.2778744198864722E-2</v>
      </c>
      <c r="D57" s="50">
        <f>'合并-bs'!C52</f>
        <v>106824.072833</v>
      </c>
      <c r="E57" s="51">
        <f t="shared" si="36"/>
        <v>3.1416124831904729E-2</v>
      </c>
      <c r="F57" s="50">
        <f>'合并-bs'!D52</f>
        <v>74314.623949000001</v>
      </c>
      <c r="G57" s="51">
        <f t="shared" si="37"/>
        <v>2.3611090900269725E-2</v>
      </c>
      <c r="H57" s="50">
        <f>'合并-bs'!E52</f>
        <v>37872.314405000005</v>
      </c>
      <c r="I57" s="51">
        <f t="shared" si="38"/>
        <v>1.3626192106710634E-2</v>
      </c>
      <c r="J57" s="50">
        <f>'合并-bs'!F52</f>
        <v>10450.573596</v>
      </c>
      <c r="K57" s="51">
        <f t="shared" si="39"/>
        <v>4.7750557512356538E-3</v>
      </c>
      <c r="L57" s="62">
        <f t="shared" si="40"/>
        <v>14360.908432000011</v>
      </c>
      <c r="M57" s="46">
        <f t="shared" si="41"/>
        <v>0.13443513293535136</v>
      </c>
      <c r="O57" s="62">
        <f t="shared" si="42"/>
        <v>32509.448883999998</v>
      </c>
      <c r="P57" s="46">
        <f t="shared" si="43"/>
        <v>0.43745695203019935</v>
      </c>
      <c r="R57" s="62">
        <f t="shared" si="44"/>
        <v>36442.309543999996</v>
      </c>
      <c r="S57" s="46">
        <f t="shared" si="45"/>
        <v>0.96224141873908775</v>
      </c>
    </row>
    <row r="58" spans="1:20" x14ac:dyDescent="0.3">
      <c r="A58" s="61" t="str">
        <f>'合并-bs'!A53</f>
        <v>预收款项</v>
      </c>
      <c r="B58" s="50">
        <f>'合并-bs'!B53</f>
        <v>469.44040000000001</v>
      </c>
      <c r="C58" s="51">
        <f t="shared" si="35"/>
        <v>1.2697668166126882E-4</v>
      </c>
      <c r="D58" s="50">
        <f>'合并-bs'!C53</f>
        <v>520.80111399999998</v>
      </c>
      <c r="E58" s="51">
        <f t="shared" si="36"/>
        <v>1.5316353679565613E-4</v>
      </c>
      <c r="F58" s="50">
        <f>'合并-bs'!D53</f>
        <v>400.64884700000005</v>
      </c>
      <c r="G58" s="51">
        <f t="shared" si="37"/>
        <v>1.2729333532115049E-4</v>
      </c>
      <c r="H58" s="50">
        <f>'合并-bs'!E53</f>
        <v>366.00184200000001</v>
      </c>
      <c r="I58" s="51">
        <f t="shared" si="38"/>
        <v>1.3168488614584187E-4</v>
      </c>
      <c r="J58" s="50">
        <f>'合并-bs'!F53</f>
        <v>8927.4658870000003</v>
      </c>
      <c r="K58" s="51">
        <f t="shared" si="39"/>
        <v>4.0791203407242582E-3</v>
      </c>
      <c r="L58" s="62">
        <f t="shared" si="40"/>
        <v>-51.360713999999973</v>
      </c>
      <c r="M58" s="46">
        <f t="shared" si="41"/>
        <v>-9.8618671541474426E-2</v>
      </c>
      <c r="O58" s="62">
        <f t="shared" si="42"/>
        <v>120.15226699999994</v>
      </c>
      <c r="P58" s="46">
        <f t="shared" si="43"/>
        <v>0.29989420386376381</v>
      </c>
      <c r="R58" s="62">
        <f t="shared" si="44"/>
        <v>34.647005000000036</v>
      </c>
      <c r="S58" s="46">
        <f t="shared" si="45"/>
        <v>9.4663471666353069E-2</v>
      </c>
    </row>
    <row r="59" spans="1:20" x14ac:dyDescent="0.3">
      <c r="A59" s="61" t="str">
        <f>'合并-bs'!A54</f>
        <v>合同负债</v>
      </c>
      <c r="B59" s="50">
        <f>'合并-bs'!B54</f>
        <v>23239.653619999997</v>
      </c>
      <c r="C59" s="51">
        <f t="shared" si="35"/>
        <v>6.2859824157121833E-3</v>
      </c>
      <c r="D59" s="50">
        <f>'合并-bs'!C54</f>
        <v>17826.829105000001</v>
      </c>
      <c r="E59" s="51">
        <f t="shared" si="36"/>
        <v>5.2427310967187004E-3</v>
      </c>
      <c r="F59" s="50">
        <f>'合并-bs'!D54</f>
        <v>20394.641284999998</v>
      </c>
      <c r="G59" s="51">
        <f t="shared" si="37"/>
        <v>6.4797438736821922E-3</v>
      </c>
      <c r="H59" s="50">
        <f>'合并-bs'!E54</f>
        <v>31442.350245999998</v>
      </c>
      <c r="I59" s="51">
        <f t="shared" si="38"/>
        <v>1.1312736268420727E-2</v>
      </c>
      <c r="J59" s="50">
        <f>'合并-bs'!F54</f>
        <v>0</v>
      </c>
      <c r="K59" s="51">
        <f t="shared" si="39"/>
        <v>0</v>
      </c>
      <c r="L59" s="62">
        <f t="shared" si="40"/>
        <v>5412.8245149999966</v>
      </c>
      <c r="M59" s="46">
        <f t="shared" si="41"/>
        <v>0.30363361218747692</v>
      </c>
      <c r="O59" s="62">
        <f t="shared" si="42"/>
        <v>-2567.8121799999972</v>
      </c>
      <c r="P59" s="46">
        <f t="shared" si="43"/>
        <v>-0.12590621938953106</v>
      </c>
      <c r="R59" s="62">
        <f t="shared" si="44"/>
        <v>-11047.708961</v>
      </c>
      <c r="S59" s="46">
        <f t="shared" si="45"/>
        <v>-0.35136396848723028</v>
      </c>
    </row>
    <row r="60" spans="1:20" x14ac:dyDescent="0.3">
      <c r="A60" s="61" t="str">
        <f>'合并-bs'!A55</f>
        <v>应付职工薪酬</v>
      </c>
      <c r="B60" s="50">
        <f>'合并-bs'!B55</f>
        <v>727.50698299999999</v>
      </c>
      <c r="C60" s="51">
        <f t="shared" si="35"/>
        <v>1.9677987362557871E-4</v>
      </c>
      <c r="D60" s="50">
        <f>'合并-bs'!C55</f>
        <v>1361.9093720000001</v>
      </c>
      <c r="E60" s="51">
        <f t="shared" si="36"/>
        <v>4.0052690096717213E-4</v>
      </c>
      <c r="F60" s="50">
        <f>'合并-bs'!D55</f>
        <v>1222.144395</v>
      </c>
      <c r="G60" s="51">
        <f t="shared" si="37"/>
        <v>3.8829722698191011E-4</v>
      </c>
      <c r="H60" s="50">
        <f>'合并-bs'!E55</f>
        <v>1072.9880410000001</v>
      </c>
      <c r="I60" s="51">
        <f t="shared" si="38"/>
        <v>3.8605354345439306E-4</v>
      </c>
      <c r="J60" s="50">
        <f>'合并-bs'!F55</f>
        <v>1393.4309020000001</v>
      </c>
      <c r="K60" s="51">
        <f t="shared" si="39"/>
        <v>6.3668373620097939E-4</v>
      </c>
      <c r="L60" s="62">
        <f t="shared" si="40"/>
        <v>-634.40238900000008</v>
      </c>
      <c r="M60" s="46">
        <f t="shared" si="41"/>
        <v>-0.4658183591675879</v>
      </c>
      <c r="O60" s="62">
        <f t="shared" si="42"/>
        <v>139.76497700000004</v>
      </c>
      <c r="P60" s="46">
        <f t="shared" si="43"/>
        <v>0.11436044510927044</v>
      </c>
      <c r="R60" s="62">
        <f t="shared" si="44"/>
        <v>149.15635399999996</v>
      </c>
      <c r="S60" s="46">
        <f t="shared" si="45"/>
        <v>0.13901026693735533</v>
      </c>
    </row>
    <row r="61" spans="1:20" x14ac:dyDescent="0.3">
      <c r="A61" s="61" t="str">
        <f>'合并-bs'!A56</f>
        <v>应交税费</v>
      </c>
      <c r="B61" s="50">
        <f>'合并-bs'!B56</f>
        <v>34975.377783999997</v>
      </c>
      <c r="C61" s="51">
        <f t="shared" si="35"/>
        <v>9.4603221428355595E-3</v>
      </c>
      <c r="D61" s="50">
        <f>'合并-bs'!C56</f>
        <v>35225.236494999997</v>
      </c>
      <c r="E61" s="51">
        <f t="shared" si="36"/>
        <v>1.0359466715805874E-2</v>
      </c>
      <c r="F61" s="50">
        <f>'合并-bs'!D56</f>
        <v>27279.129649000002</v>
      </c>
      <c r="G61" s="51">
        <f t="shared" si="37"/>
        <v>8.6670694891062428E-3</v>
      </c>
      <c r="H61" s="50">
        <f>'合并-bs'!E56</f>
        <v>16258.76175</v>
      </c>
      <c r="I61" s="51">
        <f t="shared" si="38"/>
        <v>5.8497880180644517E-3</v>
      </c>
      <c r="J61" s="50">
        <f>'合并-bs'!F56</f>
        <v>13625.813128</v>
      </c>
      <c r="K61" s="51">
        <f t="shared" si="39"/>
        <v>6.2258800193534056E-3</v>
      </c>
      <c r="L61" s="62">
        <f t="shared" si="40"/>
        <v>-249.85871100000077</v>
      </c>
      <c r="M61" s="46">
        <f t="shared" si="41"/>
        <v>-7.0931734137673324E-3</v>
      </c>
      <c r="O61" s="62">
        <f t="shared" si="42"/>
        <v>7946.1068459999951</v>
      </c>
      <c r="P61" s="46">
        <f t="shared" si="43"/>
        <v>0.29128886985187535</v>
      </c>
      <c r="R61" s="62">
        <f t="shared" si="44"/>
        <v>11020.367899000003</v>
      </c>
      <c r="S61" s="46">
        <f t="shared" si="45"/>
        <v>0.6778110208177448</v>
      </c>
    </row>
    <row r="62" spans="1:20" x14ac:dyDescent="0.3">
      <c r="A62" s="61" t="str">
        <f>'合并-bs'!A57</f>
        <v>其他应付款</v>
      </c>
      <c r="B62" s="50">
        <f>'合并-bs'!B57</f>
        <v>192675.49462099999</v>
      </c>
      <c r="C62" s="51">
        <f t="shared" si="35"/>
        <v>5.2115870181642293E-2</v>
      </c>
      <c r="D62" s="50">
        <f>'合并-bs'!C57</f>
        <v>198101.403254</v>
      </c>
      <c r="E62" s="51">
        <f t="shared" si="36"/>
        <v>5.8260074241248919E-2</v>
      </c>
      <c r="F62" s="50">
        <f>'合并-bs'!D57</f>
        <v>139714.55822599999</v>
      </c>
      <c r="G62" s="51">
        <f t="shared" si="37"/>
        <v>4.4389824762202851E-2</v>
      </c>
      <c r="H62" s="50">
        <f>'合并-bs'!E57</f>
        <v>55580.825785000001</v>
      </c>
      <c r="I62" s="51">
        <f t="shared" si="38"/>
        <v>1.9997589835598687E-2</v>
      </c>
      <c r="J62" s="50">
        <f>'合并-bs'!F57</f>
        <v>114238.177631</v>
      </c>
      <c r="K62" s="51">
        <f t="shared" si="39"/>
        <v>5.2197485821866917E-2</v>
      </c>
      <c r="L62" s="62">
        <f t="shared" si="40"/>
        <v>-5425.9086330000137</v>
      </c>
      <c r="M62" s="46">
        <f t="shared" si="41"/>
        <v>-2.7389551733982758E-2</v>
      </c>
      <c r="O62" s="62">
        <f t="shared" si="42"/>
        <v>58386.845028000011</v>
      </c>
      <c r="P62" s="46">
        <f t="shared" si="43"/>
        <v>0.41790093866635142</v>
      </c>
      <c r="R62" s="62">
        <f t="shared" si="44"/>
        <v>84133.732441</v>
      </c>
      <c r="S62" s="46">
        <f t="shared" si="45"/>
        <v>1.5137186476222846</v>
      </c>
    </row>
    <row r="63" spans="1:20" hidden="1" x14ac:dyDescent="0.3">
      <c r="A63" s="61" t="str">
        <f>'合并-bs'!A58</f>
        <v>担保业务准备金</v>
      </c>
      <c r="B63" s="50">
        <f>'合并-bs'!B58</f>
        <v>0</v>
      </c>
      <c r="C63" s="51">
        <f t="shared" si="35"/>
        <v>0</v>
      </c>
      <c r="D63" s="50">
        <f>'合并-bs'!C58</f>
        <v>0</v>
      </c>
      <c r="E63" s="51">
        <f t="shared" si="36"/>
        <v>0</v>
      </c>
      <c r="F63" s="50">
        <f>'合并-bs'!D58</f>
        <v>0</v>
      </c>
      <c r="G63" s="51">
        <f t="shared" si="37"/>
        <v>0</v>
      </c>
      <c r="H63" s="50">
        <f>'合并-bs'!E58</f>
        <v>0</v>
      </c>
      <c r="I63" s="51">
        <f t="shared" si="38"/>
        <v>0</v>
      </c>
      <c r="J63" s="50">
        <f>'合并-bs'!F58</f>
        <v>0</v>
      </c>
      <c r="K63" s="51">
        <f t="shared" si="39"/>
        <v>0</v>
      </c>
      <c r="L63" s="62">
        <f t="shared" si="40"/>
        <v>0</v>
      </c>
      <c r="M63" s="46" t="e">
        <f t="shared" si="41"/>
        <v>#DIV/0!</v>
      </c>
      <c r="O63" s="62">
        <f t="shared" si="42"/>
        <v>0</v>
      </c>
      <c r="P63" s="46" t="e">
        <f t="shared" si="43"/>
        <v>#DIV/0!</v>
      </c>
      <c r="R63" s="62">
        <f t="shared" si="44"/>
        <v>0</v>
      </c>
      <c r="S63" s="46" t="e">
        <f t="shared" si="45"/>
        <v>#DIV/0!</v>
      </c>
    </row>
    <row r="64" spans="1:20" hidden="1" x14ac:dyDescent="0.3">
      <c r="A64" s="61" t="str">
        <f>'合并-bs'!A59</f>
        <v>持有待售负债</v>
      </c>
      <c r="B64" s="50">
        <f>'合并-bs'!B59</f>
        <v>0</v>
      </c>
      <c r="C64" s="51">
        <f t="shared" si="35"/>
        <v>0</v>
      </c>
      <c r="D64" s="50">
        <f>'合并-bs'!C59</f>
        <v>0</v>
      </c>
      <c r="E64" s="51">
        <f t="shared" si="36"/>
        <v>0</v>
      </c>
      <c r="F64" s="50">
        <f>'合并-bs'!D59</f>
        <v>0</v>
      </c>
      <c r="G64" s="51">
        <f t="shared" si="37"/>
        <v>0</v>
      </c>
      <c r="H64" s="50">
        <f>'合并-bs'!E59</f>
        <v>0</v>
      </c>
      <c r="I64" s="51">
        <f t="shared" si="38"/>
        <v>0</v>
      </c>
      <c r="J64" s="50">
        <f>'合并-bs'!F59</f>
        <v>0</v>
      </c>
      <c r="K64" s="51">
        <f t="shared" si="39"/>
        <v>0</v>
      </c>
      <c r="L64" s="62">
        <f t="shared" si="40"/>
        <v>0</v>
      </c>
      <c r="M64" s="46" t="e">
        <f t="shared" si="41"/>
        <v>#DIV/0!</v>
      </c>
      <c r="O64" s="62">
        <f t="shared" si="42"/>
        <v>0</v>
      </c>
      <c r="P64" s="46" t="e">
        <f t="shared" si="43"/>
        <v>#DIV/0!</v>
      </c>
      <c r="R64" s="62">
        <f t="shared" si="44"/>
        <v>0</v>
      </c>
      <c r="S64" s="46" t="e">
        <f t="shared" si="45"/>
        <v>#DIV/0!</v>
      </c>
    </row>
    <row r="65" spans="1:19" x14ac:dyDescent="0.3">
      <c r="A65" s="61" t="str">
        <f>'合并-bs'!A60</f>
        <v>一年内到期的非流动负债</v>
      </c>
      <c r="B65" s="50">
        <f>'合并-bs'!B60</f>
        <v>772420.26084499992</v>
      </c>
      <c r="C65" s="51">
        <f t="shared" si="35"/>
        <v>0.20892825067895687</v>
      </c>
      <c r="D65" s="50">
        <f>'合并-bs'!C60</f>
        <v>882339.84503600001</v>
      </c>
      <c r="E65" s="51">
        <f t="shared" si="36"/>
        <v>0.2594892516329082</v>
      </c>
      <c r="F65" s="50">
        <f>'合并-bs'!D60</f>
        <v>429194.06271100004</v>
      </c>
      <c r="G65" s="51">
        <f t="shared" si="37"/>
        <v>0.13636266309414391</v>
      </c>
      <c r="H65" s="50">
        <f>'合并-bs'!E60</f>
        <v>366739.71048100002</v>
      </c>
      <c r="I65" s="51">
        <f t="shared" si="38"/>
        <v>0.13195036603080673</v>
      </c>
      <c r="J65" s="50">
        <f>'合并-bs'!F60</f>
        <v>220488.63929499997</v>
      </c>
      <c r="K65" s="51">
        <f t="shared" si="39"/>
        <v>0.10074524000775366</v>
      </c>
      <c r="L65" s="62">
        <f t="shared" si="40"/>
        <v>-109919.58419100009</v>
      </c>
      <c r="M65" s="46">
        <f t="shared" si="41"/>
        <v>-0.1245773777636839</v>
      </c>
      <c r="O65" s="62">
        <f t="shared" si="42"/>
        <v>453145.78232499998</v>
      </c>
      <c r="P65" s="46">
        <f t="shared" si="43"/>
        <v>1.0558062696923372</v>
      </c>
      <c r="R65" s="62">
        <f t="shared" si="44"/>
        <v>62454.352230000019</v>
      </c>
      <c r="S65" s="46">
        <f t="shared" si="45"/>
        <v>0.17029612677636566</v>
      </c>
    </row>
    <row r="66" spans="1:19" x14ac:dyDescent="0.3">
      <c r="A66" s="61" t="str">
        <f>'合并-bs'!A61</f>
        <v>其他流动负债</v>
      </c>
      <c r="B66" s="50">
        <f>'合并-bs'!B61</f>
        <v>541161.83429499995</v>
      </c>
      <c r="C66" s="51">
        <f t="shared" si="35"/>
        <v>0.14637626834099607</v>
      </c>
      <c r="D66" s="50">
        <f>'合并-bs'!C61</f>
        <v>291857.77127099998</v>
      </c>
      <c r="E66" s="51">
        <f t="shared" si="36"/>
        <v>8.5833089230227713E-2</v>
      </c>
      <c r="F66" s="50">
        <f>'合并-bs'!D61</f>
        <v>191936.04471400002</v>
      </c>
      <c r="G66" s="51">
        <f t="shared" si="37"/>
        <v>6.0981529044546422E-2</v>
      </c>
      <c r="H66" s="50">
        <f>'合并-bs'!E61</f>
        <v>619261.78961500002</v>
      </c>
      <c r="I66" s="51">
        <f t="shared" si="38"/>
        <v>0.22280603238035493</v>
      </c>
      <c r="J66" s="50">
        <f>'合并-bs'!F61</f>
        <v>426189</v>
      </c>
      <c r="K66" s="51">
        <f t="shared" si="39"/>
        <v>0.19473344853935154</v>
      </c>
      <c r="L66" s="62">
        <f t="shared" si="40"/>
        <v>249304.06302399997</v>
      </c>
      <c r="M66" s="46">
        <f t="shared" si="41"/>
        <v>0.85419710408366201</v>
      </c>
      <c r="O66" s="62">
        <f t="shared" si="42"/>
        <v>99921.726556999958</v>
      </c>
      <c r="P66" s="46">
        <f t="shared" si="43"/>
        <v>0.52059907093475477</v>
      </c>
      <c r="R66" s="62">
        <f t="shared" si="44"/>
        <v>-427325.744901</v>
      </c>
      <c r="S66" s="46">
        <f t="shared" si="45"/>
        <v>-0.69005669664629532</v>
      </c>
    </row>
    <row r="67" spans="1:19" x14ac:dyDescent="0.3">
      <c r="A67" s="61" t="str">
        <f>'合并-bs'!A62</f>
        <v>流动负债合计</v>
      </c>
      <c r="B67" s="50">
        <f>'合并-bs'!B62</f>
        <v>2179313.0892079999</v>
      </c>
      <c r="C67" s="51">
        <f t="shared" si="35"/>
        <v>0.5894719422712672</v>
      </c>
      <c r="D67" s="50">
        <f>'合并-bs'!C62</f>
        <v>1861262.499812</v>
      </c>
      <c r="E67" s="51">
        <f t="shared" si="36"/>
        <v>0.54738275267270287</v>
      </c>
      <c r="F67" s="50">
        <f>'合并-bs'!D62</f>
        <v>1279460.0717310002</v>
      </c>
      <c r="G67" s="51">
        <f t="shared" si="37"/>
        <v>0.40650744700852082</v>
      </c>
      <c r="H67" s="50">
        <f>'合并-bs'!E62</f>
        <v>1480630.108425</v>
      </c>
      <c r="I67" s="51">
        <f t="shared" si="38"/>
        <v>0.53272028956633399</v>
      </c>
      <c r="J67" s="50">
        <f>'合并-bs'!F62</f>
        <v>1030926.694717</v>
      </c>
      <c r="K67" s="51">
        <f t="shared" si="39"/>
        <v>0.47104901922273146</v>
      </c>
      <c r="L67" s="62">
        <f t="shared" si="40"/>
        <v>318050.58939599991</v>
      </c>
      <c r="M67" s="46">
        <f t="shared" si="41"/>
        <v>0.17087895416585525</v>
      </c>
      <c r="O67" s="62">
        <f t="shared" si="42"/>
        <v>581802.42808099976</v>
      </c>
      <c r="P67" s="46">
        <f t="shared" si="43"/>
        <v>0.45472495854745254</v>
      </c>
      <c r="R67" s="62">
        <f t="shared" si="44"/>
        <v>-201170.03669399978</v>
      </c>
      <c r="S67" s="46">
        <f t="shared" si="45"/>
        <v>-0.13586785487429515</v>
      </c>
    </row>
    <row r="68" spans="1:19" hidden="1" x14ac:dyDescent="0.3">
      <c r="A68" s="61" t="str">
        <f>'合并-bs'!A63</f>
        <v>非流动负债：</v>
      </c>
      <c r="B68" s="50"/>
      <c r="C68" s="51"/>
      <c r="D68" s="50"/>
      <c r="E68" s="51"/>
      <c r="F68" s="50"/>
      <c r="G68" s="51"/>
      <c r="H68" s="50"/>
      <c r="I68" s="51"/>
      <c r="J68" s="50"/>
      <c r="K68" s="51"/>
      <c r="L68" s="62"/>
      <c r="M68" s="46"/>
      <c r="O68" s="62"/>
      <c r="P68" s="46"/>
      <c r="R68" s="62"/>
      <c r="S68" s="46"/>
    </row>
    <row r="69" spans="1:19" x14ac:dyDescent="0.3">
      <c r="A69" s="61" t="str">
        <f>'合并-bs'!A64</f>
        <v>长期借款</v>
      </c>
      <c r="B69" s="50">
        <f>'合并-bs'!B64</f>
        <v>1157759.483004</v>
      </c>
      <c r="C69" s="51">
        <f t="shared" ref="C69:C80" si="46">B69/B$79</f>
        <v>0.31315680822041331</v>
      </c>
      <c r="D69" s="50">
        <f>'合并-bs'!C64</f>
        <v>921871.16391299991</v>
      </c>
      <c r="E69" s="51">
        <f t="shared" ref="E69:E80" si="47">D69/D$79</f>
        <v>0.27111510351885132</v>
      </c>
      <c r="F69" s="50">
        <f>'合并-bs'!D64</f>
        <v>787232.25028000004</v>
      </c>
      <c r="G69" s="51">
        <f t="shared" ref="G69:G80" si="48">F69/F$79</f>
        <v>0.2501178265228251</v>
      </c>
      <c r="H69" s="50">
        <f>'合并-bs'!E64</f>
        <v>542280.72326700005</v>
      </c>
      <c r="I69" s="51">
        <f t="shared" ref="I69:I80" si="49">H69/H$79</f>
        <v>0.19510878664512207</v>
      </c>
      <c r="J69" s="50">
        <f>'合并-bs'!F64</f>
        <v>380982.57841199997</v>
      </c>
      <c r="K69" s="51">
        <f t="shared" ref="K69:K80" si="50">J69/J$79</f>
        <v>0.17407781835660391</v>
      </c>
      <c r="L69" s="62">
        <f t="shared" si="40"/>
        <v>235888.31909100013</v>
      </c>
      <c r="M69" s="46">
        <f t="shared" si="41"/>
        <v>0.25587991936936394</v>
      </c>
      <c r="O69" s="62">
        <f t="shared" si="42"/>
        <v>134638.91363299987</v>
      </c>
      <c r="P69" s="46">
        <f t="shared" si="43"/>
        <v>0.17102819858448631</v>
      </c>
      <c r="R69" s="62">
        <f t="shared" si="44"/>
        <v>244951.52701299998</v>
      </c>
      <c r="S69" s="46">
        <f t="shared" si="45"/>
        <v>0.45170613024426914</v>
      </c>
    </row>
    <row r="70" spans="1:19" x14ac:dyDescent="0.3">
      <c r="A70" s="61" t="str">
        <f>'合并-bs'!A65</f>
        <v>应付债券</v>
      </c>
      <c r="B70" s="50">
        <f>'合并-bs'!B65</f>
        <v>180141.94301700001</v>
      </c>
      <c r="C70" s="51">
        <f t="shared" si="46"/>
        <v>4.8725729937840974E-2</v>
      </c>
      <c r="D70" s="50">
        <f>'合并-bs'!C65</f>
        <v>443600.99190200004</v>
      </c>
      <c r="E70" s="51">
        <f t="shared" si="47"/>
        <v>0.13045958431988211</v>
      </c>
      <c r="F70" s="50">
        <f>'合并-bs'!D65</f>
        <v>851342.51196000003</v>
      </c>
      <c r="G70" s="51">
        <f t="shared" si="48"/>
        <v>0.27048680823502991</v>
      </c>
      <c r="H70" s="50">
        <f>'合并-bs'!E65</f>
        <v>574034.50741099997</v>
      </c>
      <c r="I70" s="51">
        <f t="shared" si="49"/>
        <v>0.2065335746375887</v>
      </c>
      <c r="J70" s="50">
        <f>'合并-bs'!F65</f>
        <v>615633.49983300001</v>
      </c>
      <c r="K70" s="51">
        <f t="shared" si="50"/>
        <v>0.2812940607543376</v>
      </c>
      <c r="L70" s="62">
        <f t="shared" si="40"/>
        <v>-263459.04888500005</v>
      </c>
      <c r="M70" s="46">
        <f t="shared" si="41"/>
        <v>-0.59390996344571567</v>
      </c>
      <c r="O70" s="62">
        <f t="shared" si="42"/>
        <v>-407741.52005799999</v>
      </c>
      <c r="P70" s="46">
        <f t="shared" si="43"/>
        <v>-0.47893945659929354</v>
      </c>
      <c r="R70" s="62">
        <f t="shared" si="44"/>
        <v>277308.00454900006</v>
      </c>
      <c r="S70" s="46">
        <f t="shared" si="45"/>
        <v>0.48308594861258358</v>
      </c>
    </row>
    <row r="71" spans="1:19" x14ac:dyDescent="0.3">
      <c r="A71" s="61" t="str">
        <f>'合并-bs'!A66</f>
        <v>长期应付款</v>
      </c>
      <c r="B71" s="50">
        <f>'合并-bs'!B66</f>
        <v>126189.91598599999</v>
      </c>
      <c r="C71" s="51">
        <f t="shared" si="46"/>
        <v>3.4132504980433256E-2</v>
      </c>
      <c r="D71" s="50">
        <f>'合并-bs'!C66</f>
        <v>120531.619877</v>
      </c>
      <c r="E71" s="51">
        <f t="shared" si="47"/>
        <v>3.5447407272771167E-2</v>
      </c>
      <c r="F71" s="50">
        <f>'合并-bs'!D66</f>
        <v>169251.796072</v>
      </c>
      <c r="G71" s="51">
        <f t="shared" si="48"/>
        <v>5.3774335786619838E-2</v>
      </c>
      <c r="H71" s="50">
        <f>'合并-bs'!E66</f>
        <v>161467.30257200002</v>
      </c>
      <c r="I71" s="51">
        <f t="shared" si="49"/>
        <v>5.8094798756422705E-2</v>
      </c>
      <c r="J71" s="50">
        <f>'合并-bs'!F66</f>
        <v>136733.33214700001</v>
      </c>
      <c r="K71" s="51">
        <f t="shared" si="50"/>
        <v>6.2475928048968621E-2</v>
      </c>
      <c r="L71" s="62">
        <f t="shared" si="40"/>
        <v>5658.2961089999881</v>
      </c>
      <c r="M71" s="46">
        <f t="shared" si="41"/>
        <v>4.6944495683158997E-2</v>
      </c>
      <c r="O71" s="62">
        <f t="shared" si="42"/>
        <v>-48720.176194999993</v>
      </c>
      <c r="P71" s="46">
        <f t="shared" si="43"/>
        <v>-0.28785618425150628</v>
      </c>
      <c r="R71" s="62">
        <f t="shared" si="44"/>
        <v>7784.4934999999823</v>
      </c>
      <c r="S71" s="46">
        <f t="shared" si="45"/>
        <v>4.8210958974364441E-2</v>
      </c>
    </row>
    <row r="72" spans="1:19" hidden="1" x14ac:dyDescent="0.3">
      <c r="A72" s="61" t="str">
        <f>'合并-bs'!A67</f>
        <v>专项应付款</v>
      </c>
      <c r="B72" s="50">
        <f>'合并-bs'!B67</f>
        <v>0</v>
      </c>
      <c r="C72" s="51">
        <f t="shared" si="46"/>
        <v>0</v>
      </c>
      <c r="D72" s="50">
        <f>'合并-bs'!C67</f>
        <v>0</v>
      </c>
      <c r="E72" s="51">
        <f t="shared" si="47"/>
        <v>0</v>
      </c>
      <c r="F72" s="50">
        <f>'合并-bs'!D67</f>
        <v>0</v>
      </c>
      <c r="G72" s="51">
        <f t="shared" si="48"/>
        <v>0</v>
      </c>
      <c r="H72" s="50">
        <f>'合并-bs'!E67</f>
        <v>0</v>
      </c>
      <c r="I72" s="51">
        <f t="shared" si="49"/>
        <v>0</v>
      </c>
      <c r="J72" s="50">
        <f>'合并-bs'!F67</f>
        <v>0</v>
      </c>
      <c r="K72" s="51">
        <f t="shared" si="50"/>
        <v>0</v>
      </c>
      <c r="L72" s="62">
        <f t="shared" si="40"/>
        <v>0</v>
      </c>
      <c r="M72" s="46" t="e">
        <f t="shared" si="41"/>
        <v>#DIV/0!</v>
      </c>
      <c r="O72" s="62">
        <f t="shared" si="42"/>
        <v>0</v>
      </c>
      <c r="P72" s="46" t="e">
        <f t="shared" si="43"/>
        <v>#DIV/0!</v>
      </c>
      <c r="R72" s="62">
        <f t="shared" si="44"/>
        <v>0</v>
      </c>
      <c r="S72" s="46" t="e">
        <f t="shared" si="45"/>
        <v>#DIV/0!</v>
      </c>
    </row>
    <row r="73" spans="1:19" hidden="1" x14ac:dyDescent="0.3">
      <c r="A73" s="61" t="str">
        <f>'合并-bs'!A68</f>
        <v>长期应付职工薪酬</v>
      </c>
      <c r="B73" s="50">
        <f>'合并-bs'!B68</f>
        <v>0</v>
      </c>
      <c r="C73" s="51">
        <f t="shared" si="46"/>
        <v>0</v>
      </c>
      <c r="D73" s="50">
        <f>'合并-bs'!C68</f>
        <v>0</v>
      </c>
      <c r="E73" s="51">
        <f t="shared" si="47"/>
        <v>0</v>
      </c>
      <c r="F73" s="50">
        <f>'合并-bs'!D68</f>
        <v>0</v>
      </c>
      <c r="G73" s="51">
        <f t="shared" si="48"/>
        <v>0</v>
      </c>
      <c r="H73" s="50">
        <f>'合并-bs'!E68</f>
        <v>0</v>
      </c>
      <c r="I73" s="51">
        <f t="shared" si="49"/>
        <v>0</v>
      </c>
      <c r="J73" s="50">
        <f>'合并-bs'!F68</f>
        <v>0</v>
      </c>
      <c r="K73" s="51">
        <f t="shared" si="50"/>
        <v>0</v>
      </c>
      <c r="L73" s="62">
        <f t="shared" si="40"/>
        <v>0</v>
      </c>
      <c r="M73" s="46" t="e">
        <f t="shared" si="41"/>
        <v>#DIV/0!</v>
      </c>
      <c r="O73" s="62">
        <f t="shared" si="42"/>
        <v>0</v>
      </c>
      <c r="P73" s="46" t="e">
        <f t="shared" si="43"/>
        <v>#DIV/0!</v>
      </c>
      <c r="R73" s="62">
        <f t="shared" si="44"/>
        <v>0</v>
      </c>
      <c r="S73" s="46" t="e">
        <f t="shared" si="45"/>
        <v>#DIV/0!</v>
      </c>
    </row>
    <row r="74" spans="1:19" hidden="1" x14ac:dyDescent="0.3">
      <c r="A74" s="61" t="str">
        <f>'合并-bs'!A69</f>
        <v>预计负债</v>
      </c>
      <c r="B74" s="50">
        <f>'合并-bs'!B69</f>
        <v>0</v>
      </c>
      <c r="C74" s="51">
        <f t="shared" si="46"/>
        <v>0</v>
      </c>
      <c r="D74" s="50">
        <f>'合并-bs'!C69</f>
        <v>0</v>
      </c>
      <c r="E74" s="51">
        <f t="shared" si="47"/>
        <v>0</v>
      </c>
      <c r="F74" s="50">
        <f>'合并-bs'!D69</f>
        <v>0</v>
      </c>
      <c r="G74" s="51">
        <f t="shared" si="48"/>
        <v>0</v>
      </c>
      <c r="H74" s="50">
        <f>'合并-bs'!E69</f>
        <v>0</v>
      </c>
      <c r="I74" s="51">
        <f t="shared" si="49"/>
        <v>0</v>
      </c>
      <c r="J74" s="50">
        <f>'合并-bs'!F69</f>
        <v>0</v>
      </c>
      <c r="K74" s="51">
        <f t="shared" si="50"/>
        <v>0</v>
      </c>
      <c r="L74" s="62">
        <f t="shared" si="40"/>
        <v>0</v>
      </c>
      <c r="M74" s="46" t="e">
        <f t="shared" si="41"/>
        <v>#DIV/0!</v>
      </c>
      <c r="O74" s="62">
        <f t="shared" si="42"/>
        <v>0</v>
      </c>
      <c r="P74" s="46" t="e">
        <f t="shared" si="43"/>
        <v>#DIV/0!</v>
      </c>
      <c r="R74" s="62">
        <f t="shared" si="44"/>
        <v>0</v>
      </c>
      <c r="S74" s="46" t="e">
        <f t="shared" si="45"/>
        <v>#DIV/0!</v>
      </c>
    </row>
    <row r="75" spans="1:19" x14ac:dyDescent="0.3">
      <c r="A75" s="61" t="str">
        <f>'合并-bs'!A70</f>
        <v>递延收益</v>
      </c>
      <c r="B75" s="50">
        <f>'合并-bs'!B70</f>
        <v>5711.4180719999995</v>
      </c>
      <c r="C75" s="51">
        <f t="shared" si="46"/>
        <v>1.5448540738350635E-3</v>
      </c>
      <c r="D75" s="50">
        <f>'合并-bs'!C70</f>
        <v>5084.0420720000002</v>
      </c>
      <c r="E75" s="51">
        <f t="shared" si="47"/>
        <v>1.4951770340595619E-3</v>
      </c>
      <c r="F75" s="50">
        <f>'合并-bs'!D70</f>
        <v>9495.7831349999997</v>
      </c>
      <c r="G75" s="51">
        <f t="shared" si="48"/>
        <v>3.0169808693858054E-3</v>
      </c>
      <c r="H75" s="50">
        <f>'合并-bs'!E70</f>
        <v>11126.192959</v>
      </c>
      <c r="I75" s="51">
        <f t="shared" si="49"/>
        <v>4.0031258996849044E-3</v>
      </c>
      <c r="J75" s="50">
        <f>'合并-bs'!F70</f>
        <v>14324.001144999998</v>
      </c>
      <c r="K75" s="51">
        <f t="shared" si="50"/>
        <v>6.5448947294450815E-3</v>
      </c>
      <c r="L75" s="62">
        <f t="shared" si="40"/>
        <v>627.37599999999929</v>
      </c>
      <c r="M75" s="46">
        <f t="shared" si="41"/>
        <v>0.12340102444376454</v>
      </c>
      <c r="O75" s="62">
        <f t="shared" si="42"/>
        <v>-4411.7410629999995</v>
      </c>
      <c r="P75" s="46">
        <f t="shared" si="43"/>
        <v>-0.46460002300800224</v>
      </c>
      <c r="R75" s="62">
        <f t="shared" si="44"/>
        <v>-1630.4098240000003</v>
      </c>
      <c r="S75" s="46">
        <f t="shared" si="45"/>
        <v>-0.14653797844492339</v>
      </c>
    </row>
    <row r="76" spans="1:19" x14ac:dyDescent="0.3">
      <c r="A76" s="61" t="str">
        <f>'合并-bs'!A71</f>
        <v>递延所得税负债</v>
      </c>
      <c r="B76" s="50">
        <f>'合并-bs'!B71</f>
        <v>27844.066425000001</v>
      </c>
      <c r="C76" s="51">
        <f t="shared" si="46"/>
        <v>7.5314079457210097E-3</v>
      </c>
      <c r="D76" s="50">
        <f>'合并-bs'!C71</f>
        <v>27844.066425000001</v>
      </c>
      <c r="E76" s="51">
        <f t="shared" si="47"/>
        <v>8.188722292990681E-3</v>
      </c>
      <c r="F76" s="50">
        <f>'合并-bs'!D71</f>
        <v>30563.177662999999</v>
      </c>
      <c r="G76" s="51">
        <f t="shared" si="48"/>
        <v>9.7104705326561316E-3</v>
      </c>
      <c r="H76" s="50">
        <f>'合并-bs'!E71</f>
        <v>9837.3922980000007</v>
      </c>
      <c r="I76" s="51">
        <f t="shared" si="49"/>
        <v>3.5394244948475195E-3</v>
      </c>
      <c r="J76" s="50">
        <f>'合并-bs'!F71</f>
        <v>9976.1409019999992</v>
      </c>
      <c r="K76" s="51">
        <f t="shared" si="50"/>
        <v>4.5582788879134301E-3</v>
      </c>
      <c r="L76" s="62">
        <f t="shared" si="40"/>
        <v>0</v>
      </c>
      <c r="M76" s="46">
        <f t="shared" si="41"/>
        <v>0</v>
      </c>
      <c r="O76" s="62">
        <f t="shared" si="42"/>
        <v>-2719.1112379999977</v>
      </c>
      <c r="P76" s="46">
        <f t="shared" si="43"/>
        <v>-8.896690219786188E-2</v>
      </c>
      <c r="R76" s="62">
        <f t="shared" si="44"/>
        <v>20725.785364999996</v>
      </c>
      <c r="S76" s="46">
        <f t="shared" si="45"/>
        <v>2.1068373342408711</v>
      </c>
    </row>
    <row r="77" spans="1:19" x14ac:dyDescent="0.3">
      <c r="A77" s="61" t="str">
        <f>'合并-bs'!A72</f>
        <v>其他非流动负债</v>
      </c>
      <c r="B77" s="50">
        <f>'合并-bs'!B72</f>
        <v>20100</v>
      </c>
      <c r="C77" s="51">
        <f t="shared" si="46"/>
        <v>5.4367525704892544E-3</v>
      </c>
      <c r="D77" s="50">
        <f>'合并-bs'!C72</f>
        <v>20100</v>
      </c>
      <c r="E77" s="51">
        <f t="shared" si="47"/>
        <v>5.9112528887422617E-3</v>
      </c>
      <c r="F77" s="50">
        <f>'合并-bs'!D72</f>
        <v>20100</v>
      </c>
      <c r="G77" s="51">
        <f t="shared" si="48"/>
        <v>6.3861310449624849E-3</v>
      </c>
      <c r="H77" s="50">
        <f>'合并-bs'!E72</f>
        <v>0</v>
      </c>
      <c r="I77" s="51">
        <f t="shared" si="49"/>
        <v>0</v>
      </c>
      <c r="J77" s="50">
        <f>'合并-bs'!F72</f>
        <v>0</v>
      </c>
      <c r="K77" s="51">
        <f t="shared" si="50"/>
        <v>0</v>
      </c>
      <c r="L77" s="62">
        <f t="shared" si="40"/>
        <v>0</v>
      </c>
      <c r="M77" s="46">
        <f t="shared" si="41"/>
        <v>0</v>
      </c>
      <c r="O77" s="62">
        <f t="shared" si="42"/>
        <v>0</v>
      </c>
      <c r="P77" s="46">
        <f t="shared" si="43"/>
        <v>0</v>
      </c>
      <c r="R77" s="62">
        <f t="shared" si="44"/>
        <v>20100</v>
      </c>
      <c r="S77" s="46" t="e">
        <f t="shared" si="45"/>
        <v>#DIV/0!</v>
      </c>
    </row>
    <row r="78" spans="1:19" x14ac:dyDescent="0.3">
      <c r="A78" s="61" t="str">
        <f>'合并-bs'!A73</f>
        <v>非流动负债合计</v>
      </c>
      <c r="B78" s="50">
        <f>'合并-bs'!B73</f>
        <v>1517746.8265040002</v>
      </c>
      <c r="C78" s="51">
        <f t="shared" si="46"/>
        <v>0.41052805772873291</v>
      </c>
      <c r="D78" s="50">
        <f>'合并-bs'!C73</f>
        <v>1539031.8841889999</v>
      </c>
      <c r="E78" s="51">
        <f t="shared" si="47"/>
        <v>0.45261724732729708</v>
      </c>
      <c r="F78" s="50">
        <f>'合并-bs'!D73</f>
        <v>1867985.51911</v>
      </c>
      <c r="G78" s="51">
        <f t="shared" si="48"/>
        <v>0.59349255299147929</v>
      </c>
      <c r="H78" s="50">
        <f>'合并-bs'!E73</f>
        <v>1298746.1185070002</v>
      </c>
      <c r="I78" s="51">
        <f t="shared" si="49"/>
        <v>0.46727971043366595</v>
      </c>
      <c r="J78" s="50">
        <f>'合并-bs'!F73</f>
        <v>1157649.552439</v>
      </c>
      <c r="K78" s="51">
        <f t="shared" si="50"/>
        <v>0.52895098077726865</v>
      </c>
      <c r="L78" s="62">
        <f t="shared" si="40"/>
        <v>-21285.057684999658</v>
      </c>
      <c r="M78" s="46">
        <f t="shared" si="41"/>
        <v>-1.3830160312900807E-2</v>
      </c>
      <c r="O78" s="62">
        <f t="shared" si="42"/>
        <v>-328953.63492100011</v>
      </c>
      <c r="P78" s="46">
        <f t="shared" si="43"/>
        <v>-0.17610074144350421</v>
      </c>
      <c r="R78" s="62">
        <f t="shared" si="44"/>
        <v>569239.40060299984</v>
      </c>
      <c r="S78" s="46">
        <f t="shared" si="45"/>
        <v>0.43829921221045148</v>
      </c>
    </row>
    <row r="79" spans="1:19" x14ac:dyDescent="0.3">
      <c r="A79" s="61" t="str">
        <f>'合并-bs'!A74</f>
        <v>负债合计</v>
      </c>
      <c r="B79" s="50">
        <f>'合并-bs'!B74</f>
        <v>3697059.9157119999</v>
      </c>
      <c r="C79" s="51">
        <f t="shared" si="46"/>
        <v>1</v>
      </c>
      <c r="D79" s="50">
        <f>'合并-bs'!C74</f>
        <v>3400294.3840009999</v>
      </c>
      <c r="E79" s="51">
        <f t="shared" si="47"/>
        <v>1</v>
      </c>
      <c r="F79" s="50">
        <f>'合并-bs'!D74</f>
        <v>3147445.590841</v>
      </c>
      <c r="G79" s="51">
        <f t="shared" si="48"/>
        <v>1</v>
      </c>
      <c r="H79" s="50">
        <f>'合并-bs'!E74</f>
        <v>2779376.2269320004</v>
      </c>
      <c r="I79" s="51">
        <f t="shared" si="49"/>
        <v>1</v>
      </c>
      <c r="J79" s="50">
        <f>'合并-bs'!F74</f>
        <v>2188576.2471559998</v>
      </c>
      <c r="K79" s="51">
        <f t="shared" si="50"/>
        <v>1</v>
      </c>
      <c r="L79" s="62"/>
      <c r="M79" s="46"/>
      <c r="O79" s="62"/>
      <c r="P79" s="46"/>
      <c r="R79" s="62"/>
      <c r="S79" s="46"/>
    </row>
    <row r="80" spans="1:19" x14ac:dyDescent="0.3">
      <c r="A80" s="47" t="s">
        <v>272</v>
      </c>
      <c r="B80" s="52">
        <f>SUBTOTAL(9,B51:B79)</f>
        <v>11091179.747136001</v>
      </c>
      <c r="C80" s="51">
        <f t="shared" si="46"/>
        <v>3.0000000000000004</v>
      </c>
      <c r="D80" s="52">
        <f>SUBTOTAL(9,D51:D79)</f>
        <v>10200883.152003</v>
      </c>
      <c r="E80" s="51">
        <f t="shared" si="47"/>
        <v>3</v>
      </c>
      <c r="F80" s="52">
        <f>SUBTOTAL(9,F51:F79)</f>
        <v>9442336.7725230008</v>
      </c>
      <c r="G80" s="51">
        <f t="shared" si="48"/>
        <v>3.0000000000000004</v>
      </c>
      <c r="H80" s="52">
        <f>SUBTOTAL(9,H51:H79)</f>
        <v>8338128.6807960011</v>
      </c>
      <c r="I80" s="51">
        <f t="shared" si="49"/>
        <v>3</v>
      </c>
      <c r="J80" s="52">
        <f>SUBTOTAL(9,J51:J79)</f>
        <v>6565728.7414679993</v>
      </c>
      <c r="K80" s="51">
        <f t="shared" si="50"/>
        <v>3</v>
      </c>
      <c r="L80" s="62">
        <f t="shared" si="40"/>
        <v>890296.59513300098</v>
      </c>
      <c r="M80" s="46">
        <f t="shared" si="41"/>
        <v>8.7276423214218107E-2</v>
      </c>
      <c r="O80" s="62">
        <f t="shared" si="42"/>
        <v>758546.37947999872</v>
      </c>
      <c r="P80" s="46">
        <f t="shared" si="43"/>
        <v>8.0334603367182636E-2</v>
      </c>
      <c r="R80" s="62">
        <f t="shared" si="44"/>
        <v>1104208.0917269997</v>
      </c>
      <c r="S80" s="46">
        <f t="shared" si="45"/>
        <v>0.13242876597361247</v>
      </c>
    </row>
    <row r="81" spans="1:13" x14ac:dyDescent="0.3">
      <c r="B81" s="62"/>
      <c r="C81" s="62"/>
      <c r="D81" s="62"/>
      <c r="E81" s="62"/>
      <c r="F81" s="62"/>
      <c r="G81" s="62"/>
      <c r="H81" s="62"/>
      <c r="I81" s="62"/>
      <c r="J81" s="62"/>
      <c r="K81" s="62"/>
      <c r="L81" s="62"/>
      <c r="M81" s="46"/>
    </row>
    <row r="83" spans="1:13" x14ac:dyDescent="0.3">
      <c r="B83" s="45">
        <v>2023</v>
      </c>
      <c r="C83" s="45">
        <v>2022</v>
      </c>
      <c r="D83" s="45">
        <v>2021</v>
      </c>
    </row>
    <row r="84" spans="1:13" x14ac:dyDescent="0.3">
      <c r="A84" s="45" t="s">
        <v>77</v>
      </c>
      <c r="B84" s="63">
        <v>943880.67468199995</v>
      </c>
      <c r="C84" s="50">
        <v>787232.25028000004</v>
      </c>
      <c r="D84" s="50">
        <v>542280.72326700005</v>
      </c>
    </row>
    <row r="85" spans="1:13" x14ac:dyDescent="0.3">
      <c r="A85" s="61" t="s">
        <v>78</v>
      </c>
      <c r="B85" s="50">
        <v>789512.91508299997</v>
      </c>
      <c r="C85" s="50">
        <v>851342.51196000003</v>
      </c>
      <c r="D85" s="50">
        <v>574034.50741099997</v>
      </c>
    </row>
    <row r="86" spans="1:13" x14ac:dyDescent="0.3">
      <c r="A86" s="61" t="s">
        <v>60</v>
      </c>
      <c r="B86" s="50">
        <v>244980.32119799999</v>
      </c>
      <c r="C86" s="50">
        <v>273787.01435299998</v>
      </c>
      <c r="D86" s="50">
        <v>223595.36626000001</v>
      </c>
    </row>
    <row r="87" spans="1:13" x14ac:dyDescent="0.3">
      <c r="A87" s="50" t="s">
        <v>64</v>
      </c>
      <c r="B87" s="50">
        <v>232177.20360199999</v>
      </c>
      <c r="C87" s="50">
        <v>121217.20360199999</v>
      </c>
      <c r="D87" s="50">
        <v>128440</v>
      </c>
    </row>
    <row r="88" spans="1:13" x14ac:dyDescent="0.3">
      <c r="A88" s="61" t="s">
        <v>73</v>
      </c>
      <c r="B88" s="50">
        <v>530752.204959</v>
      </c>
      <c r="C88" s="50">
        <v>429194.06271099998</v>
      </c>
      <c r="D88" s="50">
        <v>366739.71048100002</v>
      </c>
    </row>
    <row r="89" spans="1:13" x14ac:dyDescent="0.3">
      <c r="A89" s="61" t="s">
        <v>74</v>
      </c>
      <c r="B89" s="50">
        <v>185466.01456000001</v>
      </c>
      <c r="C89" s="50">
        <v>191936.04471399999</v>
      </c>
      <c r="D89" s="50">
        <v>619261.78961500002</v>
      </c>
    </row>
    <row r="90" spans="1:13" x14ac:dyDescent="0.3">
      <c r="A90" s="58" t="s">
        <v>1093</v>
      </c>
      <c r="B90" s="64">
        <f>SUBTOTAL(9,B84:B89)</f>
        <v>2926769.334084</v>
      </c>
      <c r="C90" s="64">
        <f>SUBTOTAL(9,C84:C89)</f>
        <v>2654709.0876200004</v>
      </c>
      <c r="D90" s="64">
        <f>SUBTOTAL(9,D84:D89)</f>
        <v>2454352.0970340003</v>
      </c>
    </row>
    <row r="91" spans="1:13" x14ac:dyDescent="0.3">
      <c r="C91" s="45"/>
    </row>
    <row r="92" spans="1:13" x14ac:dyDescent="0.3">
      <c r="C92" s="45"/>
    </row>
    <row r="94" spans="1:13" x14ac:dyDescent="0.3">
      <c r="A94" s="47" t="s">
        <v>745</v>
      </c>
      <c r="B94" s="52">
        <v>3450139.5327989999</v>
      </c>
      <c r="C94" s="52">
        <v>3147445.590841</v>
      </c>
      <c r="D94" s="52">
        <v>2779376.2269319999</v>
      </c>
    </row>
    <row r="95" spans="1:13" x14ac:dyDescent="0.3">
      <c r="A95" s="50" t="s">
        <v>64</v>
      </c>
      <c r="B95" s="50">
        <v>232177.20360199999</v>
      </c>
      <c r="C95" s="50">
        <v>121217.20360199999</v>
      </c>
      <c r="D95" s="50">
        <v>128440</v>
      </c>
    </row>
    <row r="96" spans="1:13" x14ac:dyDescent="0.3">
      <c r="B96" s="65">
        <f>B95/B94</f>
        <v>6.7295018475279245E-2</v>
      </c>
      <c r="C96" s="65">
        <f>C95/C94</f>
        <v>3.851288294061047E-2</v>
      </c>
      <c r="D96" s="65">
        <f>D95/D94</f>
        <v>4.6211807798967122E-2</v>
      </c>
    </row>
    <row r="97" spans="1:4" x14ac:dyDescent="0.3">
      <c r="A97" s="50" t="s">
        <v>65</v>
      </c>
      <c r="B97" s="50">
        <v>93568.111900000004</v>
      </c>
      <c r="C97" s="50">
        <v>74314.623949000001</v>
      </c>
      <c r="D97" s="50">
        <v>37872.314404999997</v>
      </c>
    </row>
    <row r="98" spans="1:4" x14ac:dyDescent="0.3">
      <c r="B98" s="65">
        <f>B97/B94</f>
        <v>2.7120095002097163E-2</v>
      </c>
      <c r="C98" s="65">
        <f>C97/C94</f>
        <v>2.3611090900269725E-2</v>
      </c>
      <c r="D98" s="65">
        <f>D97/D94</f>
        <v>1.3626192106710632E-2</v>
      </c>
    </row>
    <row r="99" spans="1:4" x14ac:dyDescent="0.3">
      <c r="A99" s="50" t="s">
        <v>66</v>
      </c>
      <c r="B99" s="50">
        <v>522.52119600000003</v>
      </c>
      <c r="C99" s="50">
        <v>400.64884699999999</v>
      </c>
      <c r="D99" s="50">
        <v>366.00184200000001</v>
      </c>
    </row>
    <row r="100" spans="1:4" x14ac:dyDescent="0.3">
      <c r="B100" s="65">
        <f>B99/B94</f>
        <v>1.5144929387133903E-4</v>
      </c>
      <c r="C100" s="65">
        <f>C99/C94</f>
        <v>1.2729333532115049E-4</v>
      </c>
      <c r="D100" s="65">
        <f>D99/D94</f>
        <v>1.3168488614584189E-4</v>
      </c>
    </row>
    <row r="101" spans="1:4" x14ac:dyDescent="0.3">
      <c r="A101" s="50" t="s">
        <v>67</v>
      </c>
      <c r="B101" s="50">
        <v>25988.480697999999</v>
      </c>
      <c r="C101" s="50">
        <v>20394.641285000002</v>
      </c>
      <c r="D101" s="50">
        <v>31442.350246000002</v>
      </c>
    </row>
    <row r="102" spans="1:4" x14ac:dyDescent="0.3">
      <c r="B102" s="45">
        <f>B101/B94</f>
        <v>7.532588305759415E-3</v>
      </c>
      <c r="C102" s="45">
        <f>C101/C94</f>
        <v>6.4797438736821939E-3</v>
      </c>
      <c r="D102" s="45">
        <f>D101/D94</f>
        <v>1.131273626842073E-2</v>
      </c>
    </row>
    <row r="103" spans="1:4" x14ac:dyDescent="0.3">
      <c r="A103" s="50" t="s">
        <v>68</v>
      </c>
      <c r="B103" s="50">
        <v>949.68782699999997</v>
      </c>
      <c r="C103" s="50">
        <v>1222.144395</v>
      </c>
      <c r="D103" s="50">
        <v>1072.9880410000001</v>
      </c>
    </row>
    <row r="104" spans="1:4" x14ac:dyDescent="0.3">
      <c r="A104" s="50" t="s">
        <v>69</v>
      </c>
      <c r="B104" s="50">
        <v>31638.528340000001</v>
      </c>
      <c r="C104" s="50">
        <v>27279.129648999999</v>
      </c>
      <c r="D104" s="50">
        <v>16258.76175</v>
      </c>
    </row>
    <row r="105" spans="1:4" x14ac:dyDescent="0.3">
      <c r="A105" s="50" t="s">
        <v>70</v>
      </c>
      <c r="B105" s="50">
        <v>161234.022402</v>
      </c>
      <c r="C105" s="50">
        <v>139714.55822599999</v>
      </c>
      <c r="D105" s="50">
        <v>55580.825785000001</v>
      </c>
    </row>
    <row r="106" spans="1:4" x14ac:dyDescent="0.3">
      <c r="B106" s="65">
        <f>B103/B94</f>
        <v>2.7526070118953866E-4</v>
      </c>
      <c r="C106" s="65">
        <f>C103/C94</f>
        <v>3.8829722698191011E-4</v>
      </c>
      <c r="D106" s="65">
        <f>D103/D94</f>
        <v>3.8605354345439311E-4</v>
      </c>
    </row>
    <row r="107" spans="1:4" x14ac:dyDescent="0.3">
      <c r="B107" s="65">
        <f>B104/B94</f>
        <v>9.1702170417242695E-3</v>
      </c>
      <c r="C107" s="65">
        <f>C104/C94</f>
        <v>8.6670694891062411E-3</v>
      </c>
      <c r="D107" s="65">
        <f>D104/D94</f>
        <v>5.8497880180644526E-3</v>
      </c>
    </row>
    <row r="108" spans="1:4" x14ac:dyDescent="0.3">
      <c r="B108" s="65">
        <f>B105/B94</f>
        <v>4.6732609179778721E-2</v>
      </c>
      <c r="C108" s="65">
        <f>C105/C94</f>
        <v>4.4389824762202851E-2</v>
      </c>
      <c r="D108" s="65">
        <f>D105/D94</f>
        <v>1.9997589835598691E-2</v>
      </c>
    </row>
    <row r="109" spans="1:4" x14ac:dyDescent="0.3">
      <c r="A109" s="50" t="s">
        <v>75</v>
      </c>
      <c r="B109" s="50">
        <v>1507277.096682</v>
      </c>
      <c r="C109" s="50">
        <v>1279460.071731</v>
      </c>
      <c r="D109" s="50">
        <v>1480630.108425</v>
      </c>
    </row>
    <row r="110" spans="1:4" x14ac:dyDescent="0.3">
      <c r="B110" s="65">
        <f>B109/B94</f>
        <v>0.43687424301335109</v>
      </c>
      <c r="C110" s="65">
        <f>C109/C94</f>
        <v>0.40650744700852071</v>
      </c>
      <c r="D110" s="65">
        <f>D109/D94</f>
        <v>0.5327202895663341</v>
      </c>
    </row>
    <row r="111" spans="1:4" x14ac:dyDescent="0.3">
      <c r="A111" s="61" t="s">
        <v>83</v>
      </c>
      <c r="B111" s="50">
        <v>8806.8685339999993</v>
      </c>
      <c r="C111" s="50">
        <v>9495.7831349999997</v>
      </c>
      <c r="D111" s="50">
        <v>11126.192959</v>
      </c>
    </row>
    <row r="112" spans="1:4" x14ac:dyDescent="0.3">
      <c r="A112" s="61" t="s">
        <v>84</v>
      </c>
      <c r="B112" s="50">
        <v>30504.266523999999</v>
      </c>
      <c r="C112" s="50">
        <v>30563.177662999999</v>
      </c>
      <c r="D112" s="50">
        <v>9837.3922980000007</v>
      </c>
    </row>
    <row r="113" spans="1:4" x14ac:dyDescent="0.3">
      <c r="B113" s="65">
        <f>B111/B94</f>
        <v>2.5526122785113092E-3</v>
      </c>
      <c r="C113" s="65">
        <f>C111/C94</f>
        <v>3.0169808693858054E-3</v>
      </c>
      <c r="D113" s="65">
        <f>D111/D94</f>
        <v>4.0031258996849053E-3</v>
      </c>
    </row>
    <row r="114" spans="1:4" x14ac:dyDescent="0.3">
      <c r="B114" s="65">
        <f>B112/B94</f>
        <v>8.8414587972483402E-3</v>
      </c>
      <c r="C114" s="65">
        <f>C112/C94</f>
        <v>9.7104705326561316E-3</v>
      </c>
      <c r="D114" s="65">
        <f>D112/D94</f>
        <v>3.5394244948475204E-3</v>
      </c>
    </row>
    <row r="115" spans="1:4" x14ac:dyDescent="0.3">
      <c r="A115" s="61" t="s">
        <v>86</v>
      </c>
      <c r="B115" s="50">
        <v>1942862.4361169999</v>
      </c>
      <c r="C115" s="50">
        <v>1867985.51911</v>
      </c>
      <c r="D115" s="50">
        <v>1298746.1185069999</v>
      </c>
    </row>
    <row r="116" spans="1:4" x14ac:dyDescent="0.3">
      <c r="B116" s="65">
        <f>B115/B94</f>
        <v>0.56312575698664891</v>
      </c>
      <c r="C116" s="65">
        <f>C115/C94</f>
        <v>0.59349255299147929</v>
      </c>
      <c r="D116" s="65">
        <f>D115/D94</f>
        <v>0.46727971043366595</v>
      </c>
    </row>
  </sheetData>
  <autoFilter ref="A50:T79" xr:uid="{00000000-0009-0000-0000-00001C000000}">
    <filterColumn colId="2">
      <filters>
        <filter val="0.02%"/>
        <filter val="0.03%"/>
        <filter val="0.26%"/>
        <filter val="0.58%"/>
        <filter val="0.75%"/>
        <filter val="0.88%"/>
        <filter val="0.92%"/>
        <filter val="100.00%"/>
        <filter val="15.38%"/>
        <filter val="2.71%"/>
        <filter val="22.88%"/>
        <filter val="27.36%"/>
        <filter val="4.35%"/>
        <filter val="4.67%"/>
        <filter val="43.69%"/>
        <filter val="5.38%"/>
        <filter val="56.31%"/>
        <filter val="6.73%"/>
        <filter val="7.10%"/>
      </filters>
    </filterColumn>
  </autoFilter>
  <mergeCells count="39">
    <mergeCell ref="A1:A2"/>
    <mergeCell ref="A11:A12"/>
    <mergeCell ref="A33:A34"/>
    <mergeCell ref="A49:A50"/>
    <mergeCell ref="L47:T48"/>
    <mergeCell ref="A47:K48"/>
    <mergeCell ref="A31:K32"/>
    <mergeCell ref="L31:T32"/>
    <mergeCell ref="A9:K10"/>
    <mergeCell ref="L9:T10"/>
    <mergeCell ref="B49:C49"/>
    <mergeCell ref="D49:E49"/>
    <mergeCell ref="F49:G49"/>
    <mergeCell ref="H49:I49"/>
    <mergeCell ref="J49:K49"/>
    <mergeCell ref="L11:N11"/>
    <mergeCell ref="O11:Q11"/>
    <mergeCell ref="R11:T11"/>
    <mergeCell ref="L33:N33"/>
    <mergeCell ref="O33:Q33"/>
    <mergeCell ref="R33:T33"/>
    <mergeCell ref="L49:N49"/>
    <mergeCell ref="O49:Q49"/>
    <mergeCell ref="R49:T49"/>
    <mergeCell ref="B33:C33"/>
    <mergeCell ref="D33:E33"/>
    <mergeCell ref="F33:G33"/>
    <mergeCell ref="H33:I33"/>
    <mergeCell ref="J33:K33"/>
    <mergeCell ref="B11:C11"/>
    <mergeCell ref="D11:E11"/>
    <mergeCell ref="F11:G11"/>
    <mergeCell ref="H11:I11"/>
    <mergeCell ref="J11:K11"/>
    <mergeCell ref="B1:C1"/>
    <mergeCell ref="D1:E1"/>
    <mergeCell ref="F1:G1"/>
    <mergeCell ref="H1:I1"/>
    <mergeCell ref="J1:K1"/>
  </mergeCells>
  <phoneticPr fontId="41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98"/>
  <sheetViews>
    <sheetView tabSelected="1" zoomScale="85" zoomScaleNormal="70" workbookViewId="0">
      <pane xSplit="1" topLeftCell="E1" activePane="topRight" state="frozen"/>
      <selection pane="topRight" activeCell="H90" sqref="H90"/>
    </sheetView>
  </sheetViews>
  <sheetFormatPr defaultColWidth="9" defaultRowHeight="17.100000000000001" customHeight="1" x14ac:dyDescent="0.3"/>
  <cols>
    <col min="1" max="1" width="28.59765625" style="68" customWidth="1"/>
    <col min="2" max="4" width="16.59765625" style="68" customWidth="1"/>
    <col min="5" max="6" width="15.06640625" style="68" customWidth="1"/>
    <col min="7" max="7" width="8.53125" style="68" customWidth="1"/>
    <col min="8" max="8" width="23.59765625" style="68" customWidth="1"/>
    <col min="9" max="9" width="20.9296875" style="68" customWidth="1"/>
    <col min="10" max="10" width="21.9296875" style="68" customWidth="1"/>
    <col min="11" max="11" width="23.1328125" style="68" customWidth="1"/>
    <col min="12" max="12" width="20.53125" style="68" customWidth="1"/>
    <col min="13" max="13" width="20.3984375" style="68" customWidth="1"/>
    <col min="14" max="14" width="20.1328125" style="68" customWidth="1"/>
    <col min="15" max="15" width="20.53125" style="68" customWidth="1"/>
    <col min="16" max="16" width="18.9296875" style="68" customWidth="1"/>
    <col min="17" max="16384" width="9" style="68"/>
  </cols>
  <sheetData>
    <row r="1" spans="1:12" ht="17.100000000000001" customHeight="1" x14ac:dyDescent="0.3">
      <c r="A1" s="68">
        <v>10000</v>
      </c>
      <c r="B1" s="417" t="s">
        <v>12</v>
      </c>
      <c r="C1" s="417"/>
      <c r="D1" s="417"/>
      <c r="E1" s="417"/>
      <c r="F1" s="417"/>
      <c r="H1" s="418" t="s">
        <v>13</v>
      </c>
      <c r="I1" s="418"/>
      <c r="J1" s="418"/>
      <c r="K1" s="418"/>
      <c r="L1" s="418"/>
    </row>
    <row r="2" spans="1:12" ht="17.100000000000001" customHeight="1" x14ac:dyDescent="0.3">
      <c r="A2" s="28" t="s">
        <v>14</v>
      </c>
      <c r="B2" s="28" t="str">
        <f>首页!C2</f>
        <v>2024年9月末</v>
      </c>
      <c r="C2" s="28" t="str">
        <f>首页!D2</f>
        <v>2023年末</v>
      </c>
      <c r="D2" s="28" t="str">
        <f>首页!E2</f>
        <v>2022年末</v>
      </c>
      <c r="E2" s="28" t="str">
        <f>首页!F2</f>
        <v>2021年末</v>
      </c>
      <c r="F2" s="28" t="str">
        <f>首页!G2</f>
        <v>2020年末</v>
      </c>
      <c r="G2" s="347" t="s">
        <v>15</v>
      </c>
      <c r="H2" s="348" t="str">
        <f>首页!C2</f>
        <v>2024年9月末</v>
      </c>
      <c r="I2" s="348" t="str">
        <f>首页!D2</f>
        <v>2023年末</v>
      </c>
      <c r="J2" s="348" t="str">
        <f>首页!E2</f>
        <v>2022年末</v>
      </c>
      <c r="K2" s="348" t="str">
        <f>首页!F2</f>
        <v>2021年末</v>
      </c>
      <c r="L2" s="348" t="str">
        <f>首页!G2</f>
        <v>2020年末</v>
      </c>
    </row>
    <row r="3" spans="1:12" ht="17.100000000000001" customHeight="1" x14ac:dyDescent="0.3">
      <c r="A3" s="349" t="s">
        <v>16</v>
      </c>
      <c r="B3" s="350"/>
      <c r="C3" s="350"/>
      <c r="D3" s="70"/>
      <c r="E3" s="76"/>
      <c r="F3" s="76"/>
      <c r="G3" s="285"/>
      <c r="H3" s="351"/>
      <c r="I3" s="209"/>
      <c r="J3" s="209"/>
      <c r="K3" s="209"/>
      <c r="L3" s="209"/>
    </row>
    <row r="4" spans="1:12" ht="17.100000000000001" customHeight="1" x14ac:dyDescent="0.3">
      <c r="A4" s="352" t="s">
        <v>17</v>
      </c>
      <c r="B4" s="315">
        <f>H4/$A$1</f>
        <v>101662.52919</v>
      </c>
      <c r="C4" s="315">
        <f t="shared" ref="C4:F19" si="0">I4/$A$1</f>
        <v>114566.321476</v>
      </c>
      <c r="D4" s="315">
        <f t="shared" si="0"/>
        <v>74276.089300000007</v>
      </c>
      <c r="E4" s="315">
        <f t="shared" si="0"/>
        <v>270302.19339500001</v>
      </c>
      <c r="F4" s="315">
        <f t="shared" si="0"/>
        <v>500497.78732499998</v>
      </c>
      <c r="G4" s="289">
        <f>SUM(B4:E4)</f>
        <v>560807.13336099999</v>
      </c>
      <c r="H4" s="209">
        <v>1016625291.9</v>
      </c>
      <c r="I4" s="209">
        <v>1145663214.76</v>
      </c>
      <c r="J4" s="209">
        <v>742760893</v>
      </c>
      <c r="K4" s="209">
        <v>2703021933.9499998</v>
      </c>
      <c r="L4" s="363">
        <v>5004977873.25</v>
      </c>
    </row>
    <row r="5" spans="1:12" ht="17.100000000000001" customHeight="1" x14ac:dyDescent="0.3">
      <c r="A5" s="352" t="s">
        <v>18</v>
      </c>
      <c r="B5" s="315">
        <f t="shared" ref="B5:F20" si="1">H5/$A$1</f>
        <v>0</v>
      </c>
      <c r="C5" s="315">
        <f t="shared" si="0"/>
        <v>0</v>
      </c>
      <c r="D5" s="315">
        <f t="shared" si="0"/>
        <v>0</v>
      </c>
      <c r="E5" s="315">
        <f t="shared" si="0"/>
        <v>0</v>
      </c>
      <c r="F5" s="315">
        <f t="shared" si="0"/>
        <v>0</v>
      </c>
      <c r="G5" s="289">
        <f t="shared" ref="G5:G69" si="2">SUM(B5:E5)</f>
        <v>0</v>
      </c>
      <c r="H5" s="209"/>
      <c r="I5" s="209"/>
      <c r="J5" s="209"/>
      <c r="K5" s="209"/>
      <c r="L5" s="209"/>
    </row>
    <row r="6" spans="1:12" ht="22.5" customHeight="1" x14ac:dyDescent="0.3">
      <c r="A6" s="352" t="s">
        <v>19</v>
      </c>
      <c r="B6" s="315">
        <f t="shared" si="1"/>
        <v>0</v>
      </c>
      <c r="C6" s="315">
        <f t="shared" si="0"/>
        <v>0</v>
      </c>
      <c r="D6" s="315">
        <f t="shared" si="0"/>
        <v>0</v>
      </c>
      <c r="E6" s="315">
        <f t="shared" si="0"/>
        <v>0</v>
      </c>
      <c r="F6" s="315">
        <f t="shared" si="0"/>
        <v>0</v>
      </c>
      <c r="G6" s="289">
        <f t="shared" si="2"/>
        <v>0</v>
      </c>
      <c r="H6" s="209"/>
      <c r="I6" s="209"/>
      <c r="J6" s="209"/>
      <c r="K6" s="209"/>
      <c r="L6" s="209"/>
    </row>
    <row r="7" spans="1:12" ht="17.100000000000001" customHeight="1" x14ac:dyDescent="0.3">
      <c r="A7" s="352" t="s">
        <v>20</v>
      </c>
      <c r="B7" s="315">
        <f t="shared" si="1"/>
        <v>0</v>
      </c>
      <c r="C7" s="315">
        <f t="shared" si="0"/>
        <v>0</v>
      </c>
      <c r="D7" s="315">
        <f t="shared" si="0"/>
        <v>0</v>
      </c>
      <c r="E7" s="315">
        <f t="shared" si="0"/>
        <v>0</v>
      </c>
      <c r="F7" s="315">
        <f t="shared" si="0"/>
        <v>0</v>
      </c>
      <c r="G7" s="289">
        <f t="shared" si="2"/>
        <v>0</v>
      </c>
      <c r="H7" s="209"/>
      <c r="I7" s="209"/>
      <c r="J7" s="209"/>
      <c r="K7" s="209"/>
      <c r="L7" s="209"/>
    </row>
    <row r="8" spans="1:12" ht="17.100000000000001" customHeight="1" x14ac:dyDescent="0.3">
      <c r="A8" s="353" t="s">
        <v>21</v>
      </c>
      <c r="B8" s="315">
        <f t="shared" si="1"/>
        <v>0</v>
      </c>
      <c r="C8" s="315">
        <f t="shared" si="0"/>
        <v>0</v>
      </c>
      <c r="D8" s="315">
        <f t="shared" si="0"/>
        <v>0</v>
      </c>
      <c r="E8" s="315">
        <f t="shared" si="0"/>
        <v>0</v>
      </c>
      <c r="F8" s="315">
        <f t="shared" si="0"/>
        <v>0</v>
      </c>
      <c r="G8" s="289">
        <f t="shared" si="2"/>
        <v>0</v>
      </c>
      <c r="H8" s="209"/>
      <c r="I8" s="209"/>
      <c r="J8" s="209"/>
      <c r="K8" s="209"/>
      <c r="L8" s="363"/>
    </row>
    <row r="9" spans="1:12" ht="17.100000000000001" customHeight="1" x14ac:dyDescent="0.3">
      <c r="A9" s="353" t="s">
        <v>22</v>
      </c>
      <c r="B9" s="315">
        <f t="shared" si="1"/>
        <v>64569.761869000009</v>
      </c>
      <c r="C9" s="315">
        <f t="shared" si="0"/>
        <v>63636.345149000001</v>
      </c>
      <c r="D9" s="315">
        <f t="shared" si="0"/>
        <v>30953.337819999997</v>
      </c>
      <c r="E9" s="315">
        <f t="shared" si="0"/>
        <v>0</v>
      </c>
      <c r="F9" s="315">
        <f t="shared" si="0"/>
        <v>0</v>
      </c>
      <c r="G9" s="289">
        <f t="shared" si="2"/>
        <v>159159.444838</v>
      </c>
      <c r="H9" s="209">
        <v>645697618.69000006</v>
      </c>
      <c r="I9" s="209">
        <v>636363451.49000001</v>
      </c>
      <c r="J9" s="209">
        <v>309533378.19999999</v>
      </c>
      <c r="K9" s="209"/>
      <c r="L9" s="363"/>
    </row>
    <row r="10" spans="1:12" ht="17.100000000000001" customHeight="1" x14ac:dyDescent="0.3">
      <c r="A10" s="353" t="s">
        <v>23</v>
      </c>
      <c r="B10" s="315">
        <f t="shared" si="1"/>
        <v>0</v>
      </c>
      <c r="C10" s="315">
        <f t="shared" si="0"/>
        <v>0</v>
      </c>
      <c r="D10" s="315">
        <f t="shared" si="0"/>
        <v>0</v>
      </c>
      <c r="E10" s="315">
        <f t="shared" si="0"/>
        <v>0</v>
      </c>
      <c r="F10" s="315">
        <f t="shared" si="0"/>
        <v>0</v>
      </c>
      <c r="G10" s="289">
        <f t="shared" si="2"/>
        <v>0</v>
      </c>
      <c r="H10" s="209"/>
      <c r="I10" s="209"/>
      <c r="J10" s="209"/>
      <c r="K10" s="209"/>
      <c r="L10" s="363"/>
    </row>
    <row r="11" spans="1:12" ht="17.100000000000001" customHeight="1" x14ac:dyDescent="0.3">
      <c r="A11" s="352" t="s">
        <v>24</v>
      </c>
      <c r="B11" s="315">
        <f t="shared" si="1"/>
        <v>10838.473007999999</v>
      </c>
      <c r="C11" s="315">
        <f t="shared" si="0"/>
        <v>10042.285007999999</v>
      </c>
      <c r="D11" s="315">
        <f t="shared" si="0"/>
        <v>9923.2455239999999</v>
      </c>
      <c r="E11" s="315">
        <f t="shared" si="0"/>
        <v>13704.617309000001</v>
      </c>
      <c r="F11" s="315">
        <f t="shared" si="0"/>
        <v>23463.525900000001</v>
      </c>
      <c r="G11" s="289">
        <f t="shared" si="2"/>
        <v>44508.620848999999</v>
      </c>
      <c r="H11" s="209">
        <v>108384730.08</v>
      </c>
      <c r="I11" s="209">
        <v>100422850.08</v>
      </c>
      <c r="J11" s="209">
        <v>99232455.239999995</v>
      </c>
      <c r="K11" s="209">
        <v>137046173.09</v>
      </c>
      <c r="L11" s="363">
        <v>234635259</v>
      </c>
    </row>
    <row r="12" spans="1:12" ht="17.100000000000001" customHeight="1" x14ac:dyDescent="0.3">
      <c r="A12" s="352" t="s">
        <v>25</v>
      </c>
      <c r="B12" s="315">
        <f t="shared" si="1"/>
        <v>0</v>
      </c>
      <c r="C12" s="315">
        <f t="shared" si="0"/>
        <v>0</v>
      </c>
      <c r="D12" s="315">
        <f t="shared" si="0"/>
        <v>0</v>
      </c>
      <c r="E12" s="315">
        <f t="shared" si="0"/>
        <v>0</v>
      </c>
      <c r="F12" s="315">
        <f t="shared" si="0"/>
        <v>0</v>
      </c>
      <c r="G12" s="289">
        <f t="shared" si="2"/>
        <v>0</v>
      </c>
      <c r="H12" s="209"/>
      <c r="I12" s="209"/>
      <c r="J12" s="209"/>
      <c r="K12" s="209"/>
      <c r="L12" s="363"/>
    </row>
    <row r="13" spans="1:12" ht="17.100000000000001" customHeight="1" x14ac:dyDescent="0.3">
      <c r="A13" s="352" t="s">
        <v>26</v>
      </c>
      <c r="B13" s="315">
        <f t="shared" si="1"/>
        <v>0</v>
      </c>
      <c r="C13" s="315">
        <f t="shared" si="0"/>
        <v>0</v>
      </c>
      <c r="D13" s="315">
        <f t="shared" si="0"/>
        <v>0</v>
      </c>
      <c r="E13" s="315">
        <f t="shared" si="0"/>
        <v>0</v>
      </c>
      <c r="F13" s="315">
        <f t="shared" si="0"/>
        <v>0</v>
      </c>
      <c r="G13" s="289">
        <f t="shared" si="2"/>
        <v>0</v>
      </c>
      <c r="H13" s="209"/>
      <c r="I13" s="209"/>
      <c r="J13" s="209"/>
      <c r="K13" s="209"/>
      <c r="L13" s="363"/>
    </row>
    <row r="14" spans="1:12" ht="17.100000000000001" customHeight="1" x14ac:dyDescent="0.3">
      <c r="A14" s="352" t="s">
        <v>27</v>
      </c>
      <c r="B14" s="315">
        <f t="shared" si="1"/>
        <v>0</v>
      </c>
      <c r="C14" s="315">
        <f t="shared" si="0"/>
        <v>0</v>
      </c>
      <c r="D14" s="315">
        <f t="shared" si="0"/>
        <v>0</v>
      </c>
      <c r="E14" s="315">
        <f t="shared" si="0"/>
        <v>0</v>
      </c>
      <c r="F14" s="315">
        <f t="shared" si="0"/>
        <v>0</v>
      </c>
      <c r="G14" s="289">
        <f t="shared" si="2"/>
        <v>0</v>
      </c>
      <c r="H14" s="209"/>
      <c r="I14" s="209"/>
      <c r="J14" s="209"/>
      <c r="K14" s="209"/>
      <c r="L14" s="363"/>
    </row>
    <row r="15" spans="1:12" ht="17.100000000000001" customHeight="1" x14ac:dyDescent="0.3">
      <c r="A15" s="352" t="s">
        <v>28</v>
      </c>
      <c r="B15" s="315">
        <f t="shared" si="1"/>
        <v>1168102.10424</v>
      </c>
      <c r="C15" s="315">
        <f t="shared" si="0"/>
        <v>1138465.3820139999</v>
      </c>
      <c r="D15" s="315">
        <f t="shared" si="0"/>
        <v>890080.04924299999</v>
      </c>
      <c r="E15" s="315">
        <f t="shared" si="0"/>
        <v>788080.51677700004</v>
      </c>
      <c r="F15" s="315">
        <f t="shared" si="0"/>
        <v>1179060.5123409999</v>
      </c>
      <c r="G15" s="289">
        <f t="shared" si="2"/>
        <v>3984728.0522739999</v>
      </c>
      <c r="H15" s="209">
        <v>11681021042.4</v>
      </c>
      <c r="I15" s="209">
        <v>11384653820.139999</v>
      </c>
      <c r="J15" s="209">
        <v>8900800492.4300003</v>
      </c>
      <c r="K15" s="209">
        <v>7880805167.7700005</v>
      </c>
      <c r="L15" s="363">
        <v>11790605123.41</v>
      </c>
    </row>
    <row r="16" spans="1:12" ht="17.100000000000001" customHeight="1" x14ac:dyDescent="0.3">
      <c r="A16" s="352" t="s">
        <v>29</v>
      </c>
      <c r="B16" s="315">
        <f t="shared" si="1"/>
        <v>0</v>
      </c>
      <c r="C16" s="315">
        <f t="shared" si="0"/>
        <v>0</v>
      </c>
      <c r="D16" s="315">
        <f t="shared" si="0"/>
        <v>0</v>
      </c>
      <c r="E16" s="315">
        <f t="shared" si="0"/>
        <v>0</v>
      </c>
      <c r="F16" s="315">
        <f t="shared" si="0"/>
        <v>0</v>
      </c>
      <c r="G16" s="289">
        <f t="shared" si="2"/>
        <v>0</v>
      </c>
      <c r="H16" s="209"/>
      <c r="I16" s="209"/>
      <c r="J16" s="209"/>
      <c r="K16" s="209"/>
      <c r="L16" s="363"/>
    </row>
    <row r="17" spans="1:16" ht="17.100000000000001" customHeight="1" x14ac:dyDescent="0.3">
      <c r="A17" s="352" t="s">
        <v>30</v>
      </c>
      <c r="B17" s="315">
        <f t="shared" si="1"/>
        <v>1532988.630681</v>
      </c>
      <c r="C17" s="315">
        <f t="shared" si="0"/>
        <v>1450939.802415</v>
      </c>
      <c r="D17" s="315">
        <f t="shared" si="0"/>
        <v>1404670.827481</v>
      </c>
      <c r="E17" s="315">
        <f t="shared" si="0"/>
        <v>1512101.4618229999</v>
      </c>
      <c r="F17" s="315">
        <f t="shared" si="0"/>
        <v>1270416.7049219999</v>
      </c>
      <c r="G17" s="289">
        <f t="shared" si="2"/>
        <v>5900700.7223999994</v>
      </c>
      <c r="H17" s="209">
        <v>15329886306.809999</v>
      </c>
      <c r="I17" s="209">
        <v>14509398024.15</v>
      </c>
      <c r="J17" s="209">
        <v>14046708274.809999</v>
      </c>
      <c r="K17" s="209">
        <v>15121014618.23</v>
      </c>
      <c r="L17" s="363">
        <v>12704167049.219999</v>
      </c>
    </row>
    <row r="18" spans="1:16" ht="17.100000000000001" customHeight="1" x14ac:dyDescent="0.3">
      <c r="A18" s="352" t="s">
        <v>31</v>
      </c>
      <c r="B18" s="315">
        <f t="shared" si="1"/>
        <v>0</v>
      </c>
      <c r="C18" s="315">
        <f t="shared" si="0"/>
        <v>0</v>
      </c>
      <c r="D18" s="315">
        <f t="shared" si="0"/>
        <v>0</v>
      </c>
      <c r="E18" s="315">
        <f t="shared" si="0"/>
        <v>0</v>
      </c>
      <c r="F18" s="315">
        <f t="shared" si="0"/>
        <v>0</v>
      </c>
      <c r="G18" s="289">
        <f t="shared" si="2"/>
        <v>0</v>
      </c>
      <c r="H18" s="209"/>
      <c r="I18" s="209"/>
      <c r="J18" s="209"/>
      <c r="K18" s="209"/>
      <c r="L18" s="363"/>
    </row>
    <row r="19" spans="1:16" ht="17.100000000000001" customHeight="1" x14ac:dyDescent="0.3">
      <c r="A19" s="352" t="s">
        <v>32</v>
      </c>
      <c r="B19" s="315">
        <f t="shared" si="1"/>
        <v>0</v>
      </c>
      <c r="C19" s="315">
        <f t="shared" si="0"/>
        <v>0</v>
      </c>
      <c r="D19" s="315">
        <f t="shared" si="0"/>
        <v>0</v>
      </c>
      <c r="E19" s="315">
        <f t="shared" si="0"/>
        <v>0</v>
      </c>
      <c r="F19" s="315">
        <f t="shared" si="0"/>
        <v>0</v>
      </c>
      <c r="G19" s="289">
        <f t="shared" si="2"/>
        <v>0</v>
      </c>
      <c r="H19" s="209"/>
      <c r="I19" s="209"/>
      <c r="J19" s="209"/>
      <c r="K19" s="209"/>
      <c r="L19" s="209"/>
    </row>
    <row r="20" spans="1:16" ht="17.100000000000001" customHeight="1" x14ac:dyDescent="0.3">
      <c r="A20" s="352" t="s">
        <v>33</v>
      </c>
      <c r="B20" s="315">
        <f t="shared" si="1"/>
        <v>30434.694444000001</v>
      </c>
      <c r="C20" s="315">
        <f t="shared" si="1"/>
        <v>31530.933368999998</v>
      </c>
      <c r="D20" s="315">
        <f t="shared" si="1"/>
        <v>120450.38456199999</v>
      </c>
      <c r="E20" s="315">
        <f t="shared" si="1"/>
        <v>0</v>
      </c>
      <c r="F20" s="315">
        <f t="shared" si="1"/>
        <v>0</v>
      </c>
      <c r="G20" s="289">
        <f t="shared" si="2"/>
        <v>182416.01237499999</v>
      </c>
      <c r="H20" s="209">
        <v>304346944.44</v>
      </c>
      <c r="I20" s="209">
        <v>315309333.69</v>
      </c>
      <c r="J20" s="363">
        <v>1204503845.6199999</v>
      </c>
      <c r="K20" s="363"/>
      <c r="L20" s="209"/>
    </row>
    <row r="21" spans="1:16" ht="17.100000000000001" customHeight="1" x14ac:dyDescent="0.3">
      <c r="A21" s="352" t="s">
        <v>34</v>
      </c>
      <c r="B21" s="315">
        <f t="shared" ref="B21:F21" si="3">H21/$A$1</f>
        <v>789138.86943399999</v>
      </c>
      <c r="C21" s="315">
        <f t="shared" si="3"/>
        <v>709598.74628999992</v>
      </c>
      <c r="D21" s="315">
        <f t="shared" si="3"/>
        <v>713135.98040100001</v>
      </c>
      <c r="E21" s="315">
        <f t="shared" si="3"/>
        <v>622432.78697200003</v>
      </c>
      <c r="F21" s="315">
        <f t="shared" si="3"/>
        <v>0</v>
      </c>
      <c r="G21" s="289">
        <f t="shared" si="2"/>
        <v>2834306.3830970004</v>
      </c>
      <c r="H21" s="209">
        <v>7891388694.3400002</v>
      </c>
      <c r="I21" s="209">
        <v>7095987462.8999996</v>
      </c>
      <c r="J21" s="363">
        <v>7131359804.0100002</v>
      </c>
      <c r="K21" s="363">
        <v>6224327869.7200003</v>
      </c>
      <c r="L21" s="363"/>
    </row>
    <row r="22" spans="1:16" ht="17.100000000000001" customHeight="1" x14ac:dyDescent="0.3">
      <c r="A22" s="354" t="s">
        <v>35</v>
      </c>
      <c r="B22" s="355">
        <f>SUM(B4:B21)</f>
        <v>3697735.0628659995</v>
      </c>
      <c r="C22" s="355">
        <f t="shared" ref="C22:F22" si="4">SUM(C4:C21)</f>
        <v>3518779.8157209996</v>
      </c>
      <c r="D22" s="355">
        <f t="shared" si="4"/>
        <v>3243489.9143310003</v>
      </c>
      <c r="E22" s="355">
        <f t="shared" si="4"/>
        <v>3206621.5762759997</v>
      </c>
      <c r="F22" s="355">
        <f t="shared" si="4"/>
        <v>2973438.5304879998</v>
      </c>
      <c r="G22" s="289">
        <f t="shared" si="2"/>
        <v>13666626.369194001</v>
      </c>
      <c r="H22" s="209">
        <v>36977350628.660004</v>
      </c>
      <c r="I22" s="209">
        <v>35187798157.209999</v>
      </c>
      <c r="J22" s="363">
        <v>32434899143.310001</v>
      </c>
      <c r="K22" s="363">
        <v>32066215762.759998</v>
      </c>
      <c r="L22" s="209">
        <v>29734385304.880001</v>
      </c>
      <c r="M22" s="80"/>
      <c r="N22" s="80"/>
      <c r="O22" s="80"/>
      <c r="P22" s="80"/>
    </row>
    <row r="23" spans="1:16" ht="17.100000000000001" customHeight="1" x14ac:dyDescent="0.3">
      <c r="A23" s="349" t="s">
        <v>36</v>
      </c>
      <c r="B23" s="350"/>
      <c r="C23" s="350"/>
      <c r="D23" s="70"/>
      <c r="E23" s="76"/>
      <c r="F23" s="76"/>
      <c r="G23" s="289"/>
      <c r="H23" s="209"/>
      <c r="I23" s="209"/>
      <c r="J23" s="363"/>
      <c r="K23" s="363"/>
      <c r="L23" s="364"/>
    </row>
    <row r="24" spans="1:16" ht="17.100000000000001" customHeight="1" x14ac:dyDescent="0.3">
      <c r="A24" s="349" t="s">
        <v>37</v>
      </c>
      <c r="B24" s="356">
        <f>H24/$A$1</f>
        <v>0</v>
      </c>
      <c r="C24" s="356">
        <f t="shared" ref="C24:F39" si="5">I24/$A$1</f>
        <v>0</v>
      </c>
      <c r="D24" s="356">
        <f t="shared" si="5"/>
        <v>0</v>
      </c>
      <c r="E24" s="356">
        <f t="shared" si="5"/>
        <v>0</v>
      </c>
      <c r="F24" s="356">
        <f t="shared" si="5"/>
        <v>0</v>
      </c>
      <c r="G24" s="289">
        <f t="shared" si="2"/>
        <v>0</v>
      </c>
      <c r="H24" s="209"/>
      <c r="I24" s="209"/>
      <c r="J24" s="363"/>
      <c r="K24" s="363"/>
      <c r="L24" s="209"/>
    </row>
    <row r="25" spans="1:16" ht="17.100000000000001" customHeight="1" x14ac:dyDescent="0.3">
      <c r="A25" s="349" t="s">
        <v>38</v>
      </c>
      <c r="B25" s="356">
        <f t="shared" ref="B25:F43" si="6">H25/$A$1</f>
        <v>0</v>
      </c>
      <c r="C25" s="356">
        <f t="shared" si="5"/>
        <v>29000</v>
      </c>
      <c r="D25" s="356">
        <f t="shared" si="5"/>
        <v>85825.302777999997</v>
      </c>
      <c r="E25" s="356">
        <f t="shared" si="5"/>
        <v>46765.316666999999</v>
      </c>
      <c r="F25" s="356">
        <f t="shared" si="5"/>
        <v>0</v>
      </c>
      <c r="G25" s="289">
        <f t="shared" si="2"/>
        <v>161590.61944499999</v>
      </c>
      <c r="H25" s="209"/>
      <c r="I25" s="209">
        <v>290000000</v>
      </c>
      <c r="J25" s="363">
        <v>858253027.77999997</v>
      </c>
      <c r="K25" s="363">
        <v>467653166.67000002</v>
      </c>
      <c r="L25" s="209"/>
    </row>
    <row r="26" spans="1:16" ht="17.100000000000001" customHeight="1" x14ac:dyDescent="0.3">
      <c r="A26" s="352" t="s">
        <v>39</v>
      </c>
      <c r="B26" s="356">
        <f t="shared" si="6"/>
        <v>0</v>
      </c>
      <c r="C26" s="356">
        <f t="shared" si="5"/>
        <v>0</v>
      </c>
      <c r="D26" s="356">
        <f t="shared" si="5"/>
        <v>0</v>
      </c>
      <c r="E26" s="356">
        <f t="shared" si="5"/>
        <v>0</v>
      </c>
      <c r="F26" s="356">
        <f t="shared" si="5"/>
        <v>1840</v>
      </c>
      <c r="G26" s="289">
        <f t="shared" si="2"/>
        <v>0</v>
      </c>
      <c r="H26" s="209"/>
      <c r="I26" s="209"/>
      <c r="J26" s="363"/>
      <c r="K26" s="363"/>
      <c r="L26" s="363">
        <v>18400000</v>
      </c>
    </row>
    <row r="27" spans="1:16" ht="17.100000000000001" customHeight="1" x14ac:dyDescent="0.3">
      <c r="A27" s="352" t="s">
        <v>40</v>
      </c>
      <c r="B27" s="356">
        <f t="shared" si="6"/>
        <v>0</v>
      </c>
      <c r="C27" s="356">
        <f t="shared" si="5"/>
        <v>0</v>
      </c>
      <c r="D27" s="356">
        <f t="shared" si="5"/>
        <v>0</v>
      </c>
      <c r="E27" s="356">
        <f t="shared" si="5"/>
        <v>0</v>
      </c>
      <c r="F27" s="356">
        <f t="shared" si="5"/>
        <v>0</v>
      </c>
      <c r="G27" s="289">
        <f t="shared" si="2"/>
        <v>0</v>
      </c>
      <c r="H27" s="209"/>
      <c r="I27" s="209"/>
      <c r="J27" s="363"/>
      <c r="K27" s="363"/>
      <c r="L27" s="363"/>
    </row>
    <row r="28" spans="1:16" ht="17.100000000000001" customHeight="1" x14ac:dyDescent="0.3">
      <c r="A28" s="352" t="s">
        <v>107</v>
      </c>
      <c r="B28" s="356">
        <f t="shared" si="6"/>
        <v>0</v>
      </c>
      <c r="C28" s="356">
        <f t="shared" si="5"/>
        <v>0</v>
      </c>
      <c r="D28" s="356">
        <f t="shared" si="5"/>
        <v>0</v>
      </c>
      <c r="E28" s="356">
        <f t="shared" si="5"/>
        <v>0</v>
      </c>
      <c r="F28" s="356">
        <f t="shared" si="5"/>
        <v>0</v>
      </c>
      <c r="G28" s="289">
        <f t="shared" si="2"/>
        <v>0</v>
      </c>
      <c r="H28" s="209"/>
      <c r="I28" s="209"/>
      <c r="J28" s="363"/>
      <c r="K28" s="363"/>
      <c r="L28" s="209"/>
    </row>
    <row r="29" spans="1:16" ht="17.100000000000001" customHeight="1" x14ac:dyDescent="0.3">
      <c r="A29" s="352" t="s">
        <v>42</v>
      </c>
      <c r="B29" s="356">
        <f t="shared" si="6"/>
        <v>370</v>
      </c>
      <c r="C29" s="356">
        <f t="shared" si="5"/>
        <v>0</v>
      </c>
      <c r="D29" s="356">
        <f t="shared" si="5"/>
        <v>0</v>
      </c>
      <c r="E29" s="356">
        <f t="shared" si="5"/>
        <v>0</v>
      </c>
      <c r="F29" s="356">
        <f t="shared" si="5"/>
        <v>29211.51</v>
      </c>
      <c r="G29" s="289">
        <f t="shared" si="2"/>
        <v>370</v>
      </c>
      <c r="H29" s="209">
        <v>3700000</v>
      </c>
      <c r="I29" s="209"/>
      <c r="J29" s="209"/>
      <c r="K29" s="209"/>
      <c r="L29" s="209">
        <v>292115100</v>
      </c>
    </row>
    <row r="30" spans="1:16" ht="17.100000000000001" customHeight="1" x14ac:dyDescent="0.3">
      <c r="A30" s="352" t="s">
        <v>43</v>
      </c>
      <c r="B30" s="356">
        <f t="shared" si="6"/>
        <v>442792.17966700002</v>
      </c>
      <c r="C30" s="356">
        <f t="shared" si="5"/>
        <v>429794.17966700002</v>
      </c>
      <c r="D30" s="356">
        <f t="shared" si="5"/>
        <v>384237.276748</v>
      </c>
      <c r="E30" s="356">
        <f t="shared" si="5"/>
        <v>194669.490483</v>
      </c>
      <c r="F30" s="356">
        <f t="shared" si="5"/>
        <v>130985.22730699999</v>
      </c>
      <c r="G30" s="289">
        <f t="shared" si="2"/>
        <v>1451493.126565</v>
      </c>
      <c r="H30" s="209">
        <v>4427921796.6700001</v>
      </c>
      <c r="I30" s="209">
        <v>4297941796.6700001</v>
      </c>
      <c r="J30" s="209">
        <v>3842372767.48</v>
      </c>
      <c r="K30" s="209">
        <v>1946694904.8299999</v>
      </c>
      <c r="L30" s="363">
        <v>1309852273.0699999</v>
      </c>
    </row>
    <row r="31" spans="1:16" ht="17.100000000000001" customHeight="1" x14ac:dyDescent="0.3">
      <c r="A31" s="352" t="s">
        <v>44</v>
      </c>
      <c r="B31" s="356">
        <f>H31/$A$1</f>
        <v>1197.2688289999999</v>
      </c>
      <c r="C31" s="356">
        <f t="shared" si="5"/>
        <v>1197.2688289999999</v>
      </c>
      <c r="D31" s="356">
        <f t="shared" si="5"/>
        <v>1430.645745</v>
      </c>
      <c r="E31" s="356">
        <f t="shared" si="5"/>
        <v>1840</v>
      </c>
      <c r="F31" s="356">
        <f t="shared" si="5"/>
        <v>0</v>
      </c>
      <c r="G31" s="289">
        <f t="shared" si="2"/>
        <v>5665.183403</v>
      </c>
      <c r="H31" s="209">
        <v>11972688.289999999</v>
      </c>
      <c r="I31" s="209">
        <v>11972688.289999999</v>
      </c>
      <c r="J31" s="209">
        <v>14306457.449999999</v>
      </c>
      <c r="K31" s="209">
        <v>18400000</v>
      </c>
      <c r="L31" s="363"/>
    </row>
    <row r="32" spans="1:16" ht="17.100000000000001" customHeight="1" x14ac:dyDescent="0.3">
      <c r="A32" s="352" t="s">
        <v>45</v>
      </c>
      <c r="B32" s="356">
        <f t="shared" si="6"/>
        <v>0</v>
      </c>
      <c r="C32" s="356">
        <f t="shared" si="5"/>
        <v>0</v>
      </c>
      <c r="D32" s="356">
        <f t="shared" si="5"/>
        <v>0</v>
      </c>
      <c r="E32" s="356">
        <f t="shared" si="5"/>
        <v>0</v>
      </c>
      <c r="F32" s="356">
        <f t="shared" si="5"/>
        <v>0</v>
      </c>
      <c r="G32" s="289">
        <f t="shared" si="2"/>
        <v>0</v>
      </c>
      <c r="H32" s="209"/>
      <c r="I32" s="209"/>
      <c r="J32" s="209"/>
      <c r="K32" s="209"/>
      <c r="L32" s="363"/>
    </row>
    <row r="33" spans="1:16" ht="17.100000000000001" customHeight="1" x14ac:dyDescent="0.3">
      <c r="A33" s="352" t="s">
        <v>46</v>
      </c>
      <c r="B33" s="356">
        <f t="shared" si="6"/>
        <v>147525.33380599998</v>
      </c>
      <c r="C33" s="356">
        <f t="shared" si="5"/>
        <v>147324.54</v>
      </c>
      <c r="D33" s="356">
        <f t="shared" si="5"/>
        <v>146612.03</v>
      </c>
      <c r="E33" s="356">
        <f t="shared" si="5"/>
        <v>13309.023170999999</v>
      </c>
      <c r="F33" s="356">
        <f t="shared" si="5"/>
        <v>4595.4518040000003</v>
      </c>
      <c r="G33" s="289">
        <f t="shared" si="2"/>
        <v>454770.92697700002</v>
      </c>
      <c r="H33" s="209">
        <v>1475253338.0599999</v>
      </c>
      <c r="I33" s="209">
        <v>1473245400</v>
      </c>
      <c r="J33" s="209">
        <v>1466120300</v>
      </c>
      <c r="K33" s="209">
        <v>133090231.70999999</v>
      </c>
      <c r="L33" s="363">
        <v>45954518.039999999</v>
      </c>
    </row>
    <row r="34" spans="1:16" ht="17.100000000000001" customHeight="1" x14ac:dyDescent="0.3">
      <c r="A34" s="352" t="s">
        <v>47</v>
      </c>
      <c r="B34" s="356">
        <f t="shared" si="6"/>
        <v>28947.551587999998</v>
      </c>
      <c r="C34" s="356">
        <f t="shared" si="5"/>
        <v>30055.188774000002</v>
      </c>
      <c r="D34" s="356">
        <f t="shared" si="5"/>
        <v>31288.727774000003</v>
      </c>
      <c r="E34" s="356">
        <f t="shared" si="5"/>
        <v>32687.995999999999</v>
      </c>
      <c r="F34" s="356">
        <f t="shared" si="5"/>
        <v>9872.6668769999997</v>
      </c>
      <c r="G34" s="289">
        <f t="shared" si="2"/>
        <v>122979.464136</v>
      </c>
      <c r="H34" s="209">
        <v>289475515.88</v>
      </c>
      <c r="I34" s="209">
        <v>300551887.74000001</v>
      </c>
      <c r="J34" s="209">
        <v>312887277.74000001</v>
      </c>
      <c r="K34" s="209">
        <v>326879960</v>
      </c>
      <c r="L34" s="363">
        <v>98726668.769999996</v>
      </c>
    </row>
    <row r="35" spans="1:16" ht="17.100000000000001" customHeight="1" x14ac:dyDescent="0.3">
      <c r="A35" s="352" t="s">
        <v>48</v>
      </c>
      <c r="B35" s="356">
        <f t="shared" si="6"/>
        <v>0</v>
      </c>
      <c r="C35" s="356">
        <f t="shared" si="5"/>
        <v>0</v>
      </c>
      <c r="D35" s="356">
        <f t="shared" si="5"/>
        <v>0</v>
      </c>
      <c r="E35" s="356">
        <f t="shared" si="5"/>
        <v>6076.3685350000005</v>
      </c>
      <c r="F35" s="356">
        <f t="shared" si="5"/>
        <v>214.60427599999997</v>
      </c>
      <c r="G35" s="289">
        <f t="shared" si="2"/>
        <v>6076.3685350000005</v>
      </c>
      <c r="H35" s="209"/>
      <c r="I35" s="209"/>
      <c r="J35" s="209"/>
      <c r="K35" s="209">
        <v>60763685.350000001</v>
      </c>
      <c r="L35" s="363">
        <v>2146042.7599999998</v>
      </c>
    </row>
    <row r="36" spans="1:16" ht="17.100000000000001" customHeight="1" x14ac:dyDescent="0.3">
      <c r="A36" s="352" t="s">
        <v>49</v>
      </c>
      <c r="B36" s="356">
        <f t="shared" si="6"/>
        <v>0</v>
      </c>
      <c r="C36" s="356">
        <f t="shared" si="5"/>
        <v>0</v>
      </c>
      <c r="D36" s="356">
        <f t="shared" si="5"/>
        <v>0</v>
      </c>
      <c r="E36" s="356">
        <f t="shared" si="5"/>
        <v>0</v>
      </c>
      <c r="F36" s="356">
        <f t="shared" si="5"/>
        <v>0</v>
      </c>
      <c r="G36" s="289">
        <f t="shared" si="2"/>
        <v>0</v>
      </c>
      <c r="H36" s="209"/>
      <c r="I36" s="209"/>
      <c r="J36" s="209"/>
      <c r="K36" s="209"/>
      <c r="L36" s="209"/>
    </row>
    <row r="37" spans="1:16" ht="17.100000000000001" customHeight="1" x14ac:dyDescent="0.3">
      <c r="A37" s="352" t="s">
        <v>50</v>
      </c>
      <c r="B37" s="356">
        <f t="shared" si="6"/>
        <v>0</v>
      </c>
      <c r="C37" s="356">
        <f t="shared" si="5"/>
        <v>0</v>
      </c>
      <c r="D37" s="356">
        <f t="shared" si="5"/>
        <v>0</v>
      </c>
      <c r="E37" s="356">
        <f t="shared" si="5"/>
        <v>0</v>
      </c>
      <c r="F37" s="356">
        <f t="shared" si="5"/>
        <v>0</v>
      </c>
      <c r="G37" s="289">
        <f t="shared" si="2"/>
        <v>0</v>
      </c>
      <c r="H37" s="209"/>
      <c r="I37" s="209"/>
      <c r="J37" s="209"/>
      <c r="K37" s="209"/>
      <c r="L37" s="209"/>
    </row>
    <row r="38" spans="1:16" ht="17.100000000000001" customHeight="1" x14ac:dyDescent="0.3">
      <c r="A38" s="352" t="s">
        <v>51</v>
      </c>
      <c r="B38" s="356">
        <f t="shared" si="6"/>
        <v>3215.5739680000001</v>
      </c>
      <c r="C38" s="356">
        <f t="shared" si="5"/>
        <v>3283.0335620000001</v>
      </c>
      <c r="D38" s="356">
        <f t="shared" si="5"/>
        <v>3372.9796869999996</v>
      </c>
      <c r="E38" s="356">
        <f t="shared" si="5"/>
        <v>4860.6364039999999</v>
      </c>
      <c r="F38" s="356">
        <f t="shared" si="5"/>
        <v>4771.5024950000006</v>
      </c>
      <c r="G38" s="289">
        <f t="shared" si="2"/>
        <v>14732.223621000001</v>
      </c>
      <c r="H38" s="209">
        <v>32155739.68</v>
      </c>
      <c r="I38" s="209">
        <v>32830335.620000001</v>
      </c>
      <c r="J38" s="209">
        <v>33729796.869999997</v>
      </c>
      <c r="K38" s="209">
        <v>48606364.039999999</v>
      </c>
      <c r="L38" s="363">
        <v>47715024.950000003</v>
      </c>
    </row>
    <row r="39" spans="1:16" ht="17.100000000000001" customHeight="1" x14ac:dyDescent="0.3">
      <c r="A39" s="352" t="s">
        <v>52</v>
      </c>
      <c r="B39" s="356">
        <f t="shared" si="6"/>
        <v>0</v>
      </c>
      <c r="C39" s="356">
        <f t="shared" si="5"/>
        <v>0</v>
      </c>
      <c r="D39" s="356">
        <f t="shared" si="5"/>
        <v>0</v>
      </c>
      <c r="E39" s="356">
        <f t="shared" si="5"/>
        <v>0</v>
      </c>
      <c r="F39" s="356">
        <f t="shared" si="5"/>
        <v>0</v>
      </c>
      <c r="G39" s="289">
        <f t="shared" si="2"/>
        <v>0</v>
      </c>
      <c r="H39" s="209"/>
      <c r="I39" s="209"/>
      <c r="J39" s="209"/>
      <c r="K39" s="209"/>
      <c r="L39" s="209"/>
    </row>
    <row r="40" spans="1:16" ht="17.100000000000001" customHeight="1" x14ac:dyDescent="0.3">
      <c r="A40" s="352" t="s">
        <v>53</v>
      </c>
      <c r="B40" s="356">
        <f t="shared" si="6"/>
        <v>0</v>
      </c>
      <c r="C40" s="356">
        <f t="shared" si="6"/>
        <v>0</v>
      </c>
      <c r="D40" s="356">
        <f t="shared" si="6"/>
        <v>0</v>
      </c>
      <c r="E40" s="356">
        <f t="shared" si="6"/>
        <v>0</v>
      </c>
      <c r="F40" s="356">
        <f t="shared" si="6"/>
        <v>0</v>
      </c>
      <c r="G40" s="289">
        <f t="shared" si="2"/>
        <v>0</v>
      </c>
      <c r="H40" s="209"/>
      <c r="I40" s="209"/>
      <c r="J40" s="209"/>
      <c r="K40" s="209"/>
      <c r="L40" s="209"/>
    </row>
    <row r="41" spans="1:16" ht="17.100000000000001" customHeight="1" x14ac:dyDescent="0.3">
      <c r="A41" s="352" t="s">
        <v>54</v>
      </c>
      <c r="B41" s="356">
        <f t="shared" si="6"/>
        <v>0</v>
      </c>
      <c r="C41" s="356">
        <f t="shared" si="6"/>
        <v>0</v>
      </c>
      <c r="D41" s="356">
        <f t="shared" si="6"/>
        <v>0</v>
      </c>
      <c r="E41" s="356">
        <f t="shared" si="6"/>
        <v>0</v>
      </c>
      <c r="F41" s="356">
        <f t="shared" si="6"/>
        <v>0</v>
      </c>
      <c r="G41" s="289">
        <f t="shared" si="2"/>
        <v>0</v>
      </c>
      <c r="H41" s="209"/>
      <c r="I41" s="209"/>
      <c r="J41" s="209"/>
      <c r="K41" s="209"/>
      <c r="L41" s="363"/>
    </row>
    <row r="42" spans="1:16" ht="17.100000000000001" customHeight="1" x14ac:dyDescent="0.3">
      <c r="A42" s="352" t="s">
        <v>55</v>
      </c>
      <c r="B42" s="356">
        <f t="shared" si="6"/>
        <v>0</v>
      </c>
      <c r="C42" s="356">
        <f t="shared" si="6"/>
        <v>0</v>
      </c>
      <c r="D42" s="356">
        <f t="shared" si="6"/>
        <v>0</v>
      </c>
      <c r="E42" s="356">
        <f t="shared" si="6"/>
        <v>0</v>
      </c>
      <c r="F42" s="356">
        <f t="shared" si="6"/>
        <v>0</v>
      </c>
      <c r="G42" s="289">
        <f t="shared" si="2"/>
        <v>0</v>
      </c>
      <c r="H42" s="209"/>
      <c r="I42" s="209"/>
      <c r="J42" s="209"/>
      <c r="K42" s="209"/>
      <c r="L42" s="363"/>
    </row>
    <row r="43" spans="1:16" ht="17.100000000000001" customHeight="1" x14ac:dyDescent="0.3">
      <c r="A43" s="352" t="s">
        <v>56</v>
      </c>
      <c r="B43" s="356">
        <f t="shared" si="6"/>
        <v>6346.6945450000003</v>
      </c>
      <c r="C43" s="356">
        <f t="shared" si="6"/>
        <v>9515.5114859999994</v>
      </c>
      <c r="D43" s="356">
        <f t="shared" si="6"/>
        <v>5226.202929</v>
      </c>
      <c r="E43" s="356">
        <f t="shared" si="6"/>
        <v>114031.88419500001</v>
      </c>
      <c r="F43" s="356">
        <f t="shared" si="6"/>
        <v>0</v>
      </c>
      <c r="G43" s="289">
        <f t="shared" si="2"/>
        <v>135120.29315500002</v>
      </c>
      <c r="H43" s="209">
        <v>63466945.450000003</v>
      </c>
      <c r="I43" s="209">
        <v>95155114.859999999</v>
      </c>
      <c r="J43" s="209">
        <v>52262029.289999999</v>
      </c>
      <c r="K43" s="209">
        <v>1140318841.95</v>
      </c>
      <c r="L43" s="363"/>
    </row>
    <row r="44" spans="1:16" ht="17.100000000000001" customHeight="1" x14ac:dyDescent="0.3">
      <c r="A44" s="354" t="s">
        <v>57</v>
      </c>
      <c r="B44" s="355">
        <f>SUM(B24:B43)</f>
        <v>630394.602403</v>
      </c>
      <c r="C44" s="355">
        <f>SUM(C24:C43)</f>
        <v>650169.72231800016</v>
      </c>
      <c r="D44" s="355">
        <f t="shared" ref="D44:E44" si="7">SUM(D24:D43)</f>
        <v>657993.16566100006</v>
      </c>
      <c r="E44" s="355">
        <f t="shared" si="7"/>
        <v>414240.715455</v>
      </c>
      <c r="F44" s="355">
        <f t="shared" ref="F44" si="8">SUM(F26:F43)</f>
        <v>181490.96275900002</v>
      </c>
      <c r="G44" s="289">
        <f t="shared" si="2"/>
        <v>2352798.2058370002</v>
      </c>
      <c r="H44" s="209">
        <v>6303946024.0299997</v>
      </c>
      <c r="I44" s="209">
        <v>6501697223.1800003</v>
      </c>
      <c r="J44" s="209">
        <v>6579931656.6099997</v>
      </c>
      <c r="K44" s="209">
        <v>4142407154.5500002</v>
      </c>
      <c r="L44" s="209">
        <v>1814909627.5899999</v>
      </c>
      <c r="M44" s="80"/>
      <c r="N44" s="80"/>
      <c r="O44" s="80"/>
      <c r="P44" s="80"/>
    </row>
    <row r="45" spans="1:16" ht="17.100000000000001" customHeight="1" x14ac:dyDescent="0.3">
      <c r="A45" s="354" t="s">
        <v>58</v>
      </c>
      <c r="B45" s="355">
        <f t="shared" ref="B45:F45" si="9">B44+B22</f>
        <v>4328129.6652689995</v>
      </c>
      <c r="C45" s="355">
        <f t="shared" si="9"/>
        <v>4168949.5380389998</v>
      </c>
      <c r="D45" s="355">
        <f t="shared" si="9"/>
        <v>3901483.0799920005</v>
      </c>
      <c r="E45" s="355">
        <f t="shared" si="9"/>
        <v>3620862.2917309995</v>
      </c>
      <c r="F45" s="355">
        <f t="shared" si="9"/>
        <v>3154929.4932469996</v>
      </c>
      <c r="G45" s="289">
        <f t="shared" si="2"/>
        <v>16019424.575030999</v>
      </c>
      <c r="H45" s="209">
        <v>43281296652.690002</v>
      </c>
      <c r="I45" s="209">
        <v>41689495380.389999</v>
      </c>
      <c r="J45" s="209">
        <v>39014830799.919998</v>
      </c>
      <c r="K45" s="209">
        <v>36208622917.309998</v>
      </c>
      <c r="L45" s="209">
        <v>31549294932.470001</v>
      </c>
      <c r="M45" s="80"/>
      <c r="N45" s="80"/>
      <c r="O45" s="80"/>
      <c r="P45" s="80"/>
    </row>
    <row r="46" spans="1:16" ht="17.100000000000001" customHeight="1" x14ac:dyDescent="0.3">
      <c r="A46" s="357" t="s">
        <v>59</v>
      </c>
      <c r="B46" s="358"/>
      <c r="C46" s="358"/>
      <c r="D46" s="70"/>
      <c r="E46" s="76"/>
      <c r="F46" s="76"/>
      <c r="G46" s="289"/>
      <c r="H46" s="209"/>
      <c r="I46" s="209"/>
      <c r="J46" s="209"/>
      <c r="K46" s="209"/>
      <c r="L46" s="209"/>
    </row>
    <row r="47" spans="1:16" ht="17.100000000000001" customHeight="1" x14ac:dyDescent="0.3">
      <c r="A47" s="359" t="s">
        <v>60</v>
      </c>
      <c r="B47" s="315">
        <f>H47/$A$1</f>
        <v>56698.289582000005</v>
      </c>
      <c r="C47" s="315">
        <f t="shared" ref="C47:F61" si="10">I47/$A$1</f>
        <v>32354.935831999999</v>
      </c>
      <c r="D47" s="315">
        <f t="shared" si="10"/>
        <v>55794.793889</v>
      </c>
      <c r="E47" s="315">
        <f t="shared" si="10"/>
        <v>81249.051389</v>
      </c>
      <c r="F47" s="315">
        <f t="shared" si="10"/>
        <v>32000</v>
      </c>
      <c r="G47" s="289">
        <f t="shared" si="2"/>
        <v>226097.07069200001</v>
      </c>
      <c r="H47" s="209">
        <v>566982895.82000005</v>
      </c>
      <c r="I47" s="363">
        <v>323549358.31999999</v>
      </c>
      <c r="J47" s="209">
        <v>557947938.88999999</v>
      </c>
      <c r="K47" s="209">
        <v>812490513.88999999</v>
      </c>
      <c r="L47" s="363">
        <v>320000000</v>
      </c>
    </row>
    <row r="48" spans="1:16" ht="17.100000000000001" customHeight="1" x14ac:dyDescent="0.3">
      <c r="A48" s="359" t="s">
        <v>61</v>
      </c>
      <c r="B48" s="315">
        <f t="shared" ref="B48:B61" si="11">H48/$A$1</f>
        <v>0</v>
      </c>
      <c r="C48" s="315">
        <f t="shared" si="10"/>
        <v>0</v>
      </c>
      <c r="D48" s="315">
        <f t="shared" si="10"/>
        <v>0</v>
      </c>
      <c r="E48" s="315">
        <f t="shared" si="10"/>
        <v>0</v>
      </c>
      <c r="F48" s="315">
        <f t="shared" si="10"/>
        <v>0</v>
      </c>
      <c r="G48" s="289">
        <f t="shared" si="2"/>
        <v>0</v>
      </c>
      <c r="H48" s="209"/>
      <c r="I48" s="363"/>
      <c r="J48" s="209"/>
      <c r="K48" s="209"/>
      <c r="L48" s="363"/>
    </row>
    <row r="49" spans="1:16" ht="17.100000000000001" customHeight="1" x14ac:dyDescent="0.3">
      <c r="A49" s="359" t="s">
        <v>62</v>
      </c>
      <c r="B49" s="315">
        <f t="shared" si="11"/>
        <v>0</v>
      </c>
      <c r="C49" s="315">
        <f t="shared" si="10"/>
        <v>0</v>
      </c>
      <c r="D49" s="315">
        <f t="shared" si="10"/>
        <v>0</v>
      </c>
      <c r="E49" s="315">
        <f t="shared" si="10"/>
        <v>0</v>
      </c>
      <c r="F49" s="315">
        <f t="shared" si="10"/>
        <v>0</v>
      </c>
      <c r="G49" s="289">
        <f t="shared" si="2"/>
        <v>0</v>
      </c>
      <c r="H49" s="209"/>
      <c r="I49" s="363"/>
      <c r="J49" s="209"/>
      <c r="K49" s="209"/>
      <c r="L49" s="209"/>
    </row>
    <row r="50" spans="1:16" ht="17.100000000000001" customHeight="1" x14ac:dyDescent="0.3">
      <c r="A50" s="359" t="s">
        <v>63</v>
      </c>
      <c r="B50" s="315">
        <f t="shared" si="11"/>
        <v>0</v>
      </c>
      <c r="C50" s="315">
        <f t="shared" si="10"/>
        <v>0</v>
      </c>
      <c r="D50" s="315">
        <f t="shared" si="10"/>
        <v>0</v>
      </c>
      <c r="E50" s="315">
        <f t="shared" si="10"/>
        <v>0</v>
      </c>
      <c r="F50" s="315">
        <f t="shared" si="10"/>
        <v>0</v>
      </c>
      <c r="G50" s="289">
        <f t="shared" si="2"/>
        <v>0</v>
      </c>
      <c r="H50" s="209"/>
      <c r="I50" s="363"/>
      <c r="J50" s="209"/>
      <c r="K50" s="209"/>
      <c r="L50" s="209"/>
    </row>
    <row r="51" spans="1:16" ht="17.100000000000001" customHeight="1" x14ac:dyDescent="0.3">
      <c r="A51" s="352" t="s">
        <v>64</v>
      </c>
      <c r="B51" s="315">
        <f t="shared" si="11"/>
        <v>550</v>
      </c>
      <c r="C51" s="315">
        <f t="shared" si="10"/>
        <v>0</v>
      </c>
      <c r="D51" s="315">
        <f t="shared" si="10"/>
        <v>20317.203602000001</v>
      </c>
      <c r="E51" s="315">
        <f t="shared" si="10"/>
        <v>69940</v>
      </c>
      <c r="F51" s="315">
        <f t="shared" si="10"/>
        <v>60996.585099000004</v>
      </c>
      <c r="G51" s="289">
        <f t="shared" si="2"/>
        <v>90807.203601999994</v>
      </c>
      <c r="H51" s="209">
        <v>5500000</v>
      </c>
      <c r="I51" s="363"/>
      <c r="J51" s="363">
        <v>203172036.02000001</v>
      </c>
      <c r="K51" s="363">
        <v>699400000</v>
      </c>
      <c r="L51" s="363">
        <v>609965850.99000001</v>
      </c>
    </row>
    <row r="52" spans="1:16" ht="17.100000000000001" customHeight="1" x14ac:dyDescent="0.3">
      <c r="A52" s="352" t="s">
        <v>65</v>
      </c>
      <c r="B52" s="315">
        <f t="shared" si="11"/>
        <v>9043.3318870000003</v>
      </c>
      <c r="C52" s="315">
        <f t="shared" si="10"/>
        <v>29508.080335000002</v>
      </c>
      <c r="D52" s="315">
        <f t="shared" si="10"/>
        <v>30421.373466000001</v>
      </c>
      <c r="E52" s="315">
        <f t="shared" si="10"/>
        <v>11455.509118</v>
      </c>
      <c r="F52" s="315">
        <f t="shared" si="10"/>
        <v>1308.1560539999998</v>
      </c>
      <c r="G52" s="289">
        <f t="shared" si="2"/>
        <v>80428.294806000005</v>
      </c>
      <c r="H52" s="209">
        <v>90433318.870000005</v>
      </c>
      <c r="I52" s="363">
        <v>295080803.35000002</v>
      </c>
      <c r="J52" s="363">
        <v>304213734.66000003</v>
      </c>
      <c r="K52" s="363">
        <v>114555091.18000001</v>
      </c>
      <c r="L52" s="363">
        <v>13081560.539999999</v>
      </c>
    </row>
    <row r="53" spans="1:16" ht="17.100000000000001" customHeight="1" x14ac:dyDescent="0.3">
      <c r="A53" s="359" t="s">
        <v>66</v>
      </c>
      <c r="B53" s="315">
        <f t="shared" si="11"/>
        <v>236.51006899999999</v>
      </c>
      <c r="C53" s="315">
        <f t="shared" si="10"/>
        <v>220.99243199999998</v>
      </c>
      <c r="D53" s="315">
        <f t="shared" si="10"/>
        <v>146.71753700000002</v>
      </c>
      <c r="E53" s="315">
        <f t="shared" si="10"/>
        <v>80.495281000000006</v>
      </c>
      <c r="F53" s="315">
        <f t="shared" si="10"/>
        <v>44.514060000000001</v>
      </c>
      <c r="G53" s="289">
        <f t="shared" si="2"/>
        <v>684.71531899999991</v>
      </c>
      <c r="H53" s="209">
        <v>2365100.69</v>
      </c>
      <c r="I53" s="363">
        <v>2209924.3199999998</v>
      </c>
      <c r="J53" s="363">
        <v>1467175.37</v>
      </c>
      <c r="K53" s="363">
        <v>804952.81</v>
      </c>
      <c r="L53" s="363">
        <v>445140.6</v>
      </c>
    </row>
    <row r="54" spans="1:16" ht="17.100000000000001" customHeight="1" x14ac:dyDescent="0.3">
      <c r="A54" s="359" t="s">
        <v>67</v>
      </c>
      <c r="B54" s="315">
        <f t="shared" si="11"/>
        <v>0</v>
      </c>
      <c r="C54" s="315">
        <f t="shared" si="10"/>
        <v>0</v>
      </c>
      <c r="D54" s="315">
        <f t="shared" si="10"/>
        <v>0</v>
      </c>
      <c r="E54" s="315">
        <f t="shared" si="10"/>
        <v>0</v>
      </c>
      <c r="F54" s="315">
        <f t="shared" si="10"/>
        <v>0</v>
      </c>
      <c r="G54" s="289">
        <f t="shared" si="2"/>
        <v>0</v>
      </c>
      <c r="H54" s="209"/>
      <c r="I54" s="365"/>
      <c r="J54" s="363"/>
      <c r="K54" s="363"/>
      <c r="L54" s="363"/>
    </row>
    <row r="55" spans="1:16" ht="17.100000000000001" customHeight="1" x14ac:dyDescent="0.3">
      <c r="A55" s="359" t="s">
        <v>68</v>
      </c>
      <c r="B55" s="315">
        <f t="shared" si="11"/>
        <v>0</v>
      </c>
      <c r="C55" s="315">
        <f t="shared" si="10"/>
        <v>0</v>
      </c>
      <c r="D55" s="315">
        <f t="shared" si="10"/>
        <v>0</v>
      </c>
      <c r="E55" s="315">
        <f t="shared" si="10"/>
        <v>0</v>
      </c>
      <c r="F55" s="315">
        <f t="shared" si="10"/>
        <v>0</v>
      </c>
      <c r="G55" s="289">
        <f t="shared" si="2"/>
        <v>0</v>
      </c>
      <c r="H55" s="209"/>
      <c r="I55" s="365"/>
      <c r="J55" s="363"/>
      <c r="K55" s="363"/>
      <c r="L55" s="363"/>
    </row>
    <row r="56" spans="1:16" ht="17.100000000000001" customHeight="1" x14ac:dyDescent="0.3">
      <c r="A56" s="359" t="s">
        <v>69</v>
      </c>
      <c r="B56" s="315">
        <f t="shared" si="11"/>
        <v>24078.054203</v>
      </c>
      <c r="C56" s="315">
        <f t="shared" si="10"/>
        <v>24367.094646000001</v>
      </c>
      <c r="D56" s="315">
        <f t="shared" si="10"/>
        <v>16669.488925000001</v>
      </c>
      <c r="E56" s="315">
        <f t="shared" si="10"/>
        <v>5693.3420640000004</v>
      </c>
      <c r="F56" s="315">
        <f t="shared" si="10"/>
        <v>7539.3847249999999</v>
      </c>
      <c r="G56" s="289">
        <f t="shared" si="2"/>
        <v>70807.979837999999</v>
      </c>
      <c r="H56" s="209">
        <v>240780542.03</v>
      </c>
      <c r="I56" s="363">
        <v>243670946.46000001</v>
      </c>
      <c r="J56" s="363">
        <v>166694889.25</v>
      </c>
      <c r="K56" s="363">
        <v>56933420.640000001</v>
      </c>
      <c r="L56" s="363">
        <v>75393847.25</v>
      </c>
    </row>
    <row r="57" spans="1:16" ht="17.100000000000001" customHeight="1" x14ac:dyDescent="0.3">
      <c r="A57" s="359" t="s">
        <v>70</v>
      </c>
      <c r="B57" s="315">
        <f t="shared" si="11"/>
        <v>1267112.523081</v>
      </c>
      <c r="C57" s="315">
        <f t="shared" si="10"/>
        <v>1010517.1949649999</v>
      </c>
      <c r="D57" s="315">
        <f t="shared" si="10"/>
        <v>725174.17004500004</v>
      </c>
      <c r="E57" s="315">
        <f t="shared" si="10"/>
        <v>285337.46199600003</v>
      </c>
      <c r="F57" s="315">
        <f t="shared" si="10"/>
        <v>312347.33516999998</v>
      </c>
      <c r="G57" s="289">
        <f t="shared" si="2"/>
        <v>3288141.3500870001</v>
      </c>
      <c r="H57" s="209">
        <v>12671125230.809999</v>
      </c>
      <c r="I57" s="363">
        <v>10105171949.65</v>
      </c>
      <c r="J57" s="363">
        <v>7251741700.4499998</v>
      </c>
      <c r="K57" s="363">
        <v>2853374619.96</v>
      </c>
      <c r="L57" s="363">
        <v>3123473351.6999998</v>
      </c>
    </row>
    <row r="58" spans="1:16" ht="17.100000000000001" customHeight="1" x14ac:dyDescent="0.3">
      <c r="A58" s="359" t="s">
        <v>71</v>
      </c>
      <c r="B58" s="315">
        <f t="shared" si="11"/>
        <v>0</v>
      </c>
      <c r="C58" s="315">
        <f t="shared" si="10"/>
        <v>0</v>
      </c>
      <c r="D58" s="315">
        <f t="shared" si="10"/>
        <v>0</v>
      </c>
      <c r="E58" s="315">
        <f t="shared" si="10"/>
        <v>0</v>
      </c>
      <c r="F58" s="315">
        <f t="shared" si="10"/>
        <v>0</v>
      </c>
      <c r="G58" s="289">
        <f t="shared" si="2"/>
        <v>0</v>
      </c>
      <c r="H58" s="209"/>
      <c r="I58" s="366"/>
      <c r="J58" s="367"/>
      <c r="K58" s="363"/>
      <c r="L58" s="363"/>
    </row>
    <row r="59" spans="1:16" ht="17.100000000000001" customHeight="1" x14ac:dyDescent="0.3">
      <c r="A59" s="352" t="s">
        <v>72</v>
      </c>
      <c r="B59" s="315">
        <f t="shared" si="11"/>
        <v>0</v>
      </c>
      <c r="C59" s="315">
        <f t="shared" si="10"/>
        <v>0</v>
      </c>
      <c r="D59" s="315">
        <f t="shared" si="10"/>
        <v>0</v>
      </c>
      <c r="E59" s="315">
        <f t="shared" si="10"/>
        <v>0</v>
      </c>
      <c r="F59" s="315">
        <f t="shared" si="10"/>
        <v>0</v>
      </c>
      <c r="G59" s="289">
        <f t="shared" si="2"/>
        <v>0</v>
      </c>
      <c r="H59" s="209"/>
      <c r="I59" s="366"/>
      <c r="J59" s="367"/>
      <c r="K59" s="363"/>
      <c r="L59" s="209"/>
    </row>
    <row r="60" spans="1:16" ht="17.100000000000001" customHeight="1" x14ac:dyDescent="0.3">
      <c r="A60" s="359" t="s">
        <v>73</v>
      </c>
      <c r="B60" s="315">
        <f t="shared" si="11"/>
        <v>499212.46129200002</v>
      </c>
      <c r="C60" s="315">
        <f t="shared" si="10"/>
        <v>579081.07794600003</v>
      </c>
      <c r="D60" s="315">
        <f t="shared" si="10"/>
        <v>220729.62292800003</v>
      </c>
      <c r="E60" s="315">
        <f t="shared" si="10"/>
        <v>248834.42972499999</v>
      </c>
      <c r="F60" s="315">
        <f t="shared" si="10"/>
        <v>142000</v>
      </c>
      <c r="G60" s="289">
        <f t="shared" si="2"/>
        <v>1547857.591891</v>
      </c>
      <c r="H60" s="209">
        <v>4992124612.9200001</v>
      </c>
      <c r="I60" s="368">
        <v>5790810779.46</v>
      </c>
      <c r="J60" s="367">
        <v>2207296229.2800002</v>
      </c>
      <c r="K60" s="363">
        <v>2488344297.25</v>
      </c>
      <c r="L60" s="363">
        <v>1420000000</v>
      </c>
    </row>
    <row r="61" spans="1:16" ht="17.100000000000001" customHeight="1" x14ac:dyDescent="0.3">
      <c r="A61" s="359" t="s">
        <v>74</v>
      </c>
      <c r="B61" s="315">
        <f t="shared" si="11"/>
        <v>540888.547914</v>
      </c>
      <c r="C61" s="315">
        <f t="shared" si="10"/>
        <v>284763.366324</v>
      </c>
      <c r="D61" s="315">
        <f t="shared" si="10"/>
        <v>191548.04436600002</v>
      </c>
      <c r="E61" s="315">
        <f t="shared" si="10"/>
        <v>589351.12320299994</v>
      </c>
      <c r="F61" s="315">
        <f t="shared" si="10"/>
        <v>397000</v>
      </c>
      <c r="G61" s="289">
        <f t="shared" si="2"/>
        <v>1606551.0818070001</v>
      </c>
      <c r="H61" s="209">
        <v>5408885479.1400003</v>
      </c>
      <c r="I61" s="368">
        <v>2847633663.2399998</v>
      </c>
      <c r="J61" s="368">
        <v>1915480443.6600001</v>
      </c>
      <c r="K61" s="369">
        <v>5893511232.0299997</v>
      </c>
      <c r="L61" s="363">
        <v>3970000000</v>
      </c>
    </row>
    <row r="62" spans="1:16" ht="17.100000000000001" customHeight="1" x14ac:dyDescent="0.3">
      <c r="A62" s="360" t="s">
        <v>75</v>
      </c>
      <c r="B62" s="361">
        <f>SUM(B47:B61)</f>
        <v>2397819.7180279996</v>
      </c>
      <c r="C62" s="361">
        <f>SUM(C47:C61)</f>
        <v>1960812.74248</v>
      </c>
      <c r="D62" s="361">
        <f t="shared" ref="D62:F62" si="12">SUM(D47:D61)</f>
        <v>1260801.4147580001</v>
      </c>
      <c r="E62" s="361">
        <f t="shared" si="12"/>
        <v>1291941.4127759999</v>
      </c>
      <c r="F62" s="361">
        <f t="shared" si="12"/>
        <v>953235.97510799998</v>
      </c>
      <c r="G62" s="289">
        <f t="shared" si="2"/>
        <v>6911375.2880420005</v>
      </c>
      <c r="H62" s="209">
        <v>23978197180.279999</v>
      </c>
      <c r="I62" s="368">
        <v>19608127424.799999</v>
      </c>
      <c r="J62" s="290">
        <v>12608014147.58</v>
      </c>
      <c r="K62" s="290">
        <v>12919414127.76</v>
      </c>
      <c r="L62" s="209">
        <v>9532359751.0799999</v>
      </c>
      <c r="M62" s="80"/>
      <c r="N62" s="80"/>
      <c r="O62" s="80"/>
      <c r="P62" s="80"/>
    </row>
    <row r="63" spans="1:16" ht="17.100000000000001" customHeight="1" x14ac:dyDescent="0.3">
      <c r="A63" s="362" t="s">
        <v>76</v>
      </c>
      <c r="B63" s="358"/>
      <c r="C63" s="358"/>
      <c r="D63" s="70"/>
      <c r="E63" s="76"/>
      <c r="F63" s="76"/>
      <c r="G63" s="289"/>
      <c r="H63" s="209"/>
      <c r="I63" s="370"/>
      <c r="J63" s="368"/>
      <c r="K63" s="369"/>
      <c r="L63" s="209"/>
    </row>
    <row r="64" spans="1:16" ht="17.100000000000001" customHeight="1" x14ac:dyDescent="0.3">
      <c r="A64" s="359" t="s">
        <v>77</v>
      </c>
      <c r="B64" s="315">
        <f>H64/$A$1</f>
        <v>238104.17782399998</v>
      </c>
      <c r="C64" s="315">
        <f t="shared" ref="C64:F72" si="13">I64/$A$1</f>
        <v>270977.57986900001</v>
      </c>
      <c r="D64" s="315">
        <f t="shared" si="13"/>
        <v>332593.22028000001</v>
      </c>
      <c r="E64" s="315">
        <f t="shared" si="13"/>
        <v>432127.12326700002</v>
      </c>
      <c r="F64" s="315">
        <f t="shared" si="13"/>
        <v>360532.57841199997</v>
      </c>
      <c r="G64" s="289">
        <f t="shared" si="2"/>
        <v>1273802.10124</v>
      </c>
      <c r="H64" s="209">
        <v>2381041778.2399998</v>
      </c>
      <c r="I64" s="371">
        <v>2709775798.6900001</v>
      </c>
      <c r="J64" s="372">
        <v>3325932202.8000002</v>
      </c>
      <c r="K64" s="371">
        <v>4321271232.6700001</v>
      </c>
      <c r="L64" s="363">
        <v>3605325784.1199999</v>
      </c>
    </row>
    <row r="65" spans="1:16" ht="17.100000000000001" customHeight="1" x14ac:dyDescent="0.3">
      <c r="A65" s="359" t="s">
        <v>78</v>
      </c>
      <c r="B65" s="315">
        <f>H65/$A$1</f>
        <v>180141.94301700001</v>
      </c>
      <c r="C65" s="315">
        <f t="shared" si="13"/>
        <v>443600.99190200004</v>
      </c>
      <c r="D65" s="315">
        <f t="shared" si="13"/>
        <v>851342.51196000003</v>
      </c>
      <c r="E65" s="315">
        <f t="shared" si="13"/>
        <v>567346.50741099997</v>
      </c>
      <c r="F65" s="315">
        <f t="shared" si="13"/>
        <v>587036.49973299995</v>
      </c>
      <c r="G65" s="289">
        <f t="shared" si="2"/>
        <v>2042431.9542899998</v>
      </c>
      <c r="H65" s="209">
        <v>1801419430.1700001</v>
      </c>
      <c r="I65" s="371">
        <v>4436009919.0200005</v>
      </c>
      <c r="J65" s="371">
        <v>8513425119.6000004</v>
      </c>
      <c r="K65" s="371">
        <v>5673465074.1099997</v>
      </c>
      <c r="L65" s="363">
        <v>5870364997.3299999</v>
      </c>
    </row>
    <row r="66" spans="1:16" ht="17.100000000000001" customHeight="1" x14ac:dyDescent="0.3">
      <c r="A66" s="359" t="s">
        <v>79</v>
      </c>
      <c r="B66" s="315">
        <f t="shared" ref="B66:B72" si="14">H66/$A$1</f>
        <v>12846.485336</v>
      </c>
      <c r="C66" s="315">
        <f t="shared" si="13"/>
        <v>11155.195308</v>
      </c>
      <c r="D66" s="315">
        <f t="shared" si="13"/>
        <v>10956.007239</v>
      </c>
      <c r="E66" s="315">
        <f t="shared" si="13"/>
        <v>23293.544569000002</v>
      </c>
      <c r="F66" s="315">
        <f t="shared" si="13"/>
        <v>5770.4149010000001</v>
      </c>
      <c r="G66" s="289">
        <f t="shared" si="2"/>
        <v>58251.232451999997</v>
      </c>
      <c r="H66" s="209">
        <v>128464853.36</v>
      </c>
      <c r="I66" s="371">
        <v>111551953.08</v>
      </c>
      <c r="J66" s="371">
        <v>109560072.39</v>
      </c>
      <c r="K66" s="371">
        <v>232935445.69</v>
      </c>
      <c r="L66" s="363">
        <v>57704149.009999998</v>
      </c>
    </row>
    <row r="67" spans="1:16" ht="17.100000000000001" customHeight="1" x14ac:dyDescent="0.3">
      <c r="A67" s="359" t="s">
        <v>80</v>
      </c>
      <c r="B67" s="315">
        <f t="shared" si="14"/>
        <v>0</v>
      </c>
      <c r="C67" s="315">
        <f t="shared" si="13"/>
        <v>0</v>
      </c>
      <c r="D67" s="315">
        <f t="shared" si="13"/>
        <v>0</v>
      </c>
      <c r="E67" s="315">
        <f t="shared" si="13"/>
        <v>0</v>
      </c>
      <c r="F67" s="315">
        <f t="shared" si="13"/>
        <v>0</v>
      </c>
      <c r="G67" s="289">
        <f t="shared" si="2"/>
        <v>0</v>
      </c>
      <c r="H67" s="209"/>
      <c r="I67" s="379"/>
      <c r="J67" s="371"/>
      <c r="K67" s="371"/>
      <c r="L67" s="363"/>
    </row>
    <row r="68" spans="1:16" ht="17.100000000000001" customHeight="1" x14ac:dyDescent="0.3">
      <c r="A68" s="359" t="s">
        <v>81</v>
      </c>
      <c r="B68" s="315">
        <f t="shared" si="14"/>
        <v>0</v>
      </c>
      <c r="C68" s="315">
        <f t="shared" si="13"/>
        <v>0</v>
      </c>
      <c r="D68" s="315">
        <f t="shared" si="13"/>
        <v>0</v>
      </c>
      <c r="E68" s="315">
        <f t="shared" si="13"/>
        <v>0</v>
      </c>
      <c r="F68" s="315">
        <f t="shared" si="13"/>
        <v>0</v>
      </c>
      <c r="G68" s="289">
        <f t="shared" si="2"/>
        <v>0</v>
      </c>
      <c r="H68" s="209"/>
      <c r="I68" s="380"/>
      <c r="J68" s="369"/>
      <c r="K68" s="369"/>
      <c r="L68" s="209"/>
    </row>
    <row r="69" spans="1:16" ht="17.100000000000001" customHeight="1" x14ac:dyDescent="0.3">
      <c r="A69" s="359" t="s">
        <v>82</v>
      </c>
      <c r="B69" s="315">
        <f t="shared" si="14"/>
        <v>0</v>
      </c>
      <c r="C69" s="315">
        <f t="shared" si="13"/>
        <v>0</v>
      </c>
      <c r="D69" s="315">
        <f t="shared" si="13"/>
        <v>0</v>
      </c>
      <c r="E69" s="315">
        <f t="shared" si="13"/>
        <v>0</v>
      </c>
      <c r="F69" s="315">
        <f t="shared" si="13"/>
        <v>0</v>
      </c>
      <c r="G69" s="289">
        <f t="shared" si="2"/>
        <v>0</v>
      </c>
      <c r="H69" s="209"/>
      <c r="I69" s="380"/>
      <c r="J69" s="369"/>
      <c r="K69" s="369"/>
      <c r="L69" s="209"/>
    </row>
    <row r="70" spans="1:16" ht="17.100000000000001" customHeight="1" x14ac:dyDescent="0.3">
      <c r="A70" s="359" t="s">
        <v>83</v>
      </c>
      <c r="B70" s="315">
        <f t="shared" si="14"/>
        <v>0</v>
      </c>
      <c r="C70" s="315">
        <f t="shared" si="13"/>
        <v>0</v>
      </c>
      <c r="D70" s="315">
        <f t="shared" si="13"/>
        <v>2753.91</v>
      </c>
      <c r="E70" s="315">
        <f t="shared" si="13"/>
        <v>2753.91</v>
      </c>
      <c r="F70" s="315">
        <f t="shared" si="13"/>
        <v>5274.91</v>
      </c>
      <c r="G70" s="289">
        <f t="shared" ref="G70:G89" si="15">SUM(B70:E70)</f>
        <v>5507.82</v>
      </c>
      <c r="H70" s="209"/>
      <c r="I70" s="371"/>
      <c r="J70" s="369">
        <v>27539100</v>
      </c>
      <c r="K70" s="369">
        <v>27539100</v>
      </c>
      <c r="L70" s="363">
        <v>52749100</v>
      </c>
    </row>
    <row r="71" spans="1:16" ht="17.100000000000001" customHeight="1" x14ac:dyDescent="0.3">
      <c r="A71" s="359" t="s">
        <v>84</v>
      </c>
      <c r="B71" s="315">
        <f t="shared" si="14"/>
        <v>17952.524223</v>
      </c>
      <c r="C71" s="315">
        <f t="shared" si="13"/>
        <v>17952.524223</v>
      </c>
      <c r="D71" s="315">
        <f t="shared" si="13"/>
        <v>20580.986722999998</v>
      </c>
      <c r="E71" s="315">
        <f t="shared" si="13"/>
        <v>0</v>
      </c>
      <c r="F71" s="315">
        <f t="shared" si="13"/>
        <v>0</v>
      </c>
      <c r="G71" s="289">
        <f t="shared" si="15"/>
        <v>56486.035168999995</v>
      </c>
      <c r="H71" s="209">
        <v>179525242.22999999</v>
      </c>
      <c r="I71" s="371">
        <v>179525242.22999999</v>
      </c>
      <c r="J71" s="371">
        <v>205809867.22999999</v>
      </c>
      <c r="K71" s="371"/>
      <c r="L71" s="209"/>
    </row>
    <row r="72" spans="1:16" ht="17.100000000000001" customHeight="1" x14ac:dyDescent="0.3">
      <c r="A72" s="359" t="s">
        <v>85</v>
      </c>
      <c r="B72" s="315">
        <f t="shared" si="14"/>
        <v>0</v>
      </c>
      <c r="C72" s="315">
        <f t="shared" si="13"/>
        <v>0</v>
      </c>
      <c r="D72" s="315">
        <f t="shared" si="13"/>
        <v>0</v>
      </c>
      <c r="E72" s="315">
        <f t="shared" si="13"/>
        <v>0</v>
      </c>
      <c r="F72" s="315">
        <f t="shared" si="13"/>
        <v>0</v>
      </c>
      <c r="G72" s="289">
        <f t="shared" si="15"/>
        <v>0</v>
      </c>
      <c r="H72" s="209"/>
      <c r="I72" s="371"/>
      <c r="J72" s="371"/>
      <c r="K72" s="371"/>
      <c r="L72" s="363"/>
    </row>
    <row r="73" spans="1:16" ht="17.100000000000001" customHeight="1" x14ac:dyDescent="0.3">
      <c r="A73" s="360" t="s">
        <v>86</v>
      </c>
      <c r="B73" s="361">
        <f>SUM(B64:B72)</f>
        <v>449045.13039999997</v>
      </c>
      <c r="C73" s="361">
        <f>SUM(C64:C65)+SUM(C66:C72)</f>
        <v>743686.29130200006</v>
      </c>
      <c r="D73" s="361">
        <f>SUM(D64:D65)+SUM(D66:D72)</f>
        <v>1218226.6362020001</v>
      </c>
      <c r="E73" s="361">
        <f>SUM(E64:E65)+SUM(E66:E72)</f>
        <v>1025521.085247</v>
      </c>
      <c r="F73" s="361">
        <f>SUM(F64:F65)+SUM(F66:F72)</f>
        <v>958614.40304599993</v>
      </c>
      <c r="G73" s="289">
        <f t="shared" si="15"/>
        <v>3436479.1431510001</v>
      </c>
      <c r="H73" s="209">
        <v>4490451304</v>
      </c>
      <c r="I73" s="371">
        <v>7436862913.0200005</v>
      </c>
      <c r="J73" s="371">
        <v>12182266362.02</v>
      </c>
      <c r="K73" s="371">
        <v>10255210852.469999</v>
      </c>
      <c r="L73" s="209">
        <v>9586144030.4599991</v>
      </c>
      <c r="M73" s="295"/>
      <c r="N73" s="295"/>
      <c r="O73" s="295"/>
      <c r="P73" s="295"/>
    </row>
    <row r="74" spans="1:16" ht="17.100000000000001" customHeight="1" x14ac:dyDescent="0.3">
      <c r="A74" s="360" t="s">
        <v>87</v>
      </c>
      <c r="B74" s="361">
        <f>B62+B73</f>
        <v>2846864.8484279998</v>
      </c>
      <c r="C74" s="361">
        <f>C62+C73</f>
        <v>2704499.0337820002</v>
      </c>
      <c r="D74" s="361">
        <f>D62+D73</f>
        <v>2479028.0509600001</v>
      </c>
      <c r="E74" s="361">
        <f>E62+E73</f>
        <v>2317462.4980229996</v>
      </c>
      <c r="F74" s="361">
        <f>F62+F73</f>
        <v>1911850.3781539998</v>
      </c>
      <c r="G74" s="289">
        <f t="shared" si="15"/>
        <v>10347854.431193</v>
      </c>
      <c r="H74" s="209">
        <v>28468648484.279999</v>
      </c>
      <c r="I74" s="371">
        <v>27044990337.82</v>
      </c>
      <c r="J74" s="371">
        <v>24790280509.599998</v>
      </c>
      <c r="K74" s="371">
        <v>23174624980.23</v>
      </c>
      <c r="L74" s="209">
        <v>19118503781.540001</v>
      </c>
      <c r="M74" s="80"/>
      <c r="N74" s="80"/>
      <c r="O74" s="80"/>
      <c r="P74" s="80"/>
    </row>
    <row r="75" spans="1:16" ht="17.100000000000001" customHeight="1" x14ac:dyDescent="0.3">
      <c r="A75" s="373" t="s">
        <v>88</v>
      </c>
      <c r="B75" s="358"/>
      <c r="C75" s="358"/>
      <c r="D75" s="70"/>
      <c r="E75" s="76"/>
      <c r="F75" s="76"/>
      <c r="G75" s="289"/>
      <c r="H75" s="209"/>
      <c r="I75" s="371"/>
      <c r="J75" s="286"/>
      <c r="K75" s="286"/>
      <c r="L75" s="209"/>
    </row>
    <row r="76" spans="1:16" ht="17.100000000000001" customHeight="1" x14ac:dyDescent="0.3">
      <c r="A76" s="374" t="s">
        <v>89</v>
      </c>
      <c r="B76" s="315">
        <f>H76/$A$1</f>
        <v>20000</v>
      </c>
      <c r="C76" s="315">
        <f t="shared" ref="C76:F85" si="16">I76/$A$1</f>
        <v>20000</v>
      </c>
      <c r="D76" s="315">
        <f t="shared" si="16"/>
        <v>20000</v>
      </c>
      <c r="E76" s="315">
        <f t="shared" si="16"/>
        <v>20000</v>
      </c>
      <c r="F76" s="315">
        <f t="shared" si="16"/>
        <v>20000</v>
      </c>
      <c r="G76" s="289">
        <f t="shared" si="15"/>
        <v>80000</v>
      </c>
      <c r="H76" s="371">
        <v>200000000</v>
      </c>
      <c r="I76" s="371">
        <v>200000000</v>
      </c>
      <c r="J76" s="371">
        <v>200000000</v>
      </c>
      <c r="K76" s="371">
        <v>200000000</v>
      </c>
      <c r="L76" s="363">
        <v>200000000</v>
      </c>
    </row>
    <row r="77" spans="1:16" ht="17.100000000000001" customHeight="1" x14ac:dyDescent="0.3">
      <c r="A77" s="374" t="s">
        <v>90</v>
      </c>
      <c r="B77" s="315">
        <f t="shared" ref="B77:B85" si="17">H77/$A$1</f>
        <v>0</v>
      </c>
      <c r="C77" s="315">
        <f t="shared" si="16"/>
        <v>0</v>
      </c>
      <c r="D77" s="315">
        <f t="shared" si="16"/>
        <v>0</v>
      </c>
      <c r="E77" s="315">
        <f t="shared" si="16"/>
        <v>0</v>
      </c>
      <c r="F77" s="315">
        <f t="shared" si="16"/>
        <v>0</v>
      </c>
      <c r="G77" s="289">
        <f t="shared" si="15"/>
        <v>0</v>
      </c>
      <c r="H77" s="209"/>
      <c r="I77" s="286"/>
      <c r="J77" s="286"/>
      <c r="K77" s="286"/>
      <c r="L77" s="209"/>
    </row>
    <row r="78" spans="1:16" ht="17.100000000000001" customHeight="1" x14ac:dyDescent="0.3">
      <c r="A78" s="352" t="s">
        <v>91</v>
      </c>
      <c r="B78" s="315">
        <f t="shared" si="17"/>
        <v>0</v>
      </c>
      <c r="C78" s="315">
        <f t="shared" si="16"/>
        <v>0</v>
      </c>
      <c r="D78" s="315">
        <f t="shared" si="16"/>
        <v>0</v>
      </c>
      <c r="E78" s="315">
        <f t="shared" si="16"/>
        <v>0</v>
      </c>
      <c r="F78" s="315">
        <f t="shared" si="16"/>
        <v>0</v>
      </c>
      <c r="G78" s="289">
        <f t="shared" si="15"/>
        <v>0</v>
      </c>
      <c r="H78" s="209"/>
      <c r="I78" s="286"/>
      <c r="J78" s="286"/>
      <c r="K78" s="286"/>
      <c r="L78" s="209"/>
    </row>
    <row r="79" spans="1:16" ht="17.100000000000001" customHeight="1" x14ac:dyDescent="0.3">
      <c r="A79" s="352" t="s">
        <v>92</v>
      </c>
      <c r="B79" s="315">
        <f t="shared" si="17"/>
        <v>0</v>
      </c>
      <c r="C79" s="315">
        <f t="shared" si="16"/>
        <v>0</v>
      </c>
      <c r="D79" s="315">
        <f t="shared" si="16"/>
        <v>0</v>
      </c>
      <c r="E79" s="315">
        <f t="shared" si="16"/>
        <v>0</v>
      </c>
      <c r="F79" s="315">
        <f t="shared" si="16"/>
        <v>0</v>
      </c>
      <c r="G79" s="289">
        <f t="shared" si="15"/>
        <v>0</v>
      </c>
      <c r="H79" s="209"/>
      <c r="I79" s="286"/>
      <c r="J79" s="286"/>
      <c r="K79" s="286"/>
      <c r="L79" s="209"/>
    </row>
    <row r="80" spans="1:16" ht="17.100000000000001" customHeight="1" x14ac:dyDescent="0.3">
      <c r="A80" s="352" t="s">
        <v>93</v>
      </c>
      <c r="B80" s="315">
        <f t="shared" si="17"/>
        <v>920227.96617700008</v>
      </c>
      <c r="C80" s="315">
        <f t="shared" si="16"/>
        <v>920227.96617700008</v>
      </c>
      <c r="D80" s="315">
        <f t="shared" si="16"/>
        <v>920348.56557700003</v>
      </c>
      <c r="E80" s="315">
        <f t="shared" si="16"/>
        <v>943764.16385499993</v>
      </c>
      <c r="F80" s="315">
        <f t="shared" si="16"/>
        <v>912083.85093899991</v>
      </c>
      <c r="G80" s="289">
        <f t="shared" si="15"/>
        <v>3704568.6617860002</v>
      </c>
      <c r="H80" s="209">
        <v>9202279661.7700005</v>
      </c>
      <c r="I80" s="371">
        <v>9202279661.7700005</v>
      </c>
      <c r="J80" s="371">
        <v>9203485655.7700005</v>
      </c>
      <c r="K80" s="371">
        <v>9437641638.5499992</v>
      </c>
      <c r="L80" s="363">
        <v>9120838509.3899994</v>
      </c>
    </row>
    <row r="81" spans="1:16" ht="17.100000000000001" customHeight="1" x14ac:dyDescent="0.3">
      <c r="A81" s="352" t="s">
        <v>94</v>
      </c>
      <c r="B81" s="315">
        <f t="shared" si="17"/>
        <v>0</v>
      </c>
      <c r="C81" s="315">
        <f t="shared" si="16"/>
        <v>0</v>
      </c>
      <c r="D81" s="315">
        <f t="shared" si="16"/>
        <v>0</v>
      </c>
      <c r="E81" s="315">
        <f t="shared" si="16"/>
        <v>0</v>
      </c>
      <c r="F81" s="315">
        <f t="shared" si="16"/>
        <v>0</v>
      </c>
      <c r="G81" s="289">
        <f t="shared" si="15"/>
        <v>0</v>
      </c>
      <c r="H81" s="209"/>
      <c r="I81" s="371"/>
      <c r="J81" s="286"/>
      <c r="K81" s="286"/>
      <c r="L81" s="209"/>
    </row>
    <row r="82" spans="1:16" ht="17.100000000000001" customHeight="1" x14ac:dyDescent="0.3">
      <c r="A82" s="352" t="s">
        <v>95</v>
      </c>
      <c r="B82" s="315">
        <f t="shared" si="17"/>
        <v>60058.385547999998</v>
      </c>
      <c r="C82" s="315">
        <f t="shared" si="16"/>
        <v>60058.385547999998</v>
      </c>
      <c r="D82" s="315">
        <f t="shared" si="16"/>
        <v>60291.762463999999</v>
      </c>
      <c r="E82" s="315">
        <f t="shared" si="16"/>
        <v>0</v>
      </c>
      <c r="F82" s="315">
        <f t="shared" si="16"/>
        <v>0</v>
      </c>
      <c r="G82" s="289">
        <f t="shared" si="15"/>
        <v>180408.53356000001</v>
      </c>
      <c r="H82" s="209">
        <v>600583855.48000002</v>
      </c>
      <c r="I82" s="371">
        <v>600583855.48000002</v>
      </c>
      <c r="J82" s="371">
        <v>602917624.63999999</v>
      </c>
      <c r="K82" s="371"/>
      <c r="L82" s="363"/>
    </row>
    <row r="83" spans="1:16" ht="17.100000000000001" customHeight="1" x14ac:dyDescent="0.3">
      <c r="A83" s="352" t="s">
        <v>96</v>
      </c>
      <c r="B83" s="315">
        <f t="shared" si="17"/>
        <v>0</v>
      </c>
      <c r="C83" s="315">
        <f t="shared" si="16"/>
        <v>0</v>
      </c>
      <c r="D83" s="315">
        <f t="shared" si="16"/>
        <v>0</v>
      </c>
      <c r="E83" s="315">
        <f t="shared" si="16"/>
        <v>0</v>
      </c>
      <c r="F83" s="315">
        <f t="shared" si="16"/>
        <v>0</v>
      </c>
      <c r="G83" s="289">
        <f t="shared" si="15"/>
        <v>0</v>
      </c>
      <c r="H83" s="209"/>
      <c r="I83" s="371"/>
      <c r="J83" s="286"/>
      <c r="K83" s="286"/>
      <c r="L83" s="363"/>
    </row>
    <row r="84" spans="1:16" ht="17.100000000000001" customHeight="1" x14ac:dyDescent="0.3">
      <c r="A84" s="352" t="s">
        <v>97</v>
      </c>
      <c r="B84" s="315">
        <f t="shared" si="17"/>
        <v>50806.190256000002</v>
      </c>
      <c r="C84" s="315">
        <f t="shared" si="16"/>
        <v>50806.190256000002</v>
      </c>
      <c r="D84" s="315">
        <f t="shared" si="16"/>
        <v>45807.645101999995</v>
      </c>
      <c r="E84" s="315">
        <f t="shared" si="16"/>
        <v>36851.437987999998</v>
      </c>
      <c r="F84" s="315">
        <f t="shared" si="16"/>
        <v>33254.601417999998</v>
      </c>
      <c r="G84" s="289">
        <f t="shared" si="15"/>
        <v>184271.46360199997</v>
      </c>
      <c r="H84" s="209">
        <v>508061902.56</v>
      </c>
      <c r="I84" s="371">
        <v>508061902.56</v>
      </c>
      <c r="J84" s="371">
        <v>458076451.01999998</v>
      </c>
      <c r="K84" s="371">
        <v>368514379.88</v>
      </c>
      <c r="L84" s="363">
        <v>332546014.18000001</v>
      </c>
    </row>
    <row r="85" spans="1:16" ht="17.100000000000001" customHeight="1" x14ac:dyDescent="0.3">
      <c r="A85" s="352" t="s">
        <v>98</v>
      </c>
      <c r="B85" s="315">
        <f t="shared" si="17"/>
        <v>430172.27486000006</v>
      </c>
      <c r="C85" s="315">
        <f t="shared" si="16"/>
        <v>413357.96227600001</v>
      </c>
      <c r="D85" s="315">
        <f t="shared" si="16"/>
        <v>376007.05588900001</v>
      </c>
      <c r="E85" s="315">
        <f t="shared" si="16"/>
        <v>302784.191865</v>
      </c>
      <c r="F85" s="315">
        <f t="shared" si="16"/>
        <v>277740.66273600003</v>
      </c>
      <c r="G85" s="289">
        <f t="shared" si="15"/>
        <v>1522321.48489</v>
      </c>
      <c r="H85" s="209">
        <v>4301722748.6000004</v>
      </c>
      <c r="I85" s="371">
        <v>4133579622.7600002</v>
      </c>
      <c r="J85" s="371">
        <v>3760070558.8899999</v>
      </c>
      <c r="K85" s="371">
        <v>3027841918.6500001</v>
      </c>
      <c r="L85" s="363">
        <v>2777406627.3600001</v>
      </c>
    </row>
    <row r="86" spans="1:16" ht="17.100000000000001" customHeight="1" x14ac:dyDescent="0.3">
      <c r="A86" s="375" t="s">
        <v>99</v>
      </c>
      <c r="B86" s="376">
        <f>SUM(B76:B77)+B80-B81+SUM(B82:B85)</f>
        <v>1481264.8168410002</v>
      </c>
      <c r="C86" s="376">
        <f t="shared" ref="C86:F86" si="18">SUM(C76:C77)+C80-C81+SUM(C82:C85)</f>
        <v>1464450.5042570001</v>
      </c>
      <c r="D86" s="376">
        <f t="shared" si="18"/>
        <v>1422455.0290320001</v>
      </c>
      <c r="E86" s="376">
        <f t="shared" si="18"/>
        <v>1303399.7937079999</v>
      </c>
      <c r="F86" s="376">
        <f t="shared" si="18"/>
        <v>1243079.115093</v>
      </c>
      <c r="G86" s="289">
        <f t="shared" si="15"/>
        <v>5671570.1438379996</v>
      </c>
      <c r="H86" s="209"/>
      <c r="I86" s="371">
        <v>14644505042.57</v>
      </c>
      <c r="J86" s="371">
        <v>14224550290.32</v>
      </c>
      <c r="K86" s="371">
        <v>13033997937.08</v>
      </c>
      <c r="L86" s="209">
        <v>12430791150.93</v>
      </c>
      <c r="M86" s="295"/>
      <c r="N86" s="295"/>
      <c r="O86" s="295"/>
      <c r="P86" s="295"/>
    </row>
    <row r="87" spans="1:16" ht="17.100000000000001" customHeight="1" x14ac:dyDescent="0.3">
      <c r="A87" s="352" t="s">
        <v>100</v>
      </c>
      <c r="B87" s="70">
        <f>H87/$A$1</f>
        <v>0</v>
      </c>
      <c r="C87" s="70">
        <f>I87/$A$1</f>
        <v>0</v>
      </c>
      <c r="D87" s="70">
        <f t="shared" ref="D87:F87" si="19">J87/$A$1</f>
        <v>0</v>
      </c>
      <c r="E87" s="70">
        <f t="shared" si="19"/>
        <v>0</v>
      </c>
      <c r="F87" s="70">
        <f t="shared" si="19"/>
        <v>0</v>
      </c>
      <c r="G87" s="289">
        <f t="shared" si="15"/>
        <v>0</v>
      </c>
      <c r="H87" s="209"/>
      <c r="I87" s="371"/>
      <c r="J87" s="371"/>
      <c r="K87" s="371"/>
      <c r="L87" s="363"/>
    </row>
    <row r="88" spans="1:16" ht="17.100000000000001" customHeight="1" x14ac:dyDescent="0.3">
      <c r="A88" s="375" t="s">
        <v>101</v>
      </c>
      <c r="B88" s="376">
        <f t="shared" ref="B88:F88" si="20">SUM(B86:B87)</f>
        <v>1481264.8168410002</v>
      </c>
      <c r="C88" s="376">
        <f t="shared" si="20"/>
        <v>1464450.5042570001</v>
      </c>
      <c r="D88" s="376">
        <f t="shared" si="20"/>
        <v>1422455.0290320001</v>
      </c>
      <c r="E88" s="376">
        <f t="shared" si="20"/>
        <v>1303399.7937079999</v>
      </c>
      <c r="F88" s="376">
        <f t="shared" si="20"/>
        <v>1243079.115093</v>
      </c>
      <c r="G88" s="289">
        <f t="shared" si="15"/>
        <v>5671570.1438379996</v>
      </c>
      <c r="H88" s="209">
        <v>14812648168.41</v>
      </c>
      <c r="I88" s="371">
        <v>14644505042.57</v>
      </c>
      <c r="J88" s="371">
        <v>14224550290.32</v>
      </c>
      <c r="K88" s="371">
        <v>13033997937.08</v>
      </c>
      <c r="L88" s="209">
        <v>12430791150.93</v>
      </c>
      <c r="M88" s="294"/>
      <c r="N88" s="294"/>
      <c r="O88" s="294"/>
      <c r="P88" s="294"/>
    </row>
    <row r="89" spans="1:16" ht="17.100000000000001" customHeight="1" x14ac:dyDescent="0.3">
      <c r="A89" s="375" t="s">
        <v>102</v>
      </c>
      <c r="B89" s="355">
        <f t="shared" ref="B89:F89" si="21">B74+B88</f>
        <v>4328129.6652690005</v>
      </c>
      <c r="C89" s="355">
        <f t="shared" si="21"/>
        <v>4168949.5380390002</v>
      </c>
      <c r="D89" s="355">
        <f t="shared" si="21"/>
        <v>3901483.079992</v>
      </c>
      <c r="E89" s="355">
        <f t="shared" si="21"/>
        <v>3620862.2917309995</v>
      </c>
      <c r="F89" s="355">
        <f t="shared" si="21"/>
        <v>3154929.4932469996</v>
      </c>
      <c r="G89" s="289">
        <f t="shared" si="15"/>
        <v>16019424.575031001</v>
      </c>
      <c r="H89" s="209">
        <v>43281296652.690002</v>
      </c>
      <c r="I89" s="371">
        <v>41689495380.389999</v>
      </c>
      <c r="J89" s="371">
        <v>39014830799.919998</v>
      </c>
      <c r="K89" s="371">
        <v>36208622917.309998</v>
      </c>
      <c r="L89" s="209">
        <v>31549294932.470001</v>
      </c>
      <c r="M89" s="80"/>
      <c r="N89" s="80"/>
      <c r="O89" s="80"/>
      <c r="P89" s="80"/>
    </row>
    <row r="90" spans="1:16" ht="17.100000000000001" customHeight="1" x14ac:dyDescent="0.3">
      <c r="A90" s="419" t="s">
        <v>103</v>
      </c>
      <c r="B90" s="420"/>
      <c r="C90" s="420"/>
      <c r="D90" s="420"/>
      <c r="E90" s="420"/>
      <c r="F90" s="421"/>
      <c r="G90" s="285"/>
      <c r="H90" s="377"/>
      <c r="I90" s="371"/>
      <c r="J90" s="304"/>
      <c r="K90" s="304"/>
      <c r="L90" s="351"/>
    </row>
    <row r="91" spans="1:16" s="67" customFormat="1" ht="17.100000000000001" customHeight="1" x14ac:dyDescent="0.3">
      <c r="A91" s="67" t="s">
        <v>104</v>
      </c>
      <c r="B91" s="378">
        <f>B89-B45</f>
        <v>0</v>
      </c>
      <c r="C91" s="378">
        <f t="shared" ref="C91:F91" si="22">C89-C45</f>
        <v>0</v>
      </c>
      <c r="D91" s="378">
        <f t="shared" si="22"/>
        <v>0</v>
      </c>
      <c r="E91" s="378">
        <f t="shared" si="22"/>
        <v>0</v>
      </c>
      <c r="F91" s="378">
        <f t="shared" si="22"/>
        <v>0</v>
      </c>
    </row>
    <row r="92" spans="1:16" ht="17.100000000000001" customHeight="1" x14ac:dyDescent="0.3">
      <c r="B92" s="69"/>
      <c r="C92" s="69"/>
      <c r="D92" s="69"/>
    </row>
    <row r="93" spans="1:16" ht="17.100000000000001" customHeight="1" x14ac:dyDescent="0.3">
      <c r="B93" s="80"/>
      <c r="D93" s="80"/>
    </row>
    <row r="94" spans="1:16" ht="17.100000000000001" customHeight="1" x14ac:dyDescent="0.3">
      <c r="B94" s="80"/>
      <c r="D94" s="69"/>
    </row>
    <row r="95" spans="1:16" ht="17.100000000000001" customHeight="1" x14ac:dyDescent="0.3">
      <c r="A95" s="69" t="s">
        <v>105</v>
      </c>
      <c r="B95" s="80">
        <f>B64+B65+B66</f>
        <v>431092.60617699998</v>
      </c>
      <c r="C95" s="80">
        <f t="shared" ref="C95:F95" si="23">C64+C65+C66</f>
        <v>725733.76707900001</v>
      </c>
      <c r="D95" s="80">
        <f t="shared" si="23"/>
        <v>1194891.739479</v>
      </c>
      <c r="E95" s="80">
        <f t="shared" si="23"/>
        <v>1022767.1752469999</v>
      </c>
      <c r="F95" s="80">
        <f t="shared" si="23"/>
        <v>953339.4930459999</v>
      </c>
    </row>
    <row r="96" spans="1:16" ht="17.100000000000001" customHeight="1" x14ac:dyDescent="0.3">
      <c r="A96" s="68" t="s">
        <v>106</v>
      </c>
      <c r="B96" s="80">
        <f>B47+B51+B60+B61</f>
        <v>1097349.2987879999</v>
      </c>
      <c r="C96" s="80">
        <f>C47+C51+C60+C61</f>
        <v>896199.38010199997</v>
      </c>
      <c r="D96" s="80">
        <f t="shared" ref="D96:F96" si="24">D47+D51+D60+D61</f>
        <v>488389.66478500003</v>
      </c>
      <c r="E96" s="80">
        <f t="shared" si="24"/>
        <v>989374.6043169999</v>
      </c>
      <c r="F96" s="80">
        <f t="shared" si="24"/>
        <v>631996.58509900002</v>
      </c>
    </row>
    <row r="97" spans="1:3" ht="17.100000000000001" customHeight="1" x14ac:dyDescent="0.3">
      <c r="A97" s="396" t="s">
        <v>1223</v>
      </c>
      <c r="C97" s="68">
        <v>164.27</v>
      </c>
    </row>
    <row r="98" spans="1:3" ht="17.100000000000001" customHeight="1" x14ac:dyDescent="0.3">
      <c r="C98" s="69">
        <f>C96/10000/C97</f>
        <v>0.54556485061301518</v>
      </c>
    </row>
  </sheetData>
  <mergeCells count="3">
    <mergeCell ref="B1:F1"/>
    <mergeCell ref="H1:L1"/>
    <mergeCell ref="A90:F90"/>
  </mergeCells>
  <phoneticPr fontId="41" type="noConversion"/>
  <pageMargins left="0.7" right="0.7" top="0.75" bottom="0.75" header="0.3" footer="0.3"/>
  <pageSetup paperSize="9"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T16"/>
  <sheetViews>
    <sheetView zoomScale="145" zoomScaleNormal="145" workbookViewId="0">
      <selection activeCell="D16" sqref="D16"/>
    </sheetView>
  </sheetViews>
  <sheetFormatPr defaultColWidth="9" defaultRowHeight="15.6" customHeight="1" x14ac:dyDescent="0.3"/>
  <cols>
    <col min="1" max="1" width="28.06640625" style="24" customWidth="1"/>
    <col min="2" max="2" width="16.46484375" style="24" customWidth="1"/>
    <col min="3" max="3" width="9" style="24"/>
    <col min="4" max="4" width="16.46484375" style="24" customWidth="1"/>
    <col min="5" max="5" width="9" style="24"/>
    <col min="6" max="6" width="16.46484375" style="24" customWidth="1"/>
    <col min="7" max="7" width="8.59765625" style="24" customWidth="1"/>
    <col min="8" max="8" width="14.3984375" style="24" customWidth="1"/>
    <col min="9" max="9" width="9" style="24"/>
    <col min="10" max="10" width="14.3984375" style="24" customWidth="1"/>
    <col min="11" max="11" width="9" style="24"/>
    <col min="12" max="12" width="15.1328125" style="24" customWidth="1"/>
    <col min="13" max="13" width="9.59765625" style="24" customWidth="1"/>
    <col min="14" max="14" width="9" style="24"/>
    <col min="15" max="15" width="14.3984375" style="24" customWidth="1"/>
    <col min="16" max="17" width="9" style="24"/>
    <col min="18" max="18" width="12.3984375" style="24" customWidth="1"/>
    <col min="19" max="19" width="9.06640625" style="24" customWidth="1"/>
    <col min="20" max="16384" width="9" style="24"/>
  </cols>
  <sheetData>
    <row r="1" spans="1:20" ht="26.1" customHeight="1" x14ac:dyDescent="0.3">
      <c r="A1" s="425" t="s">
        <v>1128</v>
      </c>
      <c r="B1" s="425"/>
      <c r="C1" s="425"/>
      <c r="D1" s="425"/>
      <c r="E1" s="425"/>
      <c r="F1" s="425"/>
      <c r="G1" s="425"/>
      <c r="H1" s="425"/>
      <c r="I1" s="425"/>
      <c r="J1" s="425"/>
      <c r="K1" s="425"/>
      <c r="L1" s="458" t="s">
        <v>1129</v>
      </c>
      <c r="M1" s="458"/>
      <c r="N1" s="458"/>
      <c r="O1" s="458"/>
      <c r="P1" s="458"/>
      <c r="Q1" s="458"/>
      <c r="R1" s="458"/>
      <c r="S1" s="458"/>
      <c r="T1" s="458"/>
    </row>
    <row r="2" spans="1:20" ht="15.6" customHeight="1" x14ac:dyDescent="0.3">
      <c r="A2" s="432" t="s">
        <v>278</v>
      </c>
      <c r="B2" s="431" t="str">
        <f>首页!C2</f>
        <v>2024年9月末</v>
      </c>
      <c r="C2" s="431"/>
      <c r="D2" s="431" t="str">
        <f>首页!D2</f>
        <v>2023年末</v>
      </c>
      <c r="E2" s="431"/>
      <c r="F2" s="431" t="str">
        <f>首页!E2</f>
        <v>2022年末</v>
      </c>
      <c r="G2" s="431"/>
      <c r="H2" s="431" t="str">
        <f>首页!F2</f>
        <v>2021年末</v>
      </c>
      <c r="I2" s="431"/>
      <c r="J2" s="431" t="str">
        <f>首页!G2</f>
        <v>2020年末</v>
      </c>
      <c r="K2" s="431"/>
      <c r="L2" s="434" t="str">
        <f>B2&amp;"较"&amp;D2</f>
        <v>2024年9月末较2023年末</v>
      </c>
      <c r="M2" s="434"/>
      <c r="N2" s="434"/>
      <c r="O2" s="434" t="str">
        <f t="shared" ref="O2" si="0">D2&amp;"较"&amp;F2</f>
        <v>2023年末较2022年末</v>
      </c>
      <c r="P2" s="434"/>
      <c r="Q2" s="434"/>
      <c r="R2" s="434" t="str">
        <f t="shared" ref="R2" si="1">F2&amp;"较"&amp;H2</f>
        <v>2022年末较2021年末</v>
      </c>
      <c r="S2" s="434"/>
      <c r="T2" s="434"/>
    </row>
    <row r="3" spans="1:20" ht="15.6" customHeight="1" x14ac:dyDescent="0.3">
      <c r="A3" s="432"/>
      <c r="B3" s="28" t="s">
        <v>729</v>
      </c>
      <c r="C3" s="28" t="s">
        <v>763</v>
      </c>
      <c r="D3" s="28" t="s">
        <v>729</v>
      </c>
      <c r="E3" s="28" t="s">
        <v>763</v>
      </c>
      <c r="F3" s="28" t="s">
        <v>729</v>
      </c>
      <c r="G3" s="28" t="s">
        <v>763</v>
      </c>
      <c r="H3" s="28" t="s">
        <v>729</v>
      </c>
      <c r="I3" s="28" t="s">
        <v>763</v>
      </c>
      <c r="J3" s="28" t="s">
        <v>729</v>
      </c>
      <c r="K3" s="28" t="s">
        <v>763</v>
      </c>
      <c r="L3" s="43" t="s">
        <v>1110</v>
      </c>
      <c r="M3" s="43" t="s">
        <v>1055</v>
      </c>
      <c r="N3" s="43" t="s">
        <v>1111</v>
      </c>
      <c r="O3" s="43" t="s">
        <v>1110</v>
      </c>
      <c r="P3" s="43" t="s">
        <v>1055</v>
      </c>
      <c r="Q3" s="43" t="s">
        <v>1111</v>
      </c>
      <c r="R3" s="43" t="s">
        <v>1110</v>
      </c>
      <c r="S3" s="43" t="s">
        <v>1055</v>
      </c>
      <c r="T3" s="43" t="s">
        <v>1111</v>
      </c>
    </row>
    <row r="4" spans="1:20" ht="15.6" customHeight="1" x14ac:dyDescent="0.3">
      <c r="A4" s="42" t="str">
        <f>'合并-bs'!A76</f>
        <v>实收资本（或股本）</v>
      </c>
      <c r="B4" s="34">
        <f>'合并-bs'!B76</f>
        <v>20000</v>
      </c>
      <c r="C4" s="35">
        <f>B4/$B$16</f>
        <v>1.1727618036361919E-2</v>
      </c>
      <c r="D4" s="34">
        <f>'合并-bs'!C76</f>
        <v>20000</v>
      </c>
      <c r="E4" s="35">
        <f>D4/$D$16</f>
        <v>1.1644238684177785E-2</v>
      </c>
      <c r="F4" s="34">
        <f>'合并-bs'!D76</f>
        <v>20000</v>
      </c>
      <c r="G4" s="35">
        <f>F4/$F$16</f>
        <v>1.1706905425114668E-2</v>
      </c>
      <c r="H4" s="34">
        <f>'合并-bs'!E76</f>
        <v>20000</v>
      </c>
      <c r="I4" s="35">
        <f>H4/$H$16</f>
        <v>1.3279175445161695E-2</v>
      </c>
      <c r="J4" s="34">
        <f>'合并-bs'!F76</f>
        <v>20000</v>
      </c>
      <c r="K4" s="35">
        <f>J4/$J$16</f>
        <v>1.4639971987863249E-2</v>
      </c>
      <c r="L4" s="25">
        <f>B4-D4</f>
        <v>0</v>
      </c>
      <c r="M4" s="26">
        <f>L4/D4</f>
        <v>0</v>
      </c>
      <c r="O4" s="25">
        <f>D4-F4</f>
        <v>0</v>
      </c>
      <c r="P4" s="26">
        <f>O4/F4</f>
        <v>0</v>
      </c>
      <c r="R4" s="25">
        <f>F4-H4</f>
        <v>0</v>
      </c>
      <c r="S4" s="26">
        <f>R4/H4</f>
        <v>0</v>
      </c>
    </row>
    <row r="5" spans="1:20" ht="15.6" customHeight="1" x14ac:dyDescent="0.3">
      <c r="A5" s="42" t="str">
        <f>'合并-bs'!A77</f>
        <v>其他权益工具</v>
      </c>
      <c r="B5" s="34">
        <f>'合并-bs'!B77</f>
        <v>0</v>
      </c>
      <c r="C5" s="35">
        <f t="shared" ref="C5:C16" si="2">B5/$B$16</f>
        <v>0</v>
      </c>
      <c r="D5" s="34">
        <f>'合并-bs'!C77</f>
        <v>0</v>
      </c>
      <c r="E5" s="35">
        <f t="shared" ref="E5:E16" si="3">D5/$D$16</f>
        <v>0</v>
      </c>
      <c r="F5" s="34">
        <f>'合并-bs'!D77</f>
        <v>0</v>
      </c>
      <c r="G5" s="35">
        <f t="shared" ref="G5:G16" si="4">F5/$F$16</f>
        <v>0</v>
      </c>
      <c r="H5" s="34">
        <f>'合并-bs'!E77</f>
        <v>0</v>
      </c>
      <c r="I5" s="35">
        <f t="shared" ref="I5:I16" si="5">H5/$H$16</f>
        <v>0</v>
      </c>
      <c r="J5" s="34">
        <f>'合并-bs'!F77</f>
        <v>0</v>
      </c>
      <c r="K5" s="35">
        <f t="shared" ref="K5:K16" si="6">J5/$J$16</f>
        <v>0</v>
      </c>
      <c r="L5" s="25">
        <f t="shared" ref="L5:L16" si="7">B5-D5</f>
        <v>0</v>
      </c>
      <c r="M5" s="26" t="e">
        <f t="shared" ref="M5:M16" si="8">L5/D5</f>
        <v>#DIV/0!</v>
      </c>
      <c r="O5" s="25">
        <f t="shared" ref="O5:O16" si="9">D5-F5</f>
        <v>0</v>
      </c>
      <c r="P5" s="26" t="e">
        <f t="shared" ref="P5:P16" si="10">O5/F5</f>
        <v>#DIV/0!</v>
      </c>
      <c r="R5" s="25">
        <f t="shared" ref="R5:R16" si="11">F5-H5</f>
        <v>0</v>
      </c>
      <c r="S5" s="26" t="e">
        <f t="shared" ref="S5:S16" si="12">R5/H5</f>
        <v>#DIV/0!</v>
      </c>
    </row>
    <row r="6" spans="1:20" ht="15.6" customHeight="1" x14ac:dyDescent="0.3">
      <c r="A6" s="42" t="str">
        <f>'合并-bs'!A78</f>
        <v>其中：优先股</v>
      </c>
      <c r="B6" s="34">
        <f>'合并-bs'!B78</f>
        <v>0</v>
      </c>
      <c r="C6" s="35">
        <f t="shared" si="2"/>
        <v>0</v>
      </c>
      <c r="D6" s="34">
        <f>'合并-bs'!C78</f>
        <v>0</v>
      </c>
      <c r="E6" s="35">
        <f t="shared" si="3"/>
        <v>0</v>
      </c>
      <c r="F6" s="34">
        <f>'合并-bs'!D78</f>
        <v>0</v>
      </c>
      <c r="G6" s="35">
        <f t="shared" si="4"/>
        <v>0</v>
      </c>
      <c r="H6" s="34">
        <f>'合并-bs'!E78</f>
        <v>0</v>
      </c>
      <c r="I6" s="35">
        <f t="shared" si="5"/>
        <v>0</v>
      </c>
      <c r="J6" s="34">
        <f>'合并-bs'!F78</f>
        <v>0</v>
      </c>
      <c r="K6" s="35">
        <f t="shared" si="6"/>
        <v>0</v>
      </c>
      <c r="L6" s="25">
        <f t="shared" si="7"/>
        <v>0</v>
      </c>
      <c r="M6" s="26" t="e">
        <f t="shared" si="8"/>
        <v>#DIV/0!</v>
      </c>
      <c r="O6" s="25">
        <f t="shared" si="9"/>
        <v>0</v>
      </c>
      <c r="P6" s="26" t="e">
        <f t="shared" si="10"/>
        <v>#DIV/0!</v>
      </c>
      <c r="R6" s="25">
        <f t="shared" si="11"/>
        <v>0</v>
      </c>
      <c r="S6" s="26" t="e">
        <f t="shared" si="12"/>
        <v>#DIV/0!</v>
      </c>
    </row>
    <row r="7" spans="1:20" ht="15.6" customHeight="1" x14ac:dyDescent="0.3">
      <c r="A7" s="42" t="str">
        <f>'合并-bs'!A79</f>
        <v xml:space="preserve">      永续债</v>
      </c>
      <c r="B7" s="34">
        <f>'合并-bs'!B79</f>
        <v>0</v>
      </c>
      <c r="C7" s="35">
        <f t="shared" si="2"/>
        <v>0</v>
      </c>
      <c r="D7" s="34">
        <f>'合并-bs'!C79</f>
        <v>0</v>
      </c>
      <c r="E7" s="35">
        <f t="shared" si="3"/>
        <v>0</v>
      </c>
      <c r="F7" s="34">
        <f>'合并-bs'!D79</f>
        <v>0</v>
      </c>
      <c r="G7" s="35">
        <f t="shared" si="4"/>
        <v>0</v>
      </c>
      <c r="H7" s="34">
        <f>'合并-bs'!E79</f>
        <v>0</v>
      </c>
      <c r="I7" s="35">
        <f t="shared" si="5"/>
        <v>0</v>
      </c>
      <c r="J7" s="34">
        <f>'合并-bs'!F79</f>
        <v>0</v>
      </c>
      <c r="K7" s="35">
        <f t="shared" si="6"/>
        <v>0</v>
      </c>
      <c r="L7" s="25">
        <f t="shared" si="7"/>
        <v>0</v>
      </c>
      <c r="M7" s="26" t="e">
        <f t="shared" si="8"/>
        <v>#DIV/0!</v>
      </c>
      <c r="O7" s="25">
        <f t="shared" si="9"/>
        <v>0</v>
      </c>
      <c r="P7" s="26" t="e">
        <f t="shared" si="10"/>
        <v>#DIV/0!</v>
      </c>
      <c r="R7" s="25">
        <f t="shared" si="11"/>
        <v>0</v>
      </c>
      <c r="S7" s="26" t="e">
        <f t="shared" si="12"/>
        <v>#DIV/0!</v>
      </c>
    </row>
    <row r="8" spans="1:20" ht="15.6" customHeight="1" x14ac:dyDescent="0.3">
      <c r="A8" s="42" t="str">
        <f>'合并-bs'!A80</f>
        <v>资本公积</v>
      </c>
      <c r="B8" s="34">
        <f>'合并-bs'!B80</f>
        <v>1193537.3035309999</v>
      </c>
      <c r="C8" s="35">
        <f t="shared" si="2"/>
        <v>0.69986748039804636</v>
      </c>
      <c r="D8" s="34">
        <f>'合并-bs'!C80</f>
        <v>1192861.1118049999</v>
      </c>
      <c r="E8" s="35">
        <f t="shared" si="3"/>
        <v>0.69449797514655509</v>
      </c>
      <c r="F8" s="34">
        <f>'合并-bs'!D80</f>
        <v>1201183.5712049999</v>
      </c>
      <c r="G8" s="35">
        <f t="shared" si="4"/>
        <v>0.7031071233149212</v>
      </c>
      <c r="H8" s="34">
        <f>'合并-bs'!E80</f>
        <v>1088056.8200610001</v>
      </c>
      <c r="I8" s="35">
        <f t="shared" si="5"/>
        <v>0.72242487039473746</v>
      </c>
      <c r="J8" s="34">
        <f>'合并-bs'!F80</f>
        <v>968285.875459</v>
      </c>
      <c r="K8" s="35">
        <f t="shared" si="6"/>
        <v>0.7087839046481702</v>
      </c>
      <c r="L8" s="25">
        <f t="shared" si="7"/>
        <v>676.19172600004822</v>
      </c>
      <c r="M8" s="26">
        <f t="shared" si="8"/>
        <v>5.6686542910000331E-4</v>
      </c>
      <c r="O8" s="25">
        <f t="shared" si="9"/>
        <v>-8322.4594000000507</v>
      </c>
      <c r="P8" s="26">
        <f t="shared" si="10"/>
        <v>-6.928549140620654E-3</v>
      </c>
      <c r="R8" s="25">
        <f t="shared" si="11"/>
        <v>113126.75114399986</v>
      </c>
      <c r="S8" s="26">
        <f t="shared" si="12"/>
        <v>0.10397136349704385</v>
      </c>
    </row>
    <row r="9" spans="1:20" ht="15.6" customHeight="1" x14ac:dyDescent="0.3">
      <c r="A9" s="42" t="str">
        <f>'合并-bs'!A81</f>
        <v>减：库存股</v>
      </c>
      <c r="B9" s="34">
        <f>'合并-bs'!B81</f>
        <v>0</v>
      </c>
      <c r="C9" s="35">
        <f t="shared" si="2"/>
        <v>0</v>
      </c>
      <c r="D9" s="34">
        <f>'合并-bs'!C81</f>
        <v>0</v>
      </c>
      <c r="E9" s="35">
        <f t="shared" si="3"/>
        <v>0</v>
      </c>
      <c r="F9" s="34">
        <f>'合并-bs'!D81</f>
        <v>0</v>
      </c>
      <c r="G9" s="35">
        <f t="shared" si="4"/>
        <v>0</v>
      </c>
      <c r="H9" s="34">
        <f>'合并-bs'!E81</f>
        <v>0</v>
      </c>
      <c r="I9" s="35">
        <f t="shared" si="5"/>
        <v>0</v>
      </c>
      <c r="J9" s="34">
        <f>'合并-bs'!F81</f>
        <v>0</v>
      </c>
      <c r="K9" s="35">
        <f t="shared" si="6"/>
        <v>0</v>
      </c>
      <c r="L9" s="25">
        <f t="shared" si="7"/>
        <v>0</v>
      </c>
      <c r="M9" s="26" t="e">
        <f t="shared" si="8"/>
        <v>#DIV/0!</v>
      </c>
      <c r="O9" s="25">
        <f t="shared" si="9"/>
        <v>0</v>
      </c>
      <c r="P9" s="26" t="e">
        <f t="shared" si="10"/>
        <v>#DIV/0!</v>
      </c>
      <c r="R9" s="25">
        <f t="shared" si="11"/>
        <v>0</v>
      </c>
      <c r="S9" s="26" t="e">
        <f t="shared" si="12"/>
        <v>#DIV/0!</v>
      </c>
    </row>
    <row r="10" spans="1:20" ht="15.6" customHeight="1" x14ac:dyDescent="0.3">
      <c r="A10" s="42" t="str">
        <f>'合并-bs'!A82</f>
        <v>其他综合收益</v>
      </c>
      <c r="B10" s="34">
        <f>'合并-bs'!B82</f>
        <v>60779.049190999998</v>
      </c>
      <c r="C10" s="35">
        <f t="shared" si="2"/>
        <v>3.5639673676264999E-2</v>
      </c>
      <c r="D10" s="34">
        <f>'合并-bs'!C82</f>
        <v>60779.049190999998</v>
      </c>
      <c r="E10" s="35">
        <f t="shared" si="3"/>
        <v>3.5386287788869333E-2</v>
      </c>
      <c r="F10" s="34">
        <f>'合并-bs'!D82</f>
        <v>61012.426107000007</v>
      </c>
      <c r="G10" s="35">
        <f t="shared" si="4"/>
        <v>3.5713335109572308E-2</v>
      </c>
      <c r="H10" s="34">
        <f>'合并-bs'!E82</f>
        <v>0</v>
      </c>
      <c r="I10" s="35">
        <f t="shared" si="5"/>
        <v>0</v>
      </c>
      <c r="J10" s="34">
        <f>'合并-bs'!F82</f>
        <v>0</v>
      </c>
      <c r="K10" s="35">
        <f t="shared" si="6"/>
        <v>0</v>
      </c>
      <c r="L10" s="25">
        <f t="shared" si="7"/>
        <v>0</v>
      </c>
      <c r="M10" s="26">
        <f t="shared" si="8"/>
        <v>0</v>
      </c>
      <c r="O10" s="25">
        <f t="shared" si="9"/>
        <v>-233.37691600000835</v>
      </c>
      <c r="P10" s="26">
        <f t="shared" si="10"/>
        <v>-3.8250718893021174E-3</v>
      </c>
      <c r="R10" s="25">
        <f t="shared" si="11"/>
        <v>61012.426107000007</v>
      </c>
      <c r="S10" s="26" t="e">
        <f t="shared" si="12"/>
        <v>#DIV/0!</v>
      </c>
    </row>
    <row r="11" spans="1:20" ht="15.6" customHeight="1" x14ac:dyDescent="0.3">
      <c r="A11" s="42" t="str">
        <f>'合并-bs'!A83</f>
        <v>专项储备</v>
      </c>
      <c r="B11" s="34">
        <f>'合并-bs'!B83</f>
        <v>0</v>
      </c>
      <c r="C11" s="35">
        <f t="shared" si="2"/>
        <v>0</v>
      </c>
      <c r="D11" s="34">
        <f>'合并-bs'!C83</f>
        <v>0</v>
      </c>
      <c r="E11" s="35">
        <f t="shared" si="3"/>
        <v>0</v>
      </c>
      <c r="F11" s="34">
        <f>'合并-bs'!D83</f>
        <v>0</v>
      </c>
      <c r="G11" s="35">
        <f t="shared" si="4"/>
        <v>0</v>
      </c>
      <c r="H11" s="34">
        <f>'合并-bs'!E83</f>
        <v>0</v>
      </c>
      <c r="I11" s="35">
        <f t="shared" si="5"/>
        <v>0</v>
      </c>
      <c r="J11" s="34">
        <f>'合并-bs'!F83</f>
        <v>0</v>
      </c>
      <c r="K11" s="35">
        <f t="shared" si="6"/>
        <v>0</v>
      </c>
      <c r="L11" s="25">
        <f t="shared" si="7"/>
        <v>0</v>
      </c>
      <c r="M11" s="26" t="e">
        <f t="shared" si="8"/>
        <v>#DIV/0!</v>
      </c>
      <c r="O11" s="25">
        <f t="shared" si="9"/>
        <v>0</v>
      </c>
      <c r="P11" s="26" t="e">
        <f t="shared" si="10"/>
        <v>#DIV/0!</v>
      </c>
      <c r="R11" s="25">
        <f t="shared" si="11"/>
        <v>0</v>
      </c>
      <c r="S11" s="26" t="e">
        <f t="shared" si="12"/>
        <v>#DIV/0!</v>
      </c>
    </row>
    <row r="12" spans="1:20" ht="15.6" customHeight="1" x14ac:dyDescent="0.3">
      <c r="A12" s="42" t="str">
        <f>'合并-bs'!A84</f>
        <v>盈余公积</v>
      </c>
      <c r="B12" s="34">
        <f>'合并-bs'!B84</f>
        <v>50806.190256000002</v>
      </c>
      <c r="C12" s="35">
        <f t="shared" si="2"/>
        <v>2.9791779660255042E-2</v>
      </c>
      <c r="D12" s="34">
        <f>'合并-bs'!C84</f>
        <v>50806.190256000002</v>
      </c>
      <c r="E12" s="35">
        <f t="shared" si="3"/>
        <v>2.9579970298730586E-2</v>
      </c>
      <c r="F12" s="34">
        <f>'合并-bs'!D84</f>
        <v>45807.645101999995</v>
      </c>
      <c r="G12" s="35">
        <f t="shared" si="4"/>
        <v>2.6813288447816556E-2</v>
      </c>
      <c r="H12" s="34">
        <f>'合并-bs'!E84</f>
        <v>40593.807462999997</v>
      </c>
      <c r="I12" s="35">
        <f t="shared" si="5"/>
        <v>2.6952614564414556E-2</v>
      </c>
      <c r="J12" s="34">
        <f>'合并-bs'!F84</f>
        <v>36996.970892999998</v>
      </c>
      <c r="K12" s="35">
        <f t="shared" si="6"/>
        <v>2.7081730875465598E-2</v>
      </c>
      <c r="L12" s="25">
        <f t="shared" si="7"/>
        <v>0</v>
      </c>
      <c r="M12" s="26">
        <f t="shared" si="8"/>
        <v>0</v>
      </c>
      <c r="O12" s="25">
        <f t="shared" si="9"/>
        <v>4998.5451540000067</v>
      </c>
      <c r="P12" s="26">
        <f t="shared" si="10"/>
        <v>0.1091203257200787</v>
      </c>
      <c r="R12" s="25">
        <f t="shared" si="11"/>
        <v>5213.8376389999976</v>
      </c>
      <c r="S12" s="26">
        <f t="shared" si="12"/>
        <v>0.12843923654493977</v>
      </c>
    </row>
    <row r="13" spans="1:20" ht="15.6" customHeight="1" x14ac:dyDescent="0.3">
      <c r="A13" s="42" t="str">
        <f>'合并-bs'!A85</f>
        <v>未分配利润</v>
      </c>
      <c r="B13" s="34">
        <f>'合并-bs'!B85</f>
        <v>380349.249786</v>
      </c>
      <c r="C13" s="35">
        <f t="shared" si="2"/>
        <v>0.22302953609535092</v>
      </c>
      <c r="D13" s="34">
        <f>'合并-bs'!C85</f>
        <v>389878.194708</v>
      </c>
      <c r="E13" s="35">
        <f t="shared" si="3"/>
        <v>0.22699173784681462</v>
      </c>
      <c r="F13" s="34">
        <f>'合并-bs'!D85</f>
        <v>376521.92793800001</v>
      </c>
      <c r="G13" s="35">
        <f t="shared" si="4"/>
        <v>0.22039533004260031</v>
      </c>
      <c r="H13" s="34">
        <f>'合并-bs'!E85</f>
        <v>354457.38361399999</v>
      </c>
      <c r="I13" s="35">
        <f t="shared" si="5"/>
        <v>0.23534508924216441</v>
      </c>
      <c r="J13" s="34">
        <f>'合并-bs'!F85</f>
        <v>337878.47930000001</v>
      </c>
      <c r="K13" s="35">
        <f t="shared" si="6"/>
        <v>0.24732657361269164</v>
      </c>
      <c r="L13" s="25">
        <f t="shared" si="7"/>
        <v>-9528.9449219999951</v>
      </c>
      <c r="M13" s="26">
        <f t="shared" si="8"/>
        <v>-2.4440825497144606E-2</v>
      </c>
      <c r="O13" s="25">
        <f t="shared" si="9"/>
        <v>13356.266769999987</v>
      </c>
      <c r="P13" s="26">
        <f t="shared" si="10"/>
        <v>3.5472746150920852E-2</v>
      </c>
      <c r="R13" s="25">
        <f t="shared" si="11"/>
        <v>22064.544324000017</v>
      </c>
      <c r="S13" s="26">
        <f t="shared" si="12"/>
        <v>6.2248793067964561E-2</v>
      </c>
    </row>
    <row r="14" spans="1:20" ht="15.6" customHeight="1" x14ac:dyDescent="0.3">
      <c r="A14" s="42" t="str">
        <f>'合并-bs'!A86</f>
        <v>归属于母公司股东权益合计</v>
      </c>
      <c r="B14" s="34">
        <f>'合并-bs'!B86</f>
        <v>1705471.7927639999</v>
      </c>
      <c r="C14" s="35">
        <f t="shared" si="2"/>
        <v>1.0000560878662792</v>
      </c>
      <c r="D14" s="34">
        <f>'合并-bs'!C86</f>
        <v>1714324.5459599998</v>
      </c>
      <c r="E14" s="35">
        <f t="shared" si="3"/>
        <v>0.99810020976514735</v>
      </c>
      <c r="F14" s="34">
        <f>'合并-bs'!D86</f>
        <v>1704525.570352</v>
      </c>
      <c r="G14" s="35">
        <f t="shared" si="4"/>
        <v>0.99773598234002514</v>
      </c>
      <c r="H14" s="34">
        <f>'合并-bs'!E86</f>
        <v>1503108.0111380001</v>
      </c>
      <c r="I14" s="35">
        <f t="shared" si="5"/>
        <v>0.99800174964647814</v>
      </c>
      <c r="J14" s="34">
        <f>'合并-bs'!F86</f>
        <v>1363161.325652</v>
      </c>
      <c r="K14" s="35">
        <f t="shared" si="6"/>
        <v>0.9978321811241907</v>
      </c>
      <c r="L14" s="25">
        <f t="shared" si="7"/>
        <v>-8852.7531959998887</v>
      </c>
      <c r="M14" s="26">
        <f t="shared" si="8"/>
        <v>-5.1639890573009677E-3</v>
      </c>
      <c r="O14" s="25">
        <f t="shared" si="9"/>
        <v>9798.9756079998333</v>
      </c>
      <c r="P14" s="26">
        <f t="shared" si="10"/>
        <v>5.7487994187005688E-3</v>
      </c>
      <c r="R14" s="25">
        <f t="shared" si="11"/>
        <v>201417.55921399989</v>
      </c>
      <c r="S14" s="26">
        <f t="shared" si="12"/>
        <v>0.13400072231769097</v>
      </c>
    </row>
    <row r="15" spans="1:20" ht="15.6" customHeight="1" x14ac:dyDescent="0.3">
      <c r="A15" s="42" t="str">
        <f>'合并-bs'!A87</f>
        <v>少数股东权益</v>
      </c>
      <c r="B15" s="34">
        <f>'合并-bs'!B87</f>
        <v>-95.650908999999999</v>
      </c>
      <c r="C15" s="35">
        <f t="shared" si="2"/>
        <v>-5.6087866279140632E-5</v>
      </c>
      <c r="D15" s="34">
        <f>'合并-bs'!C87</f>
        <v>3263.0561539999999</v>
      </c>
      <c r="E15" s="35">
        <f t="shared" si="3"/>
        <v>1.8997902348525592E-3</v>
      </c>
      <c r="F15" s="34">
        <f>'合并-bs'!D87</f>
        <v>3867.8328350000002</v>
      </c>
      <c r="G15" s="35">
        <f t="shared" si="4"/>
        <v>2.2640176599749073E-3</v>
      </c>
      <c r="H15" s="34">
        <f>'合并-bs'!E87</f>
        <v>3009.6000489999997</v>
      </c>
      <c r="I15" s="35">
        <f t="shared" si="5"/>
        <v>1.9982503535219114E-3</v>
      </c>
      <c r="J15" s="34">
        <f>'合并-bs'!F87</f>
        <v>2961.5068630000001</v>
      </c>
      <c r="K15" s="35">
        <f t="shared" si="6"/>
        <v>2.1678188758092382E-3</v>
      </c>
      <c r="L15" s="25">
        <f t="shared" si="7"/>
        <v>-3358.7070629999998</v>
      </c>
      <c r="M15" s="26">
        <f t="shared" si="8"/>
        <v>-1.0293132892864092</v>
      </c>
      <c r="O15" s="25">
        <f t="shared" si="9"/>
        <v>-604.77668100000028</v>
      </c>
      <c r="P15" s="26">
        <f t="shared" si="10"/>
        <v>-0.15636060471057051</v>
      </c>
      <c r="R15" s="25">
        <f t="shared" si="11"/>
        <v>858.23278600000049</v>
      </c>
      <c r="S15" s="26">
        <f t="shared" si="12"/>
        <v>0.28516506247571521</v>
      </c>
    </row>
    <row r="16" spans="1:20" ht="15.6" customHeight="1" x14ac:dyDescent="0.3">
      <c r="A16" s="42" t="str">
        <f>'合并-bs'!A88</f>
        <v>所有者权益（或股东权益）合计</v>
      </c>
      <c r="B16" s="34">
        <f>'合并-bs'!B88</f>
        <v>1705376.1418549998</v>
      </c>
      <c r="C16" s="35">
        <f t="shared" si="2"/>
        <v>1</v>
      </c>
      <c r="D16" s="34">
        <f>'合并-bs'!C88</f>
        <v>1717587.6021139999</v>
      </c>
      <c r="E16" s="35">
        <f t="shared" si="3"/>
        <v>1</v>
      </c>
      <c r="F16" s="34">
        <f>'合并-bs'!D88</f>
        <v>1708393.403187</v>
      </c>
      <c r="G16" s="35">
        <f t="shared" si="4"/>
        <v>1</v>
      </c>
      <c r="H16" s="34">
        <f>'合并-bs'!E88</f>
        <v>1506117.6111870001</v>
      </c>
      <c r="I16" s="35">
        <f t="shared" si="5"/>
        <v>1</v>
      </c>
      <c r="J16" s="34">
        <f>'合并-bs'!F88</f>
        <v>1366122.8325150001</v>
      </c>
      <c r="K16" s="35">
        <f t="shared" si="6"/>
        <v>1</v>
      </c>
      <c r="L16" s="25">
        <f t="shared" si="7"/>
        <v>-12211.460259000072</v>
      </c>
      <c r="M16" s="26">
        <f t="shared" si="8"/>
        <v>-7.1096578969074165E-3</v>
      </c>
      <c r="O16" s="25">
        <f t="shared" si="9"/>
        <v>9194.1989269999322</v>
      </c>
      <c r="P16" s="26">
        <f t="shared" si="10"/>
        <v>5.381780864903948E-3</v>
      </c>
      <c r="R16" s="25">
        <f t="shared" si="11"/>
        <v>202275.7919999999</v>
      </c>
      <c r="S16" s="26">
        <f t="shared" si="12"/>
        <v>0.13430278651385166</v>
      </c>
    </row>
  </sheetData>
  <mergeCells count="11">
    <mergeCell ref="A1:K1"/>
    <mergeCell ref="L1:T1"/>
    <mergeCell ref="B2:C2"/>
    <mergeCell ref="D2:E2"/>
    <mergeCell ref="F2:G2"/>
    <mergeCell ref="H2:I2"/>
    <mergeCell ref="J2:K2"/>
    <mergeCell ref="L2:N2"/>
    <mergeCell ref="O2:Q2"/>
    <mergeCell ref="R2:T2"/>
    <mergeCell ref="A2:A3"/>
  </mergeCells>
  <phoneticPr fontId="41" type="noConversion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O14"/>
  <sheetViews>
    <sheetView zoomScale="130" zoomScaleNormal="130" workbookViewId="0">
      <selection activeCell="G12" sqref="G12"/>
    </sheetView>
  </sheetViews>
  <sheetFormatPr defaultColWidth="9" defaultRowHeight="20.100000000000001" customHeight="1" x14ac:dyDescent="0.3"/>
  <cols>
    <col min="1" max="1" width="30.9296875" style="2" customWidth="1"/>
    <col min="2" max="2" width="14.9296875" style="2" customWidth="1"/>
    <col min="3" max="4" width="14.3984375" style="2" customWidth="1"/>
    <col min="5" max="5" width="13.3984375" style="2" customWidth="1"/>
    <col min="6" max="6" width="13.06640625" style="2" customWidth="1"/>
    <col min="7" max="7" width="15.19921875" style="2" customWidth="1"/>
    <col min="8" max="8" width="10" style="2" customWidth="1"/>
    <col min="9" max="9" width="9" style="2"/>
    <col min="10" max="10" width="13.3984375" style="2" customWidth="1"/>
    <col min="11" max="12" width="9" style="2"/>
    <col min="13" max="13" width="13.3984375" style="2" customWidth="1"/>
    <col min="14" max="16384" width="9" style="2"/>
  </cols>
  <sheetData>
    <row r="1" spans="1:15" ht="32.1" customHeight="1" x14ac:dyDescent="0.3">
      <c r="A1" s="466" t="s">
        <v>1130</v>
      </c>
      <c r="B1" s="466"/>
      <c r="C1" s="466"/>
      <c r="D1" s="466"/>
      <c r="E1" s="466"/>
      <c r="F1" s="467"/>
      <c r="G1" s="468" t="s">
        <v>1131</v>
      </c>
      <c r="H1" s="469"/>
      <c r="I1" s="469"/>
      <c r="J1" s="469"/>
      <c r="K1" s="469"/>
      <c r="L1" s="469"/>
      <c r="M1" s="469"/>
      <c r="N1" s="469"/>
      <c r="O1" s="470"/>
    </row>
    <row r="2" spans="1:15" ht="23.1" customHeight="1" x14ac:dyDescent="0.3">
      <c r="A2" s="445" t="s">
        <v>278</v>
      </c>
      <c r="B2" s="472" t="str">
        <f>'合并-cf'!B2</f>
        <v>2024年1-9月</v>
      </c>
      <c r="C2" s="472" t="str">
        <f>'合并-cf'!C2</f>
        <v>2023年度</v>
      </c>
      <c r="D2" s="472" t="str">
        <f>'合并-cf'!D2</f>
        <v>2022年度</v>
      </c>
      <c r="E2" s="472" t="str">
        <f>'合并-cf'!E2</f>
        <v>2021年度</v>
      </c>
      <c r="F2" s="472" t="str">
        <f>'合并-cf'!F2</f>
        <v>2020年度</v>
      </c>
      <c r="G2" s="471" t="str">
        <f>C2&amp;"较"&amp;D2</f>
        <v>2023年度较2022年度</v>
      </c>
      <c r="H2" s="471"/>
      <c r="I2" s="471"/>
      <c r="J2" s="471" t="str">
        <f>D2&amp;"较"&amp;E2</f>
        <v>2022年度较2021年度</v>
      </c>
      <c r="K2" s="471"/>
      <c r="L2" s="471"/>
      <c r="M2" s="471" t="str">
        <f>E2&amp;"较"&amp;F2</f>
        <v>2021年度较2020年度</v>
      </c>
      <c r="N2" s="471"/>
      <c r="O2" s="471"/>
    </row>
    <row r="3" spans="1:15" ht="23.1" customHeight="1" x14ac:dyDescent="0.3">
      <c r="A3" s="445"/>
      <c r="B3" s="472"/>
      <c r="C3" s="472"/>
      <c r="D3" s="472"/>
      <c r="E3" s="472"/>
      <c r="F3" s="472"/>
      <c r="G3" s="1" t="s">
        <v>1070</v>
      </c>
      <c r="H3" s="1" t="s">
        <v>740</v>
      </c>
      <c r="I3" s="1" t="s">
        <v>1132</v>
      </c>
      <c r="J3" s="1" t="s">
        <v>1070</v>
      </c>
      <c r="K3" s="1" t="s">
        <v>740</v>
      </c>
      <c r="L3" s="1" t="s">
        <v>1132</v>
      </c>
      <c r="M3" s="1" t="s">
        <v>1070</v>
      </c>
      <c r="N3" s="1" t="s">
        <v>740</v>
      </c>
      <c r="O3" s="1" t="s">
        <v>1132</v>
      </c>
    </row>
    <row r="4" spans="1:15" ht="23.1" customHeight="1" x14ac:dyDescent="0.3">
      <c r="A4" s="39" t="str">
        <f>'合并-cf'!A7</f>
        <v>经营活动现金流入小计</v>
      </c>
      <c r="B4" s="40">
        <f>'合并-cf'!B7</f>
        <v>236640.21064299997</v>
      </c>
      <c r="C4" s="40">
        <f>'合并-cf'!C7</f>
        <v>376298.32685099996</v>
      </c>
      <c r="D4" s="40">
        <f>'合并-cf'!D7</f>
        <v>417086.96681900008</v>
      </c>
      <c r="E4" s="40">
        <f>'合并-cf'!E7</f>
        <v>376445.74845900002</v>
      </c>
      <c r="F4" s="40">
        <f>'合并-cf'!F7</f>
        <v>341508.296676</v>
      </c>
      <c r="G4" s="41">
        <f>C4-D4</f>
        <v>-40788.63996800012</v>
      </c>
      <c r="H4" s="16">
        <f>G4/D4</f>
        <v>-9.7794089033956422E-2</v>
      </c>
      <c r="J4" s="41">
        <f>D4-E4</f>
        <v>40641.218360000057</v>
      </c>
      <c r="K4" s="16">
        <f>J4/E4</f>
        <v>0.10796035956407256</v>
      </c>
      <c r="M4" s="41">
        <f>E4-F4</f>
        <v>34937.451783000026</v>
      </c>
      <c r="N4" s="16">
        <f>M4/F4</f>
        <v>0.10230337629585122</v>
      </c>
    </row>
    <row r="5" spans="1:15" ht="23.1" customHeight="1" x14ac:dyDescent="0.3">
      <c r="A5" s="39" t="str">
        <f>'合并-cf'!A12</f>
        <v>经营活动现金流出小计</v>
      </c>
      <c r="B5" s="40">
        <f>'合并-cf'!B12</f>
        <v>257865.35577899998</v>
      </c>
      <c r="C5" s="40">
        <f>'合并-cf'!C12</f>
        <v>329827.87084199995</v>
      </c>
      <c r="D5" s="40">
        <f>'合并-cf'!D12</f>
        <v>589075.16735299991</v>
      </c>
      <c r="E5" s="40">
        <f>'合并-cf'!E12</f>
        <v>505323.791455</v>
      </c>
      <c r="F5" s="40">
        <f>'合并-cf'!F12</f>
        <v>453349.619534</v>
      </c>
      <c r="G5" s="41">
        <f>C5-D5</f>
        <v>-259247.29651099996</v>
      </c>
      <c r="H5" s="16">
        <f t="shared" ref="H5:H14" si="0">G5/D5</f>
        <v>-0.44009204746471264</v>
      </c>
      <c r="J5" s="41">
        <f t="shared" ref="J5:J14" si="1">D5-E5</f>
        <v>83751.375897999911</v>
      </c>
      <c r="K5" s="16">
        <f t="shared" ref="K5:K14" si="2">J5/E5</f>
        <v>0.16573804224980396</v>
      </c>
      <c r="M5" s="41">
        <f t="shared" ref="M5:M14" si="3">E5-F5</f>
        <v>51974.171921000001</v>
      </c>
      <c r="N5" s="16">
        <f t="shared" ref="N5:N14" si="4">M5/F5</f>
        <v>0.11464478998443733</v>
      </c>
    </row>
    <row r="6" spans="1:15" ht="23.1" customHeight="1" x14ac:dyDescent="0.3">
      <c r="A6" s="39" t="str">
        <f>'合并-cf'!A13</f>
        <v>经营活动产生的现金流量净额</v>
      </c>
      <c r="B6" s="40">
        <f>'合并-cf'!B13</f>
        <v>-21225.145136000006</v>
      </c>
      <c r="C6" s="40">
        <f>'合并-cf'!C13</f>
        <v>46470.456009000016</v>
      </c>
      <c r="D6" s="40">
        <f>'合并-cf'!D13</f>
        <v>-171988.20053399983</v>
      </c>
      <c r="E6" s="40">
        <f>'合并-cf'!E13</f>
        <v>-128878.04299599997</v>
      </c>
      <c r="F6" s="40">
        <f>'合并-cf'!F13</f>
        <v>-111841.322858</v>
      </c>
      <c r="G6" s="41">
        <f t="shared" ref="G6:G14" si="5">C6-D6</f>
        <v>218458.65654299984</v>
      </c>
      <c r="H6" s="16">
        <f t="shared" si="0"/>
        <v>-1.2701956056561765</v>
      </c>
      <c r="J6" s="41">
        <f t="shared" si="1"/>
        <v>-43110.157537999854</v>
      </c>
      <c r="K6" s="16">
        <f t="shared" si="2"/>
        <v>0.33450350840086762</v>
      </c>
      <c r="M6" s="41">
        <f t="shared" si="3"/>
        <v>-17036.720137999975</v>
      </c>
      <c r="N6" s="16">
        <f t="shared" si="4"/>
        <v>0.1523293868727818</v>
      </c>
    </row>
    <row r="7" spans="1:15" ht="23.1" customHeight="1" x14ac:dyDescent="0.3">
      <c r="A7" s="39" t="str">
        <f>'合并-cf'!A20</f>
        <v>投资活动现金流入小计</v>
      </c>
      <c r="B7" s="40">
        <f>'合并-cf'!B20</f>
        <v>18527.981583000001</v>
      </c>
      <c r="C7" s="40">
        <f>'合并-cf'!C20</f>
        <v>69707.351276000001</v>
      </c>
      <c r="D7" s="40">
        <f>'合并-cf'!D20</f>
        <v>17634.973558999998</v>
      </c>
      <c r="E7" s="40">
        <f>'合并-cf'!E20</f>
        <v>28415.290659000002</v>
      </c>
      <c r="F7" s="40">
        <f>'合并-cf'!F20</f>
        <v>100818.78076699999</v>
      </c>
      <c r="G7" s="41">
        <f t="shared" si="5"/>
        <v>52072.377717000003</v>
      </c>
      <c r="H7" s="16">
        <f t="shared" si="0"/>
        <v>2.9527902348583277</v>
      </c>
      <c r="J7" s="41">
        <f t="shared" si="1"/>
        <v>-10780.317100000004</v>
      </c>
      <c r="K7" s="16">
        <f t="shared" si="2"/>
        <v>-0.37938436841523365</v>
      </c>
      <c r="M7" s="41">
        <f t="shared" si="3"/>
        <v>-72403.490107999984</v>
      </c>
      <c r="N7" s="16">
        <f t="shared" si="4"/>
        <v>-0.71815478780020214</v>
      </c>
    </row>
    <row r="8" spans="1:15" ht="23.1" customHeight="1" x14ac:dyDescent="0.3">
      <c r="A8" s="39" t="str">
        <f>'合并-cf'!A26</f>
        <v>投资活动现金流出小计</v>
      </c>
      <c r="B8" s="40">
        <f>'合并-cf'!B26</f>
        <v>79310.702239999999</v>
      </c>
      <c r="C8" s="40">
        <f>'合并-cf'!C26</f>
        <v>107921.956458</v>
      </c>
      <c r="D8" s="40">
        <f>'合并-cf'!D26</f>
        <v>216135.22502499999</v>
      </c>
      <c r="E8" s="40">
        <f>'合并-cf'!E26</f>
        <v>223606.20782000001</v>
      </c>
      <c r="F8" s="40">
        <f>'合并-cf'!F26</f>
        <v>364776.64703400002</v>
      </c>
      <c r="G8" s="41">
        <f t="shared" si="5"/>
        <v>-108213.26856699999</v>
      </c>
      <c r="H8" s="16">
        <f t="shared" si="0"/>
        <v>-0.50067391168877329</v>
      </c>
      <c r="J8" s="41">
        <f t="shared" si="1"/>
        <v>-7470.9827950000181</v>
      </c>
      <c r="K8" s="16">
        <f t="shared" si="2"/>
        <v>-3.3411338924069847E-2</v>
      </c>
      <c r="M8" s="41">
        <f t="shared" si="3"/>
        <v>-141170.43921400001</v>
      </c>
      <c r="N8" s="16">
        <f t="shared" si="4"/>
        <v>-0.3870051450986714</v>
      </c>
    </row>
    <row r="9" spans="1:15" ht="23.1" customHeight="1" x14ac:dyDescent="0.3">
      <c r="A9" s="39" t="str">
        <f>'合并-cf'!A27</f>
        <v>投资活动产生的现金流量净额</v>
      </c>
      <c r="B9" s="40">
        <f>'合并-cf'!B27</f>
        <v>-60782.720656999998</v>
      </c>
      <c r="C9" s="40">
        <f>'合并-cf'!C27</f>
        <v>-38214.605181999999</v>
      </c>
      <c r="D9" s="40">
        <f>'合并-cf'!D27</f>
        <v>-198500.25146599999</v>
      </c>
      <c r="E9" s="40">
        <f>'合并-cf'!E27</f>
        <v>-195190.91716100002</v>
      </c>
      <c r="F9" s="40">
        <f>'合并-cf'!F27</f>
        <v>-263957.86626700003</v>
      </c>
      <c r="G9" s="41">
        <f t="shared" si="5"/>
        <v>160285.64628399999</v>
      </c>
      <c r="H9" s="16">
        <f t="shared" si="0"/>
        <v>-0.80748334120601573</v>
      </c>
      <c r="J9" s="41">
        <f t="shared" si="1"/>
        <v>-3309.3343049999676</v>
      </c>
      <c r="K9" s="16">
        <f t="shared" si="2"/>
        <v>1.6954345791973083E-2</v>
      </c>
      <c r="M9" s="41">
        <f t="shared" si="3"/>
        <v>68766.949106000015</v>
      </c>
      <c r="N9" s="16">
        <f t="shared" si="4"/>
        <v>-0.26052244655001305</v>
      </c>
    </row>
    <row r="10" spans="1:15" ht="23.1" customHeight="1" x14ac:dyDescent="0.3">
      <c r="A10" s="39" t="str">
        <f>'合并-cf'!A34</f>
        <v>筹资活动现金流入小计</v>
      </c>
      <c r="B10" s="40">
        <f>'合并-cf'!B34</f>
        <v>1852039.5135869998</v>
      </c>
      <c r="C10" s="40">
        <f>'合并-cf'!C34</f>
        <v>1618584.3264810001</v>
      </c>
      <c r="D10" s="40">
        <f>'合并-cf'!D34</f>
        <v>2223480.48887</v>
      </c>
      <c r="E10" s="40">
        <f>'合并-cf'!E34</f>
        <v>1786868.0060610003</v>
      </c>
      <c r="F10" s="40">
        <f>'合并-cf'!F34</f>
        <v>1557206.935209</v>
      </c>
      <c r="G10" s="41">
        <f t="shared" si="5"/>
        <v>-604896.16238899995</v>
      </c>
      <c r="H10" s="16">
        <f t="shared" si="0"/>
        <v>-0.27204923336044906</v>
      </c>
      <c r="J10" s="41">
        <f t="shared" si="1"/>
        <v>436612.48280899972</v>
      </c>
      <c r="K10" s="16">
        <f t="shared" si="2"/>
        <v>0.24434512304659542</v>
      </c>
      <c r="M10" s="41">
        <f t="shared" si="3"/>
        <v>229661.07085200027</v>
      </c>
      <c r="N10" s="16">
        <f t="shared" si="4"/>
        <v>0.14748269202973746</v>
      </c>
    </row>
    <row r="11" spans="1:15" ht="23.1" customHeight="1" x14ac:dyDescent="0.3">
      <c r="A11" s="39" t="str">
        <f>'合并-cf'!A39</f>
        <v>筹资活动现金流出小计</v>
      </c>
      <c r="B11" s="40">
        <f>'合并-cf'!B39</f>
        <v>1788645.1633830001</v>
      </c>
      <c r="C11" s="40">
        <f>'合并-cf'!C39</f>
        <v>1597217.3320309999</v>
      </c>
      <c r="D11" s="40">
        <f>'合并-cf'!D39</f>
        <v>2095696.803478</v>
      </c>
      <c r="E11" s="40">
        <f>'合并-cf'!E39</f>
        <v>1500134.607565</v>
      </c>
      <c r="F11" s="40">
        <f>'合并-cf'!F39</f>
        <v>930366.93095499999</v>
      </c>
      <c r="G11" s="41">
        <f t="shared" si="5"/>
        <v>-498479.47144700005</v>
      </c>
      <c r="H11" s="16">
        <f t="shared" si="0"/>
        <v>-0.23785858270133728</v>
      </c>
      <c r="J11" s="41">
        <f t="shared" si="1"/>
        <v>595562.19591300003</v>
      </c>
      <c r="K11" s="16">
        <f t="shared" si="2"/>
        <v>0.39700583728263511</v>
      </c>
      <c r="M11" s="41">
        <f t="shared" si="3"/>
        <v>569767.67660999997</v>
      </c>
      <c r="N11" s="16">
        <f t="shared" si="4"/>
        <v>0.61241178899721505</v>
      </c>
    </row>
    <row r="12" spans="1:15" ht="23.1" customHeight="1" x14ac:dyDescent="0.3">
      <c r="A12" s="39" t="str">
        <f>'合并-cf'!A40</f>
        <v>筹资活动产生的现金流量净额</v>
      </c>
      <c r="B12" s="40">
        <f>'合并-cf'!B40</f>
        <v>63394.350203999784</v>
      </c>
      <c r="C12" s="40">
        <f>'合并-cf'!C40</f>
        <v>21366.994450000115</v>
      </c>
      <c r="D12" s="40">
        <f>'合并-cf'!D40</f>
        <v>127783.68539200001</v>
      </c>
      <c r="E12" s="40">
        <f>'合并-cf'!E40</f>
        <v>286733.39849600033</v>
      </c>
      <c r="F12" s="40">
        <f>'合并-cf'!F40</f>
        <v>626840.00425400003</v>
      </c>
      <c r="G12" s="41">
        <f t="shared" si="5"/>
        <v>-106416.6909419999</v>
      </c>
      <c r="H12" s="16">
        <f t="shared" si="0"/>
        <v>-0.83278777424165751</v>
      </c>
      <c r="J12" s="41">
        <f t="shared" si="1"/>
        <v>-158949.71310400032</v>
      </c>
      <c r="K12" s="16">
        <f t="shared" si="2"/>
        <v>-0.55434669953949411</v>
      </c>
      <c r="M12" s="41">
        <f t="shared" si="3"/>
        <v>-340106.6057579997</v>
      </c>
      <c r="N12" s="16">
        <f t="shared" si="4"/>
        <v>-0.5425732299309125</v>
      </c>
    </row>
    <row r="13" spans="1:15" ht="23.1" customHeight="1" x14ac:dyDescent="0.3">
      <c r="A13" s="39" t="str">
        <f>'合并-cf'!A42</f>
        <v>五、现金及现金等价物净增加额</v>
      </c>
      <c r="B13" s="40">
        <f>'合并-cf'!B42</f>
        <v>-18613.515589000221</v>
      </c>
      <c r="C13" s="40">
        <f>'合并-cf'!C42</f>
        <v>29622.845277000131</v>
      </c>
      <c r="D13" s="40">
        <f>'合并-cf'!D42</f>
        <v>-242704.7666079998</v>
      </c>
      <c r="E13" s="40">
        <f>'合并-cf'!E42</f>
        <v>-37335.561660999665</v>
      </c>
      <c r="F13" s="40">
        <f>'合并-cf'!F42</f>
        <v>251040.815129</v>
      </c>
      <c r="G13" s="41">
        <f t="shared" si="5"/>
        <v>272327.6118849999</v>
      </c>
      <c r="H13" s="16">
        <f t="shared" si="0"/>
        <v>-1.1220530016406514</v>
      </c>
      <c r="J13" s="41">
        <f t="shared" si="1"/>
        <v>-205369.20494700014</v>
      </c>
      <c r="K13" s="16">
        <f t="shared" si="2"/>
        <v>5.5006325286255606</v>
      </c>
      <c r="M13" s="41">
        <f t="shared" si="3"/>
        <v>-288376.37678999966</v>
      </c>
      <c r="N13" s="16">
        <f t="shared" si="4"/>
        <v>-1.1487230737432652</v>
      </c>
    </row>
    <row r="14" spans="1:15" ht="23.1" customHeight="1" x14ac:dyDescent="0.3">
      <c r="A14" s="39" t="str">
        <f>'合并-cf'!A44</f>
        <v>六、期末现金及现金等价物余额</v>
      </c>
      <c r="B14" s="40">
        <f>'合并-cf'!B44</f>
        <v>139814.50489499976</v>
      </c>
      <c r="C14" s="40">
        <f>'合并-cf'!C44</f>
        <v>158428.02048400012</v>
      </c>
      <c r="D14" s="40">
        <f>'合并-cf'!D44</f>
        <v>128601.47058400023</v>
      </c>
      <c r="E14" s="40">
        <f>'合并-cf'!E44</f>
        <v>369612.17961700034</v>
      </c>
      <c r="F14" s="40">
        <f>'合并-cf'!F44</f>
        <v>406878.67027899995</v>
      </c>
      <c r="G14" s="41">
        <f t="shared" si="5"/>
        <v>29826.549899999896</v>
      </c>
      <c r="H14" s="16">
        <f t="shared" si="0"/>
        <v>0.23193008419384845</v>
      </c>
      <c r="J14" s="41">
        <f t="shared" si="1"/>
        <v>-241010.70903300011</v>
      </c>
      <c r="K14" s="16">
        <f t="shared" si="2"/>
        <v>-0.65206376392341914</v>
      </c>
      <c r="M14" s="41">
        <f t="shared" si="3"/>
        <v>-37266.490661999618</v>
      </c>
      <c r="N14" s="16">
        <f t="shared" si="4"/>
        <v>-9.1591163125965019E-2</v>
      </c>
    </row>
  </sheetData>
  <mergeCells count="11">
    <mergeCell ref="A1:F1"/>
    <mergeCell ref="G1:O1"/>
    <mergeCell ref="G2:I2"/>
    <mergeCell ref="J2:L2"/>
    <mergeCell ref="M2:O2"/>
    <mergeCell ref="A2:A3"/>
    <mergeCell ref="B2:B3"/>
    <mergeCell ref="C2:C3"/>
    <mergeCell ref="D2:D3"/>
    <mergeCell ref="E2:E3"/>
    <mergeCell ref="F2:F3"/>
  </mergeCells>
  <phoneticPr fontId="41" type="noConversion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AB64"/>
  <sheetViews>
    <sheetView zoomScale="90" zoomScaleNormal="90" workbookViewId="0">
      <selection activeCell="B1" sqref="B1"/>
    </sheetView>
  </sheetViews>
  <sheetFormatPr defaultColWidth="9" defaultRowHeight="12.75" x14ac:dyDescent="0.3"/>
  <cols>
    <col min="1" max="1" width="47.46484375" style="24" customWidth="1"/>
    <col min="2" max="2" width="14.06640625" style="25" customWidth="1"/>
    <col min="3" max="3" width="12.1328125" style="26" customWidth="1"/>
    <col min="4" max="4" width="16.06640625" style="25" customWidth="1"/>
    <col min="5" max="5" width="8.46484375" style="26" customWidth="1"/>
    <col min="6" max="6" width="16.06640625" style="25" customWidth="1"/>
    <col min="7" max="7" width="8.46484375" style="26" customWidth="1"/>
    <col min="8" max="8" width="16.06640625" style="25" customWidth="1"/>
    <col min="9" max="9" width="8.46484375" style="26" customWidth="1"/>
    <col min="10" max="10" width="16.06640625" style="25" customWidth="1"/>
    <col min="11" max="11" width="8.46484375" style="26" customWidth="1"/>
    <col min="12" max="12" width="12.1328125" style="25" customWidth="1"/>
    <col min="13" max="13" width="8" style="26" customWidth="1"/>
    <col min="14" max="15" width="4.86328125" style="24" customWidth="1"/>
    <col min="16" max="16" width="7.59765625" style="24" customWidth="1"/>
    <col min="17" max="17" width="12.1328125" style="25" customWidth="1"/>
    <col min="18" max="18" width="8" style="26" customWidth="1"/>
    <col min="19" max="19" width="5.9296875" style="24" customWidth="1"/>
    <col min="20" max="20" width="4.86328125" style="24" customWidth="1"/>
    <col min="21" max="21" width="7.59765625" style="24" customWidth="1"/>
    <col min="22" max="22" width="13.06640625" style="25" customWidth="1"/>
    <col min="23" max="23" width="8" style="26" customWidth="1"/>
    <col min="24" max="24" width="4.86328125" style="24" customWidth="1"/>
    <col min="25" max="16384" width="9" style="24"/>
  </cols>
  <sheetData>
    <row r="1" spans="1:28" x14ac:dyDescent="0.3">
      <c r="A1" s="24" t="s">
        <v>1133</v>
      </c>
      <c r="B1" s="27" t="str">
        <f>"近两年及一期，公司"&amp;A2&amp;"余额分别为"&amp;TEXT(F2,"#,##0.00")&amp;"万元、"&amp;TEXT(D2,"#,##0.00")&amp;"万元和"&amp;TEXT(B2,"#,##0.00")&amp;"万元，占"&amp;TEXT(AB2,"#,##0.00")&amp;"的比例分别为"&amp;TEXT(G2,"0.00%")&amp;"、"&amp;TEXT(E2,"0.00%")&amp;"和"&amp;TEXT(C2,"0.00%")&amp;"。"&amp;D4&amp;A2&amp;"较"&amp;F4&amp;T2&amp;"了"&amp;TEXT(Q2,"#,##0.00")&amp;"万元，"&amp;U2&amp;"为"&amp;TEXT(R2,"0.00%")&amp;"，主要系"&amp;S2&amp;"。"&amp;B4&amp;A2&amp;"较"&amp;D4&amp;O2&amp;"了"&amp;TEXT(L2,"#,##0.00")&amp;"万元，"&amp;P2&amp;"为"&amp;TEXT(M2,"0.00%")&amp;"，主要系"&amp;N2&amp;"。"</f>
        <v>近两年及一期，公司0余额分别为0.00万元、0.00万元和0.00万元，占0.00的比例分别为0.00%、0.00%和0.00%。2023年末0较2022年末0了0.00万元，0为0.00%，主要系0。2024年9月末0较2023年末0了0.00万元，0为0.00%，主要系0。</v>
      </c>
    </row>
    <row r="2" spans="1:28" x14ac:dyDescent="0.3">
      <c r="A2" s="24">
        <f>INDEX(A:A,SUBTOTAL(109,$AA:$AA))</f>
        <v>0</v>
      </c>
      <c r="B2" s="25">
        <f t="shared" ref="B2:Z2" si="0">INDEX(B:B,SUBTOTAL(109,$AA:$AA))</f>
        <v>0</v>
      </c>
      <c r="C2" s="26">
        <f t="shared" si="0"/>
        <v>0</v>
      </c>
      <c r="D2" s="25">
        <f t="shared" si="0"/>
        <v>0</v>
      </c>
      <c r="E2" s="26">
        <f t="shared" si="0"/>
        <v>0</v>
      </c>
      <c r="F2" s="25">
        <f t="shared" si="0"/>
        <v>0</v>
      </c>
      <c r="G2" s="26">
        <f t="shared" si="0"/>
        <v>0</v>
      </c>
      <c r="H2" s="25">
        <f t="shared" si="0"/>
        <v>0</v>
      </c>
      <c r="I2" s="26">
        <f t="shared" si="0"/>
        <v>0</v>
      </c>
      <c r="J2" s="25">
        <f t="shared" si="0"/>
        <v>0</v>
      </c>
      <c r="K2" s="26">
        <f t="shared" si="0"/>
        <v>0</v>
      </c>
      <c r="L2" s="25">
        <f t="shared" si="0"/>
        <v>0</v>
      </c>
      <c r="M2" s="26">
        <f t="shared" si="0"/>
        <v>0</v>
      </c>
      <c r="N2" s="24">
        <f t="shared" si="0"/>
        <v>0</v>
      </c>
      <c r="O2" s="24">
        <f t="shared" si="0"/>
        <v>0</v>
      </c>
      <c r="P2" s="24">
        <f t="shared" si="0"/>
        <v>0</v>
      </c>
      <c r="Q2" s="25">
        <f t="shared" si="0"/>
        <v>0</v>
      </c>
      <c r="R2" s="26">
        <f t="shared" si="0"/>
        <v>0</v>
      </c>
      <c r="S2" s="24">
        <f t="shared" si="0"/>
        <v>0</v>
      </c>
      <c r="T2" s="24">
        <f t="shared" si="0"/>
        <v>0</v>
      </c>
      <c r="U2" s="24">
        <f t="shared" si="0"/>
        <v>0</v>
      </c>
      <c r="V2" s="25">
        <f t="shared" si="0"/>
        <v>0</v>
      </c>
      <c r="W2" s="26">
        <f t="shared" si="0"/>
        <v>0</v>
      </c>
      <c r="X2" s="24">
        <f t="shared" si="0"/>
        <v>0</v>
      </c>
      <c r="Y2" s="24">
        <f t="shared" si="0"/>
        <v>0</v>
      </c>
      <c r="Z2" s="24">
        <f t="shared" si="0"/>
        <v>0</v>
      </c>
      <c r="AB2" s="24">
        <f t="shared" ref="AB2" si="1">INDEX(AB:AB,SUBTOTAL(109,$AA:$AA))</f>
        <v>0</v>
      </c>
    </row>
    <row r="4" spans="1:28" x14ac:dyDescent="0.3">
      <c r="A4" s="431" t="s">
        <v>278</v>
      </c>
      <c r="B4" s="431" t="str">
        <f>资产结构!B10</f>
        <v>2024年9月末</v>
      </c>
      <c r="C4" s="431"/>
      <c r="D4" s="431" t="str">
        <f>资产结构!D10</f>
        <v>2023年末</v>
      </c>
      <c r="E4" s="431"/>
      <c r="F4" s="431" t="str">
        <f>资产结构!F10</f>
        <v>2022年末</v>
      </c>
      <c r="G4" s="431"/>
      <c r="H4" s="426" t="str">
        <f>资产结构!H10</f>
        <v>2021年末</v>
      </c>
      <c r="I4" s="440"/>
      <c r="J4" s="426" t="str">
        <f>资产结构!J10</f>
        <v>2020年末</v>
      </c>
      <c r="K4" s="440"/>
      <c r="L4" s="473" t="e">
        <f>资产结构!#REF!</f>
        <v>#REF!</v>
      </c>
      <c r="M4" s="474"/>
      <c r="N4" s="475"/>
      <c r="O4" s="475"/>
      <c r="P4" s="439"/>
      <c r="Q4" s="473" t="e">
        <f>资产结构!#REF!</f>
        <v>#REF!</v>
      </c>
      <c r="R4" s="474"/>
      <c r="S4" s="475"/>
      <c r="T4" s="475"/>
      <c r="U4" s="439"/>
      <c r="V4" s="473" t="e">
        <f>资产结构!#REF!</f>
        <v>#REF!</v>
      </c>
      <c r="W4" s="474"/>
      <c r="X4" s="475"/>
      <c r="Y4" s="475"/>
      <c r="Z4" s="439"/>
    </row>
    <row r="5" spans="1:28" x14ac:dyDescent="0.3">
      <c r="A5" s="431"/>
      <c r="B5" s="29" t="str">
        <f>资产结构!B11</f>
        <v>金额</v>
      </c>
      <c r="C5" s="30" t="str">
        <f>资产结构!C11</f>
        <v>占比</v>
      </c>
      <c r="D5" s="29" t="str">
        <f>资产结构!D11</f>
        <v>金额</v>
      </c>
      <c r="E5" s="30" t="str">
        <f>资产结构!E11</f>
        <v>占比</v>
      </c>
      <c r="F5" s="29" t="str">
        <f>资产结构!F11</f>
        <v>金额</v>
      </c>
      <c r="G5" s="30" t="str">
        <f>资产结构!G11</f>
        <v>占比</v>
      </c>
      <c r="H5" s="29" t="str">
        <f>资产结构!H11</f>
        <v>金额</v>
      </c>
      <c r="I5" s="30" t="str">
        <f>资产结构!I11</f>
        <v>占比</v>
      </c>
      <c r="J5" s="29" t="str">
        <f>资产结构!J11</f>
        <v>金额</v>
      </c>
      <c r="K5" s="30" t="str">
        <f>资产结构!K11</f>
        <v>占比</v>
      </c>
      <c r="L5" s="29" t="e">
        <f>资产结构!#REF!</f>
        <v>#REF!</v>
      </c>
      <c r="M5" s="30" t="e">
        <f>资产结构!#REF!</f>
        <v>#REF!</v>
      </c>
      <c r="N5" s="28" t="e">
        <f>资产结构!#REF!</f>
        <v>#REF!</v>
      </c>
      <c r="O5" s="28"/>
      <c r="P5" s="28"/>
      <c r="Q5" s="29" t="e">
        <f>资产结构!#REF!</f>
        <v>#REF!</v>
      </c>
      <c r="R5" s="30" t="e">
        <f>资产结构!#REF!</f>
        <v>#REF!</v>
      </c>
      <c r="S5" s="28" t="e">
        <f>资产结构!#REF!</f>
        <v>#REF!</v>
      </c>
      <c r="T5" s="28"/>
      <c r="U5" s="28"/>
      <c r="V5" s="29" t="e">
        <f>资产结构!#REF!</f>
        <v>#REF!</v>
      </c>
      <c r="W5" s="30" t="e">
        <f>资产结构!#REF!</f>
        <v>#REF!</v>
      </c>
      <c r="X5" s="28" t="e">
        <f>资产结构!#REF!</f>
        <v>#REF!</v>
      </c>
      <c r="Y5" s="28"/>
      <c r="Z5" s="28"/>
    </row>
    <row r="6" spans="1:28" x14ac:dyDescent="0.3">
      <c r="A6" s="31" t="str">
        <f>资产结构!A12</f>
        <v>货币资金</v>
      </c>
      <c r="B6" s="32">
        <f>资产结构!B12</f>
        <v>139814.43995299999</v>
      </c>
      <c r="C6" s="33">
        <f>资产结构!C12</f>
        <v>2.9879469614174814E-2</v>
      </c>
      <c r="D6" s="32">
        <f>资产结构!D12</f>
        <v>158428.36535000001</v>
      </c>
      <c r="E6" s="33">
        <f>资产结构!E12</f>
        <v>3.6098170451572181E-2</v>
      </c>
      <c r="F6" s="32">
        <f>资产结构!F12</f>
        <v>128601.72284500001</v>
      </c>
      <c r="G6" s="33">
        <f>资产结构!G12</f>
        <v>3.1747286799384107E-2</v>
      </c>
      <c r="H6" s="32">
        <f>资产结构!H12</f>
        <v>383584.43414999999</v>
      </c>
      <c r="I6" s="33">
        <f>资产结构!I12</f>
        <v>0.10357009800167388</v>
      </c>
      <c r="J6" s="32">
        <f>资产结构!J12</f>
        <v>608823.20639499999</v>
      </c>
      <c r="K6" s="33">
        <f>资产结构!K12</f>
        <v>0.91229417371029942</v>
      </c>
      <c r="L6" s="34" t="e">
        <f>ABS(资产结构!#REF!)</f>
        <v>#REF!</v>
      </c>
      <c r="M6" s="35" t="e">
        <f>ABS(资产结构!#REF!)</f>
        <v>#REF!</v>
      </c>
      <c r="N6" s="31" t="e">
        <f>资产结构!#REF!</f>
        <v>#REF!</v>
      </c>
      <c r="O6" s="31" t="e">
        <f>IF(资产结构!#REF!&gt;0,"增长",IF(资产结构!#REF!&lt;0,"下降","保持不变"))</f>
        <v>#REF!</v>
      </c>
      <c r="P6" s="31" t="e">
        <f>IF(资产结构!#REF!&gt;0,"增幅",IF(资产结构!#REF!&lt;0,"降幅","保持不变"))</f>
        <v>#REF!</v>
      </c>
      <c r="Q6" s="34" t="e">
        <f>ABS(资产结构!#REF!)</f>
        <v>#REF!</v>
      </c>
      <c r="R6" s="35" t="e">
        <f>ABS(资产结构!#REF!)</f>
        <v>#REF!</v>
      </c>
      <c r="S6" s="31" t="e">
        <f>资产结构!#REF!</f>
        <v>#REF!</v>
      </c>
      <c r="T6" s="31" t="e">
        <f>IF(资产结构!#REF!&gt;0,"增长","下降")</f>
        <v>#REF!</v>
      </c>
      <c r="U6" s="31" t="e">
        <f>IF(资产结构!#REF!&gt;0,"增幅","降幅")</f>
        <v>#REF!</v>
      </c>
      <c r="V6" s="34" t="e">
        <f>ABS(资产结构!#REF!)</f>
        <v>#REF!</v>
      </c>
      <c r="W6" s="35" t="e">
        <f>ABS(资产结构!#REF!)</f>
        <v>#REF!</v>
      </c>
      <c r="X6" s="31" t="e">
        <f>资产结构!#REF!</f>
        <v>#REF!</v>
      </c>
      <c r="Y6" s="31" t="e">
        <f>IF(资产结构!#REF!&gt;0,"增长","下降")</f>
        <v>#REF!</v>
      </c>
      <c r="Z6" s="31" t="e">
        <f>IF(资产结构!#REF!&gt;0,"增幅","降幅")</f>
        <v>#REF!</v>
      </c>
      <c r="AA6" s="24">
        <f t="shared" ref="AA6:AA57" si="2">ROW()</f>
        <v>6</v>
      </c>
      <c r="AB6" s="24" t="s">
        <v>1112</v>
      </c>
    </row>
    <row r="7" spans="1:28" x14ac:dyDescent="0.3">
      <c r="A7" s="31" t="str">
        <f>资产结构!A13</f>
        <v>交易性金融资产</v>
      </c>
      <c r="B7" s="32">
        <f>资产结构!B13</f>
        <v>0</v>
      </c>
      <c r="C7" s="33">
        <f>资产结构!C13</f>
        <v>0</v>
      </c>
      <c r="D7" s="32">
        <f>资产结构!D13</f>
        <v>0</v>
      </c>
      <c r="E7" s="33">
        <f>资产结构!E13</f>
        <v>0</v>
      </c>
      <c r="F7" s="32">
        <f>资产结构!F13</f>
        <v>0</v>
      </c>
      <c r="G7" s="33">
        <f>资产结构!G13</f>
        <v>0</v>
      </c>
      <c r="H7" s="32">
        <f>资产结构!H13</f>
        <v>0</v>
      </c>
      <c r="I7" s="33">
        <f>资产结构!I13</f>
        <v>0</v>
      </c>
      <c r="J7" s="32">
        <f>资产结构!J13</f>
        <v>0</v>
      </c>
      <c r="K7" s="33">
        <f>资产结构!K13</f>
        <v>0</v>
      </c>
      <c r="L7" s="34" t="e">
        <f>ABS(资产结构!#REF!)</f>
        <v>#REF!</v>
      </c>
      <c r="M7" s="35" t="e">
        <f>ABS(资产结构!#REF!)</f>
        <v>#REF!</v>
      </c>
      <c r="N7" s="31" t="e">
        <f>资产结构!#REF!</f>
        <v>#REF!</v>
      </c>
      <c r="O7" s="31" t="e">
        <f>IF(资产结构!#REF!&gt;0,"增长",IF(资产结构!#REF!&lt;0,"下降","保持不变"))</f>
        <v>#REF!</v>
      </c>
      <c r="P7" s="31" t="e">
        <f>IF(资产结构!#REF!&gt;0,"增幅",IF(资产结构!#REF!&lt;0,"降幅","保持不变"))</f>
        <v>#REF!</v>
      </c>
      <c r="Q7" s="34" t="e">
        <f>ABS(资产结构!#REF!)</f>
        <v>#REF!</v>
      </c>
      <c r="R7" s="35" t="e">
        <f>ABS(资产结构!#REF!)</f>
        <v>#REF!</v>
      </c>
      <c r="S7" s="31" t="e">
        <f>资产结构!#REF!</f>
        <v>#REF!</v>
      </c>
      <c r="T7" s="31" t="e">
        <f>IF(资产结构!#REF!&gt;0,"增长","下降")</f>
        <v>#REF!</v>
      </c>
      <c r="U7" s="31" t="e">
        <f>IF(资产结构!#REF!&gt;0,"增幅","降幅")</f>
        <v>#REF!</v>
      </c>
      <c r="V7" s="34" t="e">
        <f>ABS(资产结构!#REF!)</f>
        <v>#REF!</v>
      </c>
      <c r="W7" s="35" t="e">
        <f>ABS(资产结构!#REF!)</f>
        <v>#REF!</v>
      </c>
      <c r="X7" s="31" t="e">
        <f>资产结构!#REF!</f>
        <v>#REF!</v>
      </c>
      <c r="Y7" s="31" t="e">
        <f>IF(资产结构!#REF!&gt;0,"增长","下降")</f>
        <v>#REF!</v>
      </c>
      <c r="Z7" s="31" t="e">
        <f>IF(资产结构!#REF!&gt;0,"增幅","降幅")</f>
        <v>#REF!</v>
      </c>
      <c r="AA7" s="24">
        <f t="shared" si="2"/>
        <v>7</v>
      </c>
      <c r="AB7" s="24" t="s">
        <v>1112</v>
      </c>
    </row>
    <row r="8" spans="1:28" x14ac:dyDescent="0.3">
      <c r="A8" s="31" t="str">
        <f>资产结构!A14</f>
        <v>以公允价值计量且其变动计入当期损益的金融资产</v>
      </c>
      <c r="B8" s="32">
        <f>资产结构!B14</f>
        <v>0</v>
      </c>
      <c r="C8" s="33">
        <f>资产结构!C14</f>
        <v>0</v>
      </c>
      <c r="D8" s="32">
        <f>资产结构!D14</f>
        <v>0</v>
      </c>
      <c r="E8" s="33">
        <f>资产结构!E14</f>
        <v>0</v>
      </c>
      <c r="F8" s="32">
        <f>资产结构!F14</f>
        <v>0</v>
      </c>
      <c r="G8" s="33">
        <f>资产结构!G14</f>
        <v>0</v>
      </c>
      <c r="H8" s="32">
        <f>资产结构!H14</f>
        <v>0</v>
      </c>
      <c r="I8" s="33">
        <f>资产结构!I14</f>
        <v>0</v>
      </c>
      <c r="J8" s="32">
        <f>资产结构!J14</f>
        <v>0</v>
      </c>
      <c r="K8" s="33">
        <f>资产结构!K14</f>
        <v>0</v>
      </c>
      <c r="L8" s="34" t="e">
        <f>ABS(资产结构!#REF!)</f>
        <v>#REF!</v>
      </c>
      <c r="M8" s="35" t="e">
        <f>ABS(资产结构!#REF!)</f>
        <v>#REF!</v>
      </c>
      <c r="N8" s="31" t="e">
        <f>资产结构!#REF!</f>
        <v>#REF!</v>
      </c>
      <c r="O8" s="31" t="e">
        <f>IF(资产结构!#REF!&gt;0,"增长",IF(资产结构!#REF!&lt;0,"下降","保持不变"))</f>
        <v>#REF!</v>
      </c>
      <c r="P8" s="31" t="e">
        <f>IF(资产结构!#REF!&gt;0,"增幅",IF(资产结构!#REF!&lt;0,"降幅","保持不变"))</f>
        <v>#REF!</v>
      </c>
      <c r="Q8" s="34" t="e">
        <f>ABS(资产结构!#REF!)</f>
        <v>#REF!</v>
      </c>
      <c r="R8" s="35" t="e">
        <f>ABS(资产结构!#REF!)</f>
        <v>#REF!</v>
      </c>
      <c r="S8" s="31" t="e">
        <f>资产结构!#REF!</f>
        <v>#REF!</v>
      </c>
      <c r="T8" s="31" t="e">
        <f>IF(资产结构!#REF!&gt;0,"增长","下降")</f>
        <v>#REF!</v>
      </c>
      <c r="U8" s="31" t="e">
        <f>IF(资产结构!#REF!&gt;0,"增幅","降幅")</f>
        <v>#REF!</v>
      </c>
      <c r="V8" s="34" t="e">
        <f>ABS(资产结构!#REF!)</f>
        <v>#REF!</v>
      </c>
      <c r="W8" s="35" t="e">
        <f>ABS(资产结构!#REF!)</f>
        <v>#REF!</v>
      </c>
      <c r="X8" s="31" t="e">
        <f>资产结构!#REF!</f>
        <v>#REF!</v>
      </c>
      <c r="Y8" s="31" t="e">
        <f>IF(资产结构!#REF!&gt;0,"增长","下降")</f>
        <v>#REF!</v>
      </c>
      <c r="Z8" s="31" t="e">
        <f>IF(资产结构!#REF!&gt;0,"增幅","降幅")</f>
        <v>#REF!</v>
      </c>
      <c r="AA8" s="24">
        <f t="shared" si="2"/>
        <v>8</v>
      </c>
      <c r="AB8" s="24" t="s">
        <v>1112</v>
      </c>
    </row>
    <row r="9" spans="1:28" x14ac:dyDescent="0.3">
      <c r="A9" s="31" t="str">
        <f>资产结构!A15</f>
        <v>衍生金融资产</v>
      </c>
      <c r="B9" s="32">
        <f>资产结构!B15</f>
        <v>0</v>
      </c>
      <c r="C9" s="33">
        <f>资产结构!C15</f>
        <v>0</v>
      </c>
      <c r="D9" s="32">
        <f>资产结构!D15</f>
        <v>0</v>
      </c>
      <c r="E9" s="33">
        <f>资产结构!E15</f>
        <v>0</v>
      </c>
      <c r="F9" s="32">
        <f>资产结构!F15</f>
        <v>0</v>
      </c>
      <c r="G9" s="33">
        <f>资产结构!G15</f>
        <v>0</v>
      </c>
      <c r="H9" s="32">
        <f>资产结构!H15</f>
        <v>0</v>
      </c>
      <c r="I9" s="33">
        <f>资产结构!I15</f>
        <v>0</v>
      </c>
      <c r="J9" s="32">
        <f>资产结构!J15</f>
        <v>0</v>
      </c>
      <c r="K9" s="33">
        <f>资产结构!K15</f>
        <v>0</v>
      </c>
      <c r="L9" s="34" t="e">
        <f>ABS(资产结构!#REF!)</f>
        <v>#REF!</v>
      </c>
      <c r="M9" s="35" t="e">
        <f>ABS(资产结构!#REF!)</f>
        <v>#REF!</v>
      </c>
      <c r="N9" s="31" t="e">
        <f>资产结构!#REF!</f>
        <v>#REF!</v>
      </c>
      <c r="O9" s="31" t="e">
        <f>IF(资产结构!#REF!&gt;0,"增长",IF(资产结构!#REF!&lt;0,"下降","保持不变"))</f>
        <v>#REF!</v>
      </c>
      <c r="P9" s="31" t="e">
        <f>IF(资产结构!#REF!&gt;0,"增幅",IF(资产结构!#REF!&lt;0,"降幅","保持不变"))</f>
        <v>#REF!</v>
      </c>
      <c r="Q9" s="34" t="e">
        <f>ABS(资产结构!#REF!)</f>
        <v>#REF!</v>
      </c>
      <c r="R9" s="35" t="e">
        <f>ABS(资产结构!#REF!)</f>
        <v>#REF!</v>
      </c>
      <c r="S9" s="31" t="e">
        <f>资产结构!#REF!</f>
        <v>#REF!</v>
      </c>
      <c r="T9" s="31" t="e">
        <f>IF(资产结构!#REF!&gt;0,"增长","下降")</f>
        <v>#REF!</v>
      </c>
      <c r="U9" s="31" t="e">
        <f>IF(资产结构!#REF!&gt;0,"增幅","降幅")</f>
        <v>#REF!</v>
      </c>
      <c r="V9" s="34" t="e">
        <f>ABS(资产结构!#REF!)</f>
        <v>#REF!</v>
      </c>
      <c r="W9" s="35" t="e">
        <f>ABS(资产结构!#REF!)</f>
        <v>#REF!</v>
      </c>
      <c r="X9" s="31" t="e">
        <f>资产结构!#REF!</f>
        <v>#REF!</v>
      </c>
      <c r="Y9" s="31" t="e">
        <f>IF(资产结构!#REF!&gt;0,"增长","下降")</f>
        <v>#REF!</v>
      </c>
      <c r="Z9" s="31" t="e">
        <f>IF(资产结构!#REF!&gt;0,"增幅","降幅")</f>
        <v>#REF!</v>
      </c>
      <c r="AA9" s="24">
        <f t="shared" si="2"/>
        <v>9</v>
      </c>
      <c r="AB9" s="24" t="s">
        <v>1112</v>
      </c>
    </row>
    <row r="10" spans="1:28" x14ac:dyDescent="0.3">
      <c r="A10" s="31" t="str">
        <f>资产结构!A16</f>
        <v>应收票据</v>
      </c>
      <c r="B10" s="32">
        <f>资产结构!B16</f>
        <v>0</v>
      </c>
      <c r="C10" s="33">
        <f>资产结构!C16</f>
        <v>0</v>
      </c>
      <c r="D10" s="32">
        <f>资产结构!D16</f>
        <v>0</v>
      </c>
      <c r="E10" s="33">
        <f>资产结构!E16</f>
        <v>0</v>
      </c>
      <c r="F10" s="32">
        <f>资产结构!F16</f>
        <v>0</v>
      </c>
      <c r="G10" s="33">
        <f>资产结构!G16</f>
        <v>0</v>
      </c>
      <c r="H10" s="32">
        <f>资产结构!H16</f>
        <v>0</v>
      </c>
      <c r="I10" s="33">
        <f>资产结构!I16</f>
        <v>0</v>
      </c>
      <c r="J10" s="32">
        <f>资产结构!J16</f>
        <v>0</v>
      </c>
      <c r="K10" s="33">
        <f>资产结构!K16</f>
        <v>0</v>
      </c>
      <c r="L10" s="34" t="e">
        <f>ABS(资产结构!#REF!)</f>
        <v>#REF!</v>
      </c>
      <c r="M10" s="35" t="e">
        <f>ABS(资产结构!#REF!)</f>
        <v>#REF!</v>
      </c>
      <c r="N10" s="31" t="e">
        <f>资产结构!#REF!</f>
        <v>#REF!</v>
      </c>
      <c r="O10" s="31" t="e">
        <f>IF(资产结构!#REF!&gt;0,"增长",IF(资产结构!#REF!&lt;0,"下降","保持不变"))</f>
        <v>#REF!</v>
      </c>
      <c r="P10" s="31" t="e">
        <f>IF(资产结构!#REF!&gt;0,"增幅",IF(资产结构!#REF!&lt;0,"降幅","保持不变"))</f>
        <v>#REF!</v>
      </c>
      <c r="Q10" s="34" t="e">
        <f>ABS(资产结构!#REF!)</f>
        <v>#REF!</v>
      </c>
      <c r="R10" s="35" t="e">
        <f>ABS(资产结构!#REF!)</f>
        <v>#REF!</v>
      </c>
      <c r="S10" s="31" t="e">
        <f>资产结构!#REF!</f>
        <v>#REF!</v>
      </c>
      <c r="T10" s="31" t="e">
        <f>IF(资产结构!#REF!&gt;0,"增长","下降")</f>
        <v>#REF!</v>
      </c>
      <c r="U10" s="31" t="e">
        <f>IF(资产结构!#REF!&gt;0,"增幅","降幅")</f>
        <v>#REF!</v>
      </c>
      <c r="V10" s="34" t="e">
        <f>ABS(资产结构!#REF!)</f>
        <v>#REF!</v>
      </c>
      <c r="W10" s="35" t="e">
        <f>ABS(资产结构!#REF!)</f>
        <v>#REF!</v>
      </c>
      <c r="X10" s="31" t="e">
        <f>资产结构!#REF!</f>
        <v>#REF!</v>
      </c>
      <c r="Y10" s="31" t="e">
        <f>IF(资产结构!#REF!&gt;0,"增长","下降")</f>
        <v>#REF!</v>
      </c>
      <c r="Z10" s="31" t="e">
        <f>IF(资产结构!#REF!&gt;0,"增幅","降幅")</f>
        <v>#REF!</v>
      </c>
      <c r="AA10" s="24">
        <f t="shared" si="2"/>
        <v>10</v>
      </c>
      <c r="AB10" s="24" t="s">
        <v>1112</v>
      </c>
    </row>
    <row r="11" spans="1:28" x14ac:dyDescent="0.3">
      <c r="A11" s="31" t="str">
        <f>资产结构!A17</f>
        <v>应收账款</v>
      </c>
      <c r="B11" s="32">
        <f>资产结构!B17</f>
        <v>168301.83004600002</v>
      </c>
      <c r="C11" s="33">
        <f>资产结构!C17</f>
        <v>3.596745385211958E-2</v>
      </c>
      <c r="D11" s="32">
        <f>资产结构!D17</f>
        <v>178400.82842500001</v>
      </c>
      <c r="E11" s="33">
        <f>资产结构!E17</f>
        <v>4.064892987414348E-2</v>
      </c>
      <c r="F11" s="32">
        <f>资产结构!F17</f>
        <v>88296.412217999998</v>
      </c>
      <c r="G11" s="33">
        <f>资产结构!G17</f>
        <v>2.1797309243050123E-2</v>
      </c>
      <c r="H11" s="32">
        <f>资产结构!H17</f>
        <v>11085.212508000001</v>
      </c>
      <c r="I11" s="33">
        <f>资产结构!I17</f>
        <v>2.9930738674708059E-3</v>
      </c>
      <c r="J11" s="32">
        <f>资产结构!J17</f>
        <v>4318.4892979999995</v>
      </c>
      <c r="K11" s="33">
        <f>资产结构!K17</f>
        <v>6.4710618524610099E-3</v>
      </c>
      <c r="L11" s="34" t="e">
        <f>ABS(资产结构!#REF!)</f>
        <v>#REF!</v>
      </c>
      <c r="M11" s="35" t="e">
        <f>ABS(资产结构!#REF!)</f>
        <v>#REF!</v>
      </c>
      <c r="N11" s="31" t="e">
        <f>资产结构!#REF!</f>
        <v>#REF!</v>
      </c>
      <c r="O11" s="31" t="e">
        <f>IF(资产结构!#REF!&gt;0,"增长",IF(资产结构!#REF!&lt;0,"下降","保持不变"))</f>
        <v>#REF!</v>
      </c>
      <c r="P11" s="31" t="e">
        <f>IF(资产结构!#REF!&gt;0,"增幅",IF(资产结构!#REF!&lt;0,"降幅","保持不变"))</f>
        <v>#REF!</v>
      </c>
      <c r="Q11" s="34" t="e">
        <f>ABS(资产结构!#REF!)</f>
        <v>#REF!</v>
      </c>
      <c r="R11" s="35" t="e">
        <f>ABS(资产结构!#REF!)</f>
        <v>#REF!</v>
      </c>
      <c r="S11" s="31" t="e">
        <f>资产结构!#REF!</f>
        <v>#REF!</v>
      </c>
      <c r="T11" s="31" t="e">
        <f>IF(资产结构!#REF!&gt;0,"增长","下降")</f>
        <v>#REF!</v>
      </c>
      <c r="U11" s="31" t="e">
        <f>IF(资产结构!#REF!&gt;0,"增幅","降幅")</f>
        <v>#REF!</v>
      </c>
      <c r="V11" s="34" t="e">
        <f>ABS(资产结构!#REF!)</f>
        <v>#REF!</v>
      </c>
      <c r="W11" s="35" t="e">
        <f>ABS(资产结构!#REF!)</f>
        <v>#REF!</v>
      </c>
      <c r="X11" s="31" t="e">
        <f>资产结构!#REF!</f>
        <v>#REF!</v>
      </c>
      <c r="Y11" s="31" t="e">
        <f>IF(资产结构!#REF!&gt;0,"增长","下降")</f>
        <v>#REF!</v>
      </c>
      <c r="Z11" s="31" t="e">
        <f>IF(资产结构!#REF!&gt;0,"增幅","降幅")</f>
        <v>#REF!</v>
      </c>
      <c r="AA11" s="24">
        <f t="shared" si="2"/>
        <v>11</v>
      </c>
      <c r="AB11" s="24" t="s">
        <v>1112</v>
      </c>
    </row>
    <row r="12" spans="1:28" x14ac:dyDescent="0.3">
      <c r="A12" s="31" t="str">
        <f>资产结构!A18</f>
        <v>应收款项融资</v>
      </c>
      <c r="B12" s="32">
        <f>资产结构!B18</f>
        <v>0</v>
      </c>
      <c r="C12" s="33">
        <f>资产结构!C18</f>
        <v>0</v>
      </c>
      <c r="D12" s="32">
        <f>资产结构!D18</f>
        <v>0</v>
      </c>
      <c r="E12" s="33">
        <f>资产结构!E18</f>
        <v>0</v>
      </c>
      <c r="F12" s="32">
        <f>资产结构!F18</f>
        <v>0</v>
      </c>
      <c r="G12" s="33">
        <f>资产结构!G18</f>
        <v>0</v>
      </c>
      <c r="H12" s="32">
        <f>资产结构!H18</f>
        <v>0</v>
      </c>
      <c r="I12" s="33">
        <f>资产结构!I18</f>
        <v>0</v>
      </c>
      <c r="J12" s="32">
        <f>资产结构!J18</f>
        <v>0</v>
      </c>
      <c r="K12" s="33">
        <f>资产结构!K18</f>
        <v>0</v>
      </c>
      <c r="L12" s="34" t="e">
        <f>ABS(资产结构!#REF!)</f>
        <v>#REF!</v>
      </c>
      <c r="M12" s="35" t="e">
        <f>ABS(资产结构!#REF!)</f>
        <v>#REF!</v>
      </c>
      <c r="N12" s="31" t="e">
        <f>资产结构!#REF!</f>
        <v>#REF!</v>
      </c>
      <c r="O12" s="31" t="e">
        <f>IF(资产结构!#REF!&gt;0,"增长",IF(资产结构!#REF!&lt;0,"下降","保持不变"))</f>
        <v>#REF!</v>
      </c>
      <c r="P12" s="31" t="e">
        <f>IF(资产结构!#REF!&gt;0,"增幅",IF(资产结构!#REF!&lt;0,"降幅","保持不变"))</f>
        <v>#REF!</v>
      </c>
      <c r="Q12" s="34" t="e">
        <f>ABS(资产结构!#REF!)</f>
        <v>#REF!</v>
      </c>
      <c r="R12" s="35" t="e">
        <f>ABS(资产结构!#REF!)</f>
        <v>#REF!</v>
      </c>
      <c r="S12" s="31" t="e">
        <f>资产结构!#REF!</f>
        <v>#REF!</v>
      </c>
      <c r="T12" s="31" t="e">
        <f>IF(资产结构!#REF!&gt;0,"增长","下降")</f>
        <v>#REF!</v>
      </c>
      <c r="U12" s="31" t="e">
        <f>IF(资产结构!#REF!&gt;0,"增幅","降幅")</f>
        <v>#REF!</v>
      </c>
      <c r="V12" s="34" t="e">
        <f>ABS(资产结构!#REF!)</f>
        <v>#REF!</v>
      </c>
      <c r="W12" s="35" t="e">
        <f>ABS(资产结构!#REF!)</f>
        <v>#REF!</v>
      </c>
      <c r="X12" s="31" t="e">
        <f>资产结构!#REF!</f>
        <v>#REF!</v>
      </c>
      <c r="Y12" s="31" t="e">
        <f>IF(资产结构!#REF!&gt;0,"增长","下降")</f>
        <v>#REF!</v>
      </c>
      <c r="Z12" s="31" t="e">
        <f>IF(资产结构!#REF!&gt;0,"增幅","降幅")</f>
        <v>#REF!</v>
      </c>
      <c r="AA12" s="24">
        <f t="shared" si="2"/>
        <v>12</v>
      </c>
      <c r="AB12" s="24" t="s">
        <v>1112</v>
      </c>
    </row>
    <row r="13" spans="1:28" x14ac:dyDescent="0.3">
      <c r="A13" s="31" t="str">
        <f>资产结构!A19</f>
        <v>预付款项</v>
      </c>
      <c r="B13" s="32">
        <f>资产结构!B19</f>
        <v>13024.317601000001</v>
      </c>
      <c r="C13" s="33">
        <f>资产结构!C19</f>
        <v>2.7834013577943853E-3</v>
      </c>
      <c r="D13" s="32">
        <f>资产结构!D19</f>
        <v>11292.656144</v>
      </c>
      <c r="E13" s="33">
        <f>资产结构!E19</f>
        <v>2.5730507629523162E-3</v>
      </c>
      <c r="F13" s="32">
        <f>资产结构!F19</f>
        <v>10043.40149</v>
      </c>
      <c r="G13" s="33">
        <f>资产结构!G19</f>
        <v>2.4793660651707861E-3</v>
      </c>
      <c r="H13" s="32">
        <f>资产结构!H19</f>
        <v>13832.048816</v>
      </c>
      <c r="I13" s="33">
        <f>资产结构!I19</f>
        <v>3.7347361464538649E-3</v>
      </c>
      <c r="J13" s="32">
        <f>资产结构!J19</f>
        <v>54212.348583000006</v>
      </c>
      <c r="K13" s="33">
        <f>资产结构!K19</f>
        <v>8.1234764437239565E-2</v>
      </c>
      <c r="L13" s="34" t="e">
        <f>ABS(资产结构!#REF!)</f>
        <v>#REF!</v>
      </c>
      <c r="M13" s="35" t="e">
        <f>ABS(资产结构!#REF!)</f>
        <v>#REF!</v>
      </c>
      <c r="N13" s="31" t="e">
        <f>资产结构!#REF!</f>
        <v>#REF!</v>
      </c>
      <c r="O13" s="31" t="e">
        <f>IF(资产结构!#REF!&gt;0,"增长",IF(资产结构!#REF!&lt;0,"下降","保持不变"))</f>
        <v>#REF!</v>
      </c>
      <c r="P13" s="31" t="e">
        <f>IF(资产结构!#REF!&gt;0,"增幅",IF(资产结构!#REF!&lt;0,"降幅","保持不变"))</f>
        <v>#REF!</v>
      </c>
      <c r="Q13" s="34" t="e">
        <f>ABS(资产结构!#REF!)</f>
        <v>#REF!</v>
      </c>
      <c r="R13" s="35" t="e">
        <f>ABS(资产结构!#REF!)</f>
        <v>#REF!</v>
      </c>
      <c r="S13" s="31" t="e">
        <f>资产结构!#REF!</f>
        <v>#REF!</v>
      </c>
      <c r="T13" s="31" t="e">
        <f>IF(资产结构!#REF!&gt;0,"增长","下降")</f>
        <v>#REF!</v>
      </c>
      <c r="U13" s="31" t="e">
        <f>IF(资产结构!#REF!&gt;0,"增幅","降幅")</f>
        <v>#REF!</v>
      </c>
      <c r="V13" s="34" t="e">
        <f>ABS(资产结构!#REF!)</f>
        <v>#REF!</v>
      </c>
      <c r="W13" s="35" t="e">
        <f>ABS(资产结构!#REF!)</f>
        <v>#REF!</v>
      </c>
      <c r="X13" s="31" t="e">
        <f>资产结构!#REF!</f>
        <v>#REF!</v>
      </c>
      <c r="Y13" s="31" t="e">
        <f>IF(资产结构!#REF!&gt;0,"增长","下降")</f>
        <v>#REF!</v>
      </c>
      <c r="Z13" s="31" t="e">
        <f>IF(资产结构!#REF!&gt;0,"增幅","降幅")</f>
        <v>#REF!</v>
      </c>
      <c r="AA13" s="24">
        <f t="shared" si="2"/>
        <v>13</v>
      </c>
      <c r="AB13" s="24" t="s">
        <v>1112</v>
      </c>
    </row>
    <row r="14" spans="1:28" x14ac:dyDescent="0.3">
      <c r="A14" s="31" t="str">
        <f>资产结构!A20</f>
        <v>应收保费</v>
      </c>
      <c r="B14" s="32">
        <f>资产结构!B20</f>
        <v>0</v>
      </c>
      <c r="C14" s="33">
        <f>资产结构!C20</f>
        <v>0</v>
      </c>
      <c r="D14" s="32">
        <f>资产结构!D20</f>
        <v>0</v>
      </c>
      <c r="E14" s="33">
        <f>资产结构!E20</f>
        <v>0</v>
      </c>
      <c r="F14" s="32">
        <f>资产结构!F20</f>
        <v>0</v>
      </c>
      <c r="G14" s="33">
        <f>资产结构!G20</f>
        <v>0</v>
      </c>
      <c r="H14" s="32">
        <f>资产结构!H20</f>
        <v>0</v>
      </c>
      <c r="I14" s="33">
        <f>资产结构!I20</f>
        <v>0</v>
      </c>
      <c r="J14" s="32">
        <f>资产结构!J20</f>
        <v>0</v>
      </c>
      <c r="K14" s="33">
        <f>资产结构!K20</f>
        <v>0</v>
      </c>
      <c r="L14" s="34" t="e">
        <f>ABS(资产结构!#REF!)</f>
        <v>#REF!</v>
      </c>
      <c r="M14" s="35" t="e">
        <f>ABS(资产结构!#REF!)</f>
        <v>#REF!</v>
      </c>
      <c r="N14" s="31" t="e">
        <f>资产结构!#REF!</f>
        <v>#REF!</v>
      </c>
      <c r="O14" s="31" t="e">
        <f>IF(资产结构!#REF!&gt;0,"增长",IF(资产结构!#REF!&lt;0,"下降","保持不变"))</f>
        <v>#REF!</v>
      </c>
      <c r="P14" s="31" t="e">
        <f>IF(资产结构!#REF!&gt;0,"增幅",IF(资产结构!#REF!&lt;0,"降幅","保持不变"))</f>
        <v>#REF!</v>
      </c>
      <c r="Q14" s="34" t="e">
        <f>ABS(资产结构!#REF!)</f>
        <v>#REF!</v>
      </c>
      <c r="R14" s="35" t="e">
        <f>ABS(资产结构!#REF!)</f>
        <v>#REF!</v>
      </c>
      <c r="S14" s="31" t="e">
        <f>资产结构!#REF!</f>
        <v>#REF!</v>
      </c>
      <c r="T14" s="31" t="e">
        <f>IF(资产结构!#REF!&gt;0,"增长","下降")</f>
        <v>#REF!</v>
      </c>
      <c r="U14" s="31" t="e">
        <f>IF(资产结构!#REF!&gt;0,"增幅","降幅")</f>
        <v>#REF!</v>
      </c>
      <c r="V14" s="34" t="e">
        <f>ABS(资产结构!#REF!)</f>
        <v>#REF!</v>
      </c>
      <c r="W14" s="35" t="e">
        <f>ABS(资产结构!#REF!)</f>
        <v>#REF!</v>
      </c>
      <c r="X14" s="31" t="e">
        <f>资产结构!#REF!</f>
        <v>#REF!</v>
      </c>
      <c r="Y14" s="31" t="e">
        <f>IF(资产结构!#REF!&gt;0,"增长","下降")</f>
        <v>#REF!</v>
      </c>
      <c r="Z14" s="31" t="e">
        <f>IF(资产结构!#REF!&gt;0,"增幅","降幅")</f>
        <v>#REF!</v>
      </c>
      <c r="AA14" s="24">
        <f t="shared" si="2"/>
        <v>14</v>
      </c>
      <c r="AB14" s="24" t="s">
        <v>1112</v>
      </c>
    </row>
    <row r="15" spans="1:28" x14ac:dyDescent="0.3">
      <c r="A15" s="31" t="str">
        <f>资产结构!A21</f>
        <v>应收分保账款</v>
      </c>
      <c r="B15" s="32">
        <f>资产结构!B21</f>
        <v>0</v>
      </c>
      <c r="C15" s="33">
        <f>资产结构!C21</f>
        <v>0</v>
      </c>
      <c r="D15" s="32">
        <f>资产结构!D21</f>
        <v>0</v>
      </c>
      <c r="E15" s="33">
        <f>资产结构!E21</f>
        <v>0</v>
      </c>
      <c r="F15" s="32">
        <f>资产结构!F21</f>
        <v>0</v>
      </c>
      <c r="G15" s="33">
        <f>资产结构!G21</f>
        <v>0</v>
      </c>
      <c r="H15" s="32">
        <f>资产结构!H21</f>
        <v>0</v>
      </c>
      <c r="I15" s="33">
        <f>资产结构!I21</f>
        <v>0</v>
      </c>
      <c r="J15" s="32">
        <f>资产结构!J21</f>
        <v>0</v>
      </c>
      <c r="K15" s="33">
        <f>资产结构!K21</f>
        <v>0</v>
      </c>
      <c r="L15" s="34" t="e">
        <f>ABS(资产结构!#REF!)</f>
        <v>#REF!</v>
      </c>
      <c r="M15" s="35" t="e">
        <f>ABS(资产结构!#REF!)</f>
        <v>#REF!</v>
      </c>
      <c r="N15" s="31" t="e">
        <f>资产结构!#REF!</f>
        <v>#REF!</v>
      </c>
      <c r="O15" s="31" t="e">
        <f>IF(资产结构!#REF!&gt;0,"增长",IF(资产结构!#REF!&lt;0,"下降","保持不变"))</f>
        <v>#REF!</v>
      </c>
      <c r="P15" s="31" t="e">
        <f>IF(资产结构!#REF!&gt;0,"增幅",IF(资产结构!#REF!&lt;0,"降幅","保持不变"))</f>
        <v>#REF!</v>
      </c>
      <c r="Q15" s="34" t="e">
        <f>ABS(资产结构!#REF!)</f>
        <v>#REF!</v>
      </c>
      <c r="R15" s="35" t="e">
        <f>ABS(资产结构!#REF!)</f>
        <v>#REF!</v>
      </c>
      <c r="S15" s="31" t="e">
        <f>资产结构!#REF!</f>
        <v>#REF!</v>
      </c>
      <c r="T15" s="31" t="e">
        <f>IF(资产结构!#REF!&gt;0,"增长","下降")</f>
        <v>#REF!</v>
      </c>
      <c r="U15" s="31" t="e">
        <f>IF(资产结构!#REF!&gt;0,"增幅","降幅")</f>
        <v>#REF!</v>
      </c>
      <c r="V15" s="34" t="e">
        <f>ABS(资产结构!#REF!)</f>
        <v>#REF!</v>
      </c>
      <c r="W15" s="35" t="e">
        <f>ABS(资产结构!#REF!)</f>
        <v>#REF!</v>
      </c>
      <c r="X15" s="31" t="e">
        <f>资产结构!#REF!</f>
        <v>#REF!</v>
      </c>
      <c r="Y15" s="31" t="e">
        <f>IF(资产结构!#REF!&gt;0,"增长","下降")</f>
        <v>#REF!</v>
      </c>
      <c r="Z15" s="31" t="e">
        <f>IF(资产结构!#REF!&gt;0,"增幅","降幅")</f>
        <v>#REF!</v>
      </c>
      <c r="AA15" s="24">
        <f t="shared" si="2"/>
        <v>15</v>
      </c>
      <c r="AB15" s="24" t="s">
        <v>1112</v>
      </c>
    </row>
    <row r="16" spans="1:28" x14ac:dyDescent="0.3">
      <c r="A16" s="31" t="str">
        <f>资产结构!A22</f>
        <v>应收分保合同准备金</v>
      </c>
      <c r="B16" s="32">
        <f>资产结构!B22</f>
        <v>0</v>
      </c>
      <c r="C16" s="33">
        <f>资产结构!C22</f>
        <v>0</v>
      </c>
      <c r="D16" s="32">
        <f>资产结构!D22</f>
        <v>0</v>
      </c>
      <c r="E16" s="33">
        <f>资产结构!E22</f>
        <v>0</v>
      </c>
      <c r="F16" s="32">
        <f>资产结构!F22</f>
        <v>0</v>
      </c>
      <c r="G16" s="33">
        <f>资产结构!G22</f>
        <v>0</v>
      </c>
      <c r="H16" s="32">
        <f>资产结构!H22</f>
        <v>0</v>
      </c>
      <c r="I16" s="33">
        <f>资产结构!I22</f>
        <v>0</v>
      </c>
      <c r="J16" s="32">
        <f>资产结构!J22</f>
        <v>0</v>
      </c>
      <c r="K16" s="33">
        <f>资产结构!K22</f>
        <v>0</v>
      </c>
      <c r="L16" s="34" t="e">
        <f>ABS(资产结构!#REF!)</f>
        <v>#REF!</v>
      </c>
      <c r="M16" s="35" t="e">
        <f>ABS(资产结构!#REF!)</f>
        <v>#REF!</v>
      </c>
      <c r="N16" s="31" t="e">
        <f>资产结构!#REF!</f>
        <v>#REF!</v>
      </c>
      <c r="O16" s="31" t="e">
        <f>IF(资产结构!#REF!&gt;0,"增长",IF(资产结构!#REF!&lt;0,"下降","保持不变"))</f>
        <v>#REF!</v>
      </c>
      <c r="P16" s="31" t="e">
        <f>IF(资产结构!#REF!&gt;0,"增幅",IF(资产结构!#REF!&lt;0,"降幅","保持不变"))</f>
        <v>#REF!</v>
      </c>
      <c r="Q16" s="34" t="e">
        <f>ABS(资产结构!#REF!)</f>
        <v>#REF!</v>
      </c>
      <c r="R16" s="35" t="e">
        <f>ABS(资产结构!#REF!)</f>
        <v>#REF!</v>
      </c>
      <c r="S16" s="31" t="e">
        <f>资产结构!#REF!</f>
        <v>#REF!</v>
      </c>
      <c r="T16" s="31" t="e">
        <f>IF(资产结构!#REF!&gt;0,"增长","下降")</f>
        <v>#REF!</v>
      </c>
      <c r="U16" s="31" t="e">
        <f>IF(资产结构!#REF!&gt;0,"增幅","降幅")</f>
        <v>#REF!</v>
      </c>
      <c r="V16" s="34" t="e">
        <f>ABS(资产结构!#REF!)</f>
        <v>#REF!</v>
      </c>
      <c r="W16" s="35" t="e">
        <f>ABS(资产结构!#REF!)</f>
        <v>#REF!</v>
      </c>
      <c r="X16" s="31" t="e">
        <f>资产结构!#REF!</f>
        <v>#REF!</v>
      </c>
      <c r="Y16" s="31" t="e">
        <f>IF(资产结构!#REF!&gt;0,"增长","下降")</f>
        <v>#REF!</v>
      </c>
      <c r="Z16" s="31" t="e">
        <f>IF(资产结构!#REF!&gt;0,"增幅","降幅")</f>
        <v>#REF!</v>
      </c>
      <c r="AA16" s="24">
        <f t="shared" si="2"/>
        <v>16</v>
      </c>
      <c r="AB16" s="24" t="s">
        <v>1112</v>
      </c>
    </row>
    <row r="17" spans="1:28" x14ac:dyDescent="0.3">
      <c r="A17" s="31" t="str">
        <f>资产结构!A30</f>
        <v>流动资产合计</v>
      </c>
      <c r="B17" s="32">
        <f>资产结构!B30</f>
        <v>4679281.183983</v>
      </c>
      <c r="C17" s="33">
        <f>资产结构!C30</f>
        <v>1</v>
      </c>
      <c r="D17" s="32">
        <f>资产结构!D30</f>
        <v>4388819.8035559999</v>
      </c>
      <c r="E17" s="33">
        <f>资产结构!E30</f>
        <v>1</v>
      </c>
      <c r="F17" s="32">
        <f>资产结构!F30</f>
        <v>4050794.124791</v>
      </c>
      <c r="G17" s="33">
        <f>资产结构!G30</f>
        <v>1</v>
      </c>
      <c r="H17" s="32">
        <f>资产结构!H30</f>
        <v>3703621.4269469995</v>
      </c>
      <c r="I17" s="33">
        <f>资产结构!I30</f>
        <v>0.11029790801559855</v>
      </c>
      <c r="J17" s="32">
        <f>资产结构!J30</f>
        <v>667354.044276</v>
      </c>
      <c r="K17" s="33">
        <f>资产结构!K30</f>
        <v>1</v>
      </c>
      <c r="L17" s="34" t="e">
        <f>ABS(资产结构!#REF!)</f>
        <v>#REF!</v>
      </c>
      <c r="M17" s="35" t="e">
        <f>ABS(资产结构!#REF!)</f>
        <v>#REF!</v>
      </c>
      <c r="N17" s="31" t="e">
        <f>资产结构!#REF!</f>
        <v>#REF!</v>
      </c>
      <c r="O17" s="31" t="e">
        <f>IF(资产结构!#REF!&gt;0,"增长",IF(资产结构!#REF!&lt;0,"下降","保持不变"))</f>
        <v>#REF!</v>
      </c>
      <c r="P17" s="31" t="e">
        <f>IF(资产结构!#REF!&gt;0,"增幅",IF(资产结构!#REF!&lt;0,"降幅","保持不变"))</f>
        <v>#REF!</v>
      </c>
      <c r="Q17" s="34" t="e">
        <f>ABS(资产结构!#REF!)</f>
        <v>#REF!</v>
      </c>
      <c r="R17" s="35" t="e">
        <f>ABS(资产结构!#REF!)</f>
        <v>#REF!</v>
      </c>
      <c r="S17" s="31" t="e">
        <f>资产结构!#REF!</f>
        <v>#REF!</v>
      </c>
      <c r="T17" s="31" t="e">
        <f>IF(资产结构!#REF!&gt;0,"增长","下降")</f>
        <v>#REF!</v>
      </c>
      <c r="U17" s="31" t="e">
        <f>IF(资产结构!#REF!&gt;0,"增幅","降幅")</f>
        <v>#REF!</v>
      </c>
      <c r="V17" s="34" t="e">
        <f>ABS(资产结构!#REF!)</f>
        <v>#REF!</v>
      </c>
      <c r="W17" s="35" t="e">
        <f>ABS(资产结构!#REF!)</f>
        <v>#REF!</v>
      </c>
      <c r="X17" s="31" t="e">
        <f>资产结构!#REF!</f>
        <v>#REF!</v>
      </c>
      <c r="Y17" s="31" t="e">
        <f>IF(资产结构!#REF!&gt;0,"增长","下降")</f>
        <v>#REF!</v>
      </c>
      <c r="Z17" s="31" t="e">
        <f>IF(资产结构!#REF!&gt;0,"增幅","降幅")</f>
        <v>#REF!</v>
      </c>
      <c r="AA17" s="24">
        <f t="shared" si="2"/>
        <v>17</v>
      </c>
      <c r="AB17" s="24" t="s">
        <v>1112</v>
      </c>
    </row>
    <row r="18" spans="1:28" x14ac:dyDescent="0.3">
      <c r="A18" s="31" t="str">
        <f>资产结构!A39</f>
        <v>可供出售金融资产</v>
      </c>
      <c r="B18" s="34">
        <f>资产结构!B39</f>
        <v>0</v>
      </c>
      <c r="C18" s="35">
        <f>资产结构!C39</f>
        <v>0</v>
      </c>
      <c r="D18" s="34">
        <f>资产结构!D39</f>
        <v>0</v>
      </c>
      <c r="E18" s="35">
        <f>资产结构!E39</f>
        <v>0</v>
      </c>
      <c r="F18" s="34">
        <f>资产结构!F39</f>
        <v>0</v>
      </c>
      <c r="G18" s="35">
        <f>资产结构!G39</f>
        <v>0</v>
      </c>
      <c r="H18" s="34">
        <f>资产结构!H39</f>
        <v>0</v>
      </c>
      <c r="I18" s="35">
        <f>资产结构!I39</f>
        <v>0</v>
      </c>
      <c r="J18" s="34">
        <f>资产结构!J39</f>
        <v>1840</v>
      </c>
      <c r="K18" s="35">
        <f>资产结构!K39</f>
        <v>6.9062047315806918E-3</v>
      </c>
      <c r="L18" s="34" t="e">
        <f>ABS(资产结构!#REF!)</f>
        <v>#REF!</v>
      </c>
      <c r="M18" s="35" t="e">
        <f>ABS(资产结构!#REF!)</f>
        <v>#REF!</v>
      </c>
      <c r="N18" s="31" t="e">
        <f>资产结构!#REF!</f>
        <v>#REF!</v>
      </c>
      <c r="O18" s="31" t="e">
        <f>IF(资产结构!#REF!&gt;0,"增长",IF(资产结构!#REF!&lt;0,"下降","保持不变"))</f>
        <v>#REF!</v>
      </c>
      <c r="P18" s="31" t="e">
        <f>IF(资产结构!#REF!&gt;0,"增幅",IF(资产结构!#REF!&lt;0,"降幅","保持不变"))</f>
        <v>#REF!</v>
      </c>
      <c r="Q18" s="34" t="e">
        <f>ABS(资产结构!#REF!)</f>
        <v>#REF!</v>
      </c>
      <c r="R18" s="35" t="e">
        <f>ABS(资产结构!#REF!)</f>
        <v>#REF!</v>
      </c>
      <c r="S18" s="31" t="e">
        <f>资产结构!#REF!</f>
        <v>#REF!</v>
      </c>
      <c r="T18" s="31" t="e">
        <f>IF(资产结构!#REF!&gt;0,"增长","下降")</f>
        <v>#REF!</v>
      </c>
      <c r="U18" s="31" t="e">
        <f>IF(资产结构!#REF!&gt;0,"增幅","降幅")</f>
        <v>#REF!</v>
      </c>
      <c r="V18" s="34" t="e">
        <f>ABS(资产结构!#REF!)</f>
        <v>#REF!</v>
      </c>
      <c r="W18" s="35" t="e">
        <f>ABS(资产结构!#REF!)</f>
        <v>#REF!</v>
      </c>
      <c r="X18" s="31" t="e">
        <f>资产结构!#REF!</f>
        <v>#REF!</v>
      </c>
      <c r="Y18" s="31" t="e">
        <f>IF(资产结构!#REF!&gt;0,"增长","下降")</f>
        <v>#REF!</v>
      </c>
      <c r="Z18" s="31" t="e">
        <f>IF(资产结构!#REF!&gt;0,"增幅","降幅")</f>
        <v>#REF!</v>
      </c>
      <c r="AA18" s="24">
        <f t="shared" si="2"/>
        <v>18</v>
      </c>
      <c r="AB18" s="24" t="s">
        <v>1113</v>
      </c>
    </row>
    <row r="19" spans="1:28" x14ac:dyDescent="0.3">
      <c r="A19" s="31" t="str">
        <f>资产结构!A40</f>
        <v>其他债权投资</v>
      </c>
      <c r="B19" s="34">
        <f>资产结构!B40</f>
        <v>0</v>
      </c>
      <c r="C19" s="35">
        <f>资产结构!C40</f>
        <v>0</v>
      </c>
      <c r="D19" s="34">
        <f>资产结构!D40</f>
        <v>0</v>
      </c>
      <c r="E19" s="35">
        <f>资产结构!E40</f>
        <v>0</v>
      </c>
      <c r="F19" s="34">
        <f>资产结构!F40</f>
        <v>0</v>
      </c>
      <c r="G19" s="35">
        <f>资产结构!G40</f>
        <v>0</v>
      </c>
      <c r="H19" s="34">
        <f>资产结构!H40</f>
        <v>0</v>
      </c>
      <c r="I19" s="35">
        <f>资产结构!I40</f>
        <v>0</v>
      </c>
      <c r="J19" s="34">
        <f>资产结构!J40</f>
        <v>0</v>
      </c>
      <c r="K19" s="35">
        <f>资产结构!K40</f>
        <v>0</v>
      </c>
      <c r="L19" s="34" t="e">
        <f>ABS(资产结构!#REF!)</f>
        <v>#REF!</v>
      </c>
      <c r="M19" s="35" t="e">
        <f>ABS(资产结构!#REF!)</f>
        <v>#REF!</v>
      </c>
      <c r="N19" s="31" t="e">
        <f>资产结构!#REF!</f>
        <v>#REF!</v>
      </c>
      <c r="O19" s="31" t="e">
        <f>IF(资产结构!#REF!&gt;0,"增长",IF(资产结构!#REF!&lt;0,"下降","保持不变"))</f>
        <v>#REF!</v>
      </c>
      <c r="P19" s="31" t="e">
        <f>IF(资产结构!#REF!&gt;0,"增幅",IF(资产结构!#REF!&lt;0,"降幅","保持不变"))</f>
        <v>#REF!</v>
      </c>
      <c r="Q19" s="34" t="e">
        <f>ABS(资产结构!#REF!)</f>
        <v>#REF!</v>
      </c>
      <c r="R19" s="35" t="e">
        <f>ABS(资产结构!#REF!)</f>
        <v>#REF!</v>
      </c>
      <c r="S19" s="31" t="e">
        <f>资产结构!#REF!</f>
        <v>#REF!</v>
      </c>
      <c r="T19" s="31" t="e">
        <f>IF(资产结构!#REF!&gt;0,"增长","下降")</f>
        <v>#REF!</v>
      </c>
      <c r="U19" s="31" t="e">
        <f>IF(资产结构!#REF!&gt;0,"增幅","降幅")</f>
        <v>#REF!</v>
      </c>
      <c r="V19" s="34" t="e">
        <f>ABS(资产结构!#REF!)</f>
        <v>#REF!</v>
      </c>
      <c r="W19" s="35" t="e">
        <f>ABS(资产结构!#REF!)</f>
        <v>#REF!</v>
      </c>
      <c r="X19" s="31" t="e">
        <f>资产结构!#REF!</f>
        <v>#REF!</v>
      </c>
      <c r="Y19" s="31" t="e">
        <f>IF(资产结构!#REF!&gt;0,"增长","下降")</f>
        <v>#REF!</v>
      </c>
      <c r="Z19" s="31" t="e">
        <f>IF(资产结构!#REF!&gt;0,"增幅","降幅")</f>
        <v>#REF!</v>
      </c>
      <c r="AA19" s="24">
        <f t="shared" si="2"/>
        <v>19</v>
      </c>
      <c r="AB19" s="24" t="s">
        <v>1113</v>
      </c>
    </row>
    <row r="20" spans="1:28" x14ac:dyDescent="0.3">
      <c r="A20" s="31" t="str">
        <f>资产结构!A41</f>
        <v>持有至到期投资</v>
      </c>
      <c r="B20" s="34">
        <f>资产结构!B41</f>
        <v>0</v>
      </c>
      <c r="C20" s="35">
        <f>资产结构!C41</f>
        <v>0</v>
      </c>
      <c r="D20" s="34">
        <f>资产结构!D41</f>
        <v>0</v>
      </c>
      <c r="E20" s="35">
        <f>资产结构!E41</f>
        <v>0</v>
      </c>
      <c r="F20" s="34">
        <f>资产结构!F41</f>
        <v>0</v>
      </c>
      <c r="G20" s="35">
        <f>资产结构!G41</f>
        <v>0</v>
      </c>
      <c r="H20" s="34">
        <f>资产结构!H41</f>
        <v>0</v>
      </c>
      <c r="I20" s="35">
        <f>资产结构!I41</f>
        <v>0</v>
      </c>
      <c r="J20" s="34">
        <f>资产结构!J41</f>
        <v>0</v>
      </c>
      <c r="K20" s="35">
        <f>资产结构!K41</f>
        <v>0</v>
      </c>
      <c r="L20" s="34" t="e">
        <f>ABS(资产结构!#REF!)</f>
        <v>#REF!</v>
      </c>
      <c r="M20" s="35" t="e">
        <f>ABS(资产结构!#REF!)</f>
        <v>#REF!</v>
      </c>
      <c r="N20" s="31" t="e">
        <f>资产结构!#REF!</f>
        <v>#REF!</v>
      </c>
      <c r="O20" s="31" t="e">
        <f>IF(资产结构!#REF!&gt;0,"增长",IF(资产结构!#REF!&lt;0,"下降","保持不变"))</f>
        <v>#REF!</v>
      </c>
      <c r="P20" s="31" t="e">
        <f>IF(资产结构!#REF!&gt;0,"增幅",IF(资产结构!#REF!&lt;0,"降幅","保持不变"))</f>
        <v>#REF!</v>
      </c>
      <c r="Q20" s="34" t="e">
        <f>ABS(资产结构!#REF!)</f>
        <v>#REF!</v>
      </c>
      <c r="R20" s="35" t="e">
        <f>ABS(资产结构!#REF!)</f>
        <v>#REF!</v>
      </c>
      <c r="S20" s="31" t="e">
        <f>资产结构!#REF!</f>
        <v>#REF!</v>
      </c>
      <c r="T20" s="31" t="e">
        <f>IF(资产结构!#REF!&gt;0,"增长","下降")</f>
        <v>#REF!</v>
      </c>
      <c r="U20" s="31" t="e">
        <f>IF(资产结构!#REF!&gt;0,"增幅","降幅")</f>
        <v>#REF!</v>
      </c>
      <c r="V20" s="34" t="e">
        <f>ABS(资产结构!#REF!)</f>
        <v>#REF!</v>
      </c>
      <c r="W20" s="35" t="e">
        <f>ABS(资产结构!#REF!)</f>
        <v>#REF!</v>
      </c>
      <c r="X20" s="31" t="e">
        <f>资产结构!#REF!</f>
        <v>#REF!</v>
      </c>
      <c r="Y20" s="31" t="e">
        <f>IF(资产结构!#REF!&gt;0,"增长","下降")</f>
        <v>#REF!</v>
      </c>
      <c r="Z20" s="31" t="e">
        <f>IF(资产结构!#REF!&gt;0,"增幅","降幅")</f>
        <v>#REF!</v>
      </c>
      <c r="AA20" s="24">
        <f t="shared" si="2"/>
        <v>20</v>
      </c>
      <c r="AB20" s="24" t="s">
        <v>1113</v>
      </c>
    </row>
    <row r="21" spans="1:28" x14ac:dyDescent="0.3">
      <c r="A21" s="31" t="str">
        <f>资产结构!A42</f>
        <v>长期应收款</v>
      </c>
      <c r="B21" s="34">
        <f>资产结构!B42</f>
        <v>370</v>
      </c>
      <c r="C21" s="35">
        <f>资产结构!C42</f>
        <v>5.1164697012447309E-4</v>
      </c>
      <c r="D21" s="34">
        <f>资产结构!D42</f>
        <v>0</v>
      </c>
      <c r="E21" s="35">
        <f>资产结构!E42</f>
        <v>0</v>
      </c>
      <c r="F21" s="34">
        <f>资产结构!F42</f>
        <v>0</v>
      </c>
      <c r="G21" s="35">
        <f>资产结构!G42</f>
        <v>0</v>
      </c>
      <c r="H21" s="34">
        <f>资产结构!H42</f>
        <v>0</v>
      </c>
      <c r="I21" s="35">
        <f>资产结构!I42</f>
        <v>0</v>
      </c>
      <c r="J21" s="34">
        <f>资产结构!J42</f>
        <v>38646.51</v>
      </c>
      <c r="K21" s="35">
        <f>资产结构!K42</f>
        <v>0.14505473381580464</v>
      </c>
      <c r="L21" s="34" t="e">
        <f>ABS(资产结构!#REF!)</f>
        <v>#REF!</v>
      </c>
      <c r="M21" s="35" t="e">
        <f>ABS(资产结构!#REF!)</f>
        <v>#REF!</v>
      </c>
      <c r="N21" s="31" t="e">
        <f>资产结构!#REF!</f>
        <v>#REF!</v>
      </c>
      <c r="O21" s="31" t="e">
        <f>IF(资产结构!#REF!&gt;0,"增长",IF(资产结构!#REF!&lt;0,"下降","保持不变"))</f>
        <v>#REF!</v>
      </c>
      <c r="P21" s="31" t="e">
        <f>IF(资产结构!#REF!&gt;0,"增幅",IF(资产结构!#REF!&lt;0,"降幅","保持不变"))</f>
        <v>#REF!</v>
      </c>
      <c r="Q21" s="34" t="e">
        <f>ABS(资产结构!#REF!)</f>
        <v>#REF!</v>
      </c>
      <c r="R21" s="35" t="e">
        <f>ABS(资产结构!#REF!)</f>
        <v>#REF!</v>
      </c>
      <c r="S21" s="31" t="e">
        <f>资产结构!#REF!</f>
        <v>#REF!</v>
      </c>
      <c r="T21" s="31" t="e">
        <f>IF(资产结构!#REF!&gt;0,"增长","下降")</f>
        <v>#REF!</v>
      </c>
      <c r="U21" s="31" t="e">
        <f>IF(资产结构!#REF!&gt;0,"增幅","降幅")</f>
        <v>#REF!</v>
      </c>
      <c r="V21" s="34" t="e">
        <f>ABS(资产结构!#REF!)</f>
        <v>#REF!</v>
      </c>
      <c r="W21" s="35" t="e">
        <f>ABS(资产结构!#REF!)</f>
        <v>#REF!</v>
      </c>
      <c r="X21" s="31" t="e">
        <f>资产结构!#REF!</f>
        <v>#REF!</v>
      </c>
      <c r="Y21" s="31" t="e">
        <f>IF(资产结构!#REF!&gt;0,"增长","下降")</f>
        <v>#REF!</v>
      </c>
      <c r="Z21" s="31" t="e">
        <f>IF(资产结构!#REF!&gt;0,"增幅","降幅")</f>
        <v>#REF!</v>
      </c>
      <c r="AA21" s="24">
        <f t="shared" si="2"/>
        <v>21</v>
      </c>
      <c r="AB21" s="24" t="s">
        <v>1113</v>
      </c>
    </row>
    <row r="22" spans="1:28" x14ac:dyDescent="0.3">
      <c r="A22" s="31" t="str">
        <f>资产结构!A43</f>
        <v>长期股权投资</v>
      </c>
      <c r="B22" s="34">
        <f>资产结构!B43</f>
        <v>31371.976875</v>
      </c>
      <c r="C22" s="35">
        <f>资产结构!C43</f>
        <v>4.3382099770023747E-2</v>
      </c>
      <c r="D22" s="34">
        <f>资产结构!D43</f>
        <v>31272.976774999999</v>
      </c>
      <c r="E22" s="35">
        <f>资产结构!E43</f>
        <v>4.289480036563164E-2</v>
      </c>
      <c r="F22" s="34">
        <f>资产结构!F43</f>
        <v>29583.164111000002</v>
      </c>
      <c r="G22" s="35">
        <f>资产结构!G43</f>
        <v>3.6747223964097971E-2</v>
      </c>
      <c r="H22" s="34">
        <f>资产结构!H43</f>
        <v>38736.807718999997</v>
      </c>
      <c r="I22" s="35">
        <f>资产结构!I43</f>
        <v>6.6572683246790845E-2</v>
      </c>
      <c r="J22" s="34">
        <f>资产结构!J43</f>
        <v>37562.260218000003</v>
      </c>
      <c r="K22" s="35">
        <f>资产结构!K43</f>
        <v>0.14098514089479175</v>
      </c>
      <c r="L22" s="34" t="e">
        <f>ABS(资产结构!#REF!)</f>
        <v>#REF!</v>
      </c>
      <c r="M22" s="35" t="e">
        <f>ABS(资产结构!#REF!)</f>
        <v>#REF!</v>
      </c>
      <c r="N22" s="31" t="e">
        <f>资产结构!#REF!</f>
        <v>#REF!</v>
      </c>
      <c r="O22" s="31" t="e">
        <f>IF(资产结构!#REF!&gt;0,"增长",IF(资产结构!#REF!&lt;0,"下降","保持不变"))</f>
        <v>#REF!</v>
      </c>
      <c r="P22" s="31" t="e">
        <f>IF(资产结构!#REF!&gt;0,"增幅",IF(资产结构!#REF!&lt;0,"降幅","保持不变"))</f>
        <v>#REF!</v>
      </c>
      <c r="Q22" s="34" t="e">
        <f>ABS(资产结构!#REF!)</f>
        <v>#REF!</v>
      </c>
      <c r="R22" s="35" t="e">
        <f>ABS(资产结构!#REF!)</f>
        <v>#REF!</v>
      </c>
      <c r="S22" s="31" t="e">
        <f>资产结构!#REF!</f>
        <v>#REF!</v>
      </c>
      <c r="T22" s="31" t="e">
        <f>IF(资产结构!#REF!&gt;0,"增长","下降")</f>
        <v>#REF!</v>
      </c>
      <c r="U22" s="31" t="e">
        <f>IF(资产结构!#REF!&gt;0,"增幅","降幅")</f>
        <v>#REF!</v>
      </c>
      <c r="V22" s="34" t="e">
        <f>ABS(资产结构!#REF!)</f>
        <v>#REF!</v>
      </c>
      <c r="W22" s="35" t="e">
        <f>ABS(资产结构!#REF!)</f>
        <v>#REF!</v>
      </c>
      <c r="X22" s="31" t="e">
        <f>资产结构!#REF!</f>
        <v>#REF!</v>
      </c>
      <c r="Y22" s="31" t="e">
        <f>IF(资产结构!#REF!&gt;0,"增长","下降")</f>
        <v>#REF!</v>
      </c>
      <c r="Z22" s="31" t="e">
        <f>IF(资产结构!#REF!&gt;0,"增幅","降幅")</f>
        <v>#REF!</v>
      </c>
      <c r="AA22" s="24">
        <f t="shared" si="2"/>
        <v>22</v>
      </c>
      <c r="AB22" s="24" t="s">
        <v>1113</v>
      </c>
    </row>
    <row r="23" spans="1:28" x14ac:dyDescent="0.3">
      <c r="A23" s="31" t="str">
        <f>资产结构!A44</f>
        <v>其他权益工具投资</v>
      </c>
      <c r="B23" s="34">
        <f>资产结构!B44</f>
        <v>1197.2688289999999</v>
      </c>
      <c r="C23" s="35">
        <f>资产结构!C44</f>
        <v>1.6556188345468266E-3</v>
      </c>
      <c r="D23" s="34">
        <f>资产结构!D44</f>
        <v>1197.2688289999999</v>
      </c>
      <c r="E23" s="35">
        <f>资产结构!E44</f>
        <v>1.6422039952718431E-3</v>
      </c>
      <c r="F23" s="34">
        <f>资产结构!F44</f>
        <v>1430.645745</v>
      </c>
      <c r="G23" s="35">
        <f>资产结构!G44</f>
        <v>1.7771006308703364E-3</v>
      </c>
      <c r="H23" s="34">
        <f>资产结构!H44</f>
        <v>1840</v>
      </c>
      <c r="I23" s="35">
        <f>资产结构!I44</f>
        <v>3.1622052612769445E-3</v>
      </c>
      <c r="J23" s="34">
        <f>资产结构!J44</f>
        <v>0</v>
      </c>
      <c r="K23" s="35">
        <f>资产结构!K44</f>
        <v>0</v>
      </c>
      <c r="L23" s="34" t="e">
        <f>ABS(资产结构!#REF!)</f>
        <v>#REF!</v>
      </c>
      <c r="M23" s="35" t="e">
        <f>ABS(资产结构!#REF!)</f>
        <v>#REF!</v>
      </c>
      <c r="N23" s="31" t="e">
        <f>资产结构!#REF!</f>
        <v>#REF!</v>
      </c>
      <c r="O23" s="31" t="e">
        <f>IF(资产结构!#REF!&gt;0,"增长",IF(资产结构!#REF!&lt;0,"下降","保持不变"))</f>
        <v>#REF!</v>
      </c>
      <c r="P23" s="31" t="e">
        <f>IF(资产结构!#REF!&gt;0,"增幅",IF(资产结构!#REF!&lt;0,"降幅","保持不变"))</f>
        <v>#REF!</v>
      </c>
      <c r="Q23" s="34" t="e">
        <f>ABS(资产结构!#REF!)</f>
        <v>#REF!</v>
      </c>
      <c r="R23" s="35" t="e">
        <f>ABS(资产结构!#REF!)</f>
        <v>#REF!</v>
      </c>
      <c r="S23" s="31" t="e">
        <f>资产结构!#REF!</f>
        <v>#REF!</v>
      </c>
      <c r="T23" s="31" t="e">
        <f>IF(资产结构!#REF!&gt;0,"增长","下降")</f>
        <v>#REF!</v>
      </c>
      <c r="U23" s="31" t="e">
        <f>IF(资产结构!#REF!&gt;0,"增幅","降幅")</f>
        <v>#REF!</v>
      </c>
      <c r="V23" s="34" t="e">
        <f>ABS(资产结构!#REF!)</f>
        <v>#REF!</v>
      </c>
      <c r="W23" s="35" t="e">
        <f>ABS(资产结构!#REF!)</f>
        <v>#REF!</v>
      </c>
      <c r="X23" s="31" t="e">
        <f>资产结构!#REF!</f>
        <v>#REF!</v>
      </c>
      <c r="Y23" s="31" t="e">
        <f>IF(资产结构!#REF!&gt;0,"增长","下降")</f>
        <v>#REF!</v>
      </c>
      <c r="Z23" s="31" t="e">
        <f>IF(资产结构!#REF!&gt;0,"增幅","降幅")</f>
        <v>#REF!</v>
      </c>
      <c r="AA23" s="24">
        <f t="shared" si="2"/>
        <v>23</v>
      </c>
      <c r="AB23" s="24" t="s">
        <v>1113</v>
      </c>
    </row>
    <row r="24" spans="1:28" x14ac:dyDescent="0.3">
      <c r="A24" s="31" t="str">
        <f>资产结构!A45</f>
        <v>其他非流动金融资产</v>
      </c>
      <c r="B24" s="34">
        <f>资产结构!B45</f>
        <v>0</v>
      </c>
      <c r="C24" s="35">
        <f>资产结构!C45</f>
        <v>0</v>
      </c>
      <c r="D24" s="34">
        <f>资产结构!D45</f>
        <v>0</v>
      </c>
      <c r="E24" s="35">
        <f>资产结构!E45</f>
        <v>0</v>
      </c>
      <c r="F24" s="34">
        <f>资产结构!F45</f>
        <v>0</v>
      </c>
      <c r="G24" s="35">
        <f>资产结构!G45</f>
        <v>0</v>
      </c>
      <c r="H24" s="34">
        <f>资产结构!H45</f>
        <v>0</v>
      </c>
      <c r="I24" s="35">
        <f>资产结构!I45</f>
        <v>0</v>
      </c>
      <c r="J24" s="34">
        <f>资产结构!J45</f>
        <v>0</v>
      </c>
      <c r="K24" s="35">
        <f>资产结构!K45</f>
        <v>0</v>
      </c>
      <c r="L24" s="34" t="e">
        <f>ABS(资产结构!#REF!)</f>
        <v>#REF!</v>
      </c>
      <c r="M24" s="35" t="e">
        <f>ABS(资产结构!#REF!)</f>
        <v>#REF!</v>
      </c>
      <c r="N24" s="31" t="e">
        <f>资产结构!#REF!</f>
        <v>#REF!</v>
      </c>
      <c r="O24" s="31" t="e">
        <f>IF(资产结构!#REF!&gt;0,"增长",IF(资产结构!#REF!&lt;0,"下降","保持不变"))</f>
        <v>#REF!</v>
      </c>
      <c r="P24" s="31" t="e">
        <f>IF(资产结构!#REF!&gt;0,"增幅",IF(资产结构!#REF!&lt;0,"降幅","保持不变"))</f>
        <v>#REF!</v>
      </c>
      <c r="Q24" s="34" t="e">
        <f>ABS(资产结构!#REF!)</f>
        <v>#REF!</v>
      </c>
      <c r="R24" s="35" t="e">
        <f>ABS(资产结构!#REF!)</f>
        <v>#REF!</v>
      </c>
      <c r="S24" s="31" t="e">
        <f>资产结构!#REF!</f>
        <v>#REF!</v>
      </c>
      <c r="T24" s="31" t="e">
        <f>IF(资产结构!#REF!&gt;0,"增长","下降")</f>
        <v>#REF!</v>
      </c>
      <c r="U24" s="31" t="e">
        <f>IF(资产结构!#REF!&gt;0,"增幅","降幅")</f>
        <v>#REF!</v>
      </c>
      <c r="V24" s="34" t="e">
        <f>ABS(资产结构!#REF!)</f>
        <v>#REF!</v>
      </c>
      <c r="W24" s="35" t="e">
        <f>ABS(资产结构!#REF!)</f>
        <v>#REF!</v>
      </c>
      <c r="X24" s="31" t="e">
        <f>资产结构!#REF!</f>
        <v>#REF!</v>
      </c>
      <c r="Y24" s="31" t="e">
        <f>IF(资产结构!#REF!&gt;0,"增长","下降")</f>
        <v>#REF!</v>
      </c>
      <c r="Z24" s="31" t="e">
        <f>IF(资产结构!#REF!&gt;0,"增幅","降幅")</f>
        <v>#REF!</v>
      </c>
      <c r="AA24" s="24">
        <f t="shared" si="2"/>
        <v>24</v>
      </c>
      <c r="AB24" s="24" t="s">
        <v>1113</v>
      </c>
    </row>
    <row r="25" spans="1:28" x14ac:dyDescent="0.3">
      <c r="A25" s="31" t="str">
        <f>资产结构!A46</f>
        <v>投资性房地产</v>
      </c>
      <c r="B25" s="34">
        <f>资产结构!B46</f>
        <v>169402.61380600001</v>
      </c>
      <c r="C25" s="35">
        <f>资产结构!C46</f>
        <v>0.23425495698650309</v>
      </c>
      <c r="D25" s="34">
        <f>资产结构!D46</f>
        <v>169201.82</v>
      </c>
      <c r="E25" s="35">
        <f>资产结构!E46</f>
        <v>0.23208146581695338</v>
      </c>
      <c r="F25" s="34">
        <f>资产结构!F46</f>
        <v>168413.42</v>
      </c>
      <c r="G25" s="35">
        <f>资产结构!G46</f>
        <v>0.20919755709966548</v>
      </c>
      <c r="H25" s="34">
        <f>资产结构!H46</f>
        <v>13059.026152</v>
      </c>
      <c r="I25" s="35">
        <f>资产结构!I46</f>
        <v>2.2443109350547618E-2</v>
      </c>
      <c r="J25" s="34">
        <f>资产结构!J46</f>
        <v>4339.4548569999997</v>
      </c>
      <c r="K25" s="35">
        <f>资产结构!K46</f>
        <v>1.6287588948855548E-2</v>
      </c>
      <c r="L25" s="34" t="e">
        <f>ABS(资产结构!#REF!)</f>
        <v>#REF!</v>
      </c>
      <c r="M25" s="35" t="e">
        <f>ABS(资产结构!#REF!)</f>
        <v>#REF!</v>
      </c>
      <c r="N25" s="31" t="e">
        <f>资产结构!#REF!</f>
        <v>#REF!</v>
      </c>
      <c r="O25" s="31" t="e">
        <f>IF(资产结构!#REF!&gt;0,"增长",IF(资产结构!#REF!&lt;0,"下降","保持不变"))</f>
        <v>#REF!</v>
      </c>
      <c r="P25" s="31" t="e">
        <f>IF(资产结构!#REF!&gt;0,"增幅",IF(资产结构!#REF!&lt;0,"降幅","保持不变"))</f>
        <v>#REF!</v>
      </c>
      <c r="Q25" s="34" t="e">
        <f>ABS(资产结构!#REF!)</f>
        <v>#REF!</v>
      </c>
      <c r="R25" s="35" t="e">
        <f>ABS(资产结构!#REF!)</f>
        <v>#REF!</v>
      </c>
      <c r="S25" s="31" t="e">
        <f>资产结构!#REF!</f>
        <v>#REF!</v>
      </c>
      <c r="T25" s="31" t="e">
        <f>IF(资产结构!#REF!&gt;0,"增长","下降")</f>
        <v>#REF!</v>
      </c>
      <c r="U25" s="31" t="e">
        <f>IF(资产结构!#REF!&gt;0,"增幅","降幅")</f>
        <v>#REF!</v>
      </c>
      <c r="V25" s="34" t="e">
        <f>ABS(资产结构!#REF!)</f>
        <v>#REF!</v>
      </c>
      <c r="W25" s="35" t="e">
        <f>ABS(资产结构!#REF!)</f>
        <v>#REF!</v>
      </c>
      <c r="X25" s="31" t="e">
        <f>资产结构!#REF!</f>
        <v>#REF!</v>
      </c>
      <c r="Y25" s="31" t="e">
        <f>IF(资产结构!#REF!&gt;0,"增长","下降")</f>
        <v>#REF!</v>
      </c>
      <c r="Z25" s="31" t="e">
        <f>IF(资产结构!#REF!&gt;0,"增幅","降幅")</f>
        <v>#REF!</v>
      </c>
      <c r="AA25" s="24">
        <f t="shared" si="2"/>
        <v>25</v>
      </c>
      <c r="AB25" s="24" t="s">
        <v>1113</v>
      </c>
    </row>
    <row r="26" spans="1:28" x14ac:dyDescent="0.3">
      <c r="A26" s="31" t="str">
        <f>资产结构!A47</f>
        <v>固定资产</v>
      </c>
      <c r="B26" s="34">
        <f>资产结构!B47</f>
        <v>343534.80498100002</v>
      </c>
      <c r="C26" s="35">
        <f>资产结构!C47</f>
        <v>0.47505011378602813</v>
      </c>
      <c r="D26" s="34">
        <f>资产结构!D47</f>
        <v>359708.76259499998</v>
      </c>
      <c r="E26" s="35">
        <f>资产结构!E47</f>
        <v>0.49338557286351936</v>
      </c>
      <c r="F26" s="34">
        <f>资产结构!F47</f>
        <v>326403.90900599997</v>
      </c>
      <c r="G26" s="35">
        <f>资产结构!G47</f>
        <v>0.40544809547740723</v>
      </c>
      <c r="H26" s="34">
        <f>资产结构!H47</f>
        <v>234318.00214499998</v>
      </c>
      <c r="I26" s="35">
        <f>资产结构!I47</f>
        <v>0.40269653217109852</v>
      </c>
      <c r="J26" s="34">
        <f>资产结构!J47</f>
        <v>125966.52121099998</v>
      </c>
      <c r="K26" s="35">
        <f>资产结构!K47</f>
        <v>0.47279923087400416</v>
      </c>
      <c r="L26" s="34" t="e">
        <f>ABS(资产结构!#REF!)</f>
        <v>#REF!</v>
      </c>
      <c r="M26" s="35" t="e">
        <f>ABS(资产结构!#REF!)</f>
        <v>#REF!</v>
      </c>
      <c r="N26" s="31" t="e">
        <f>资产结构!#REF!</f>
        <v>#REF!</v>
      </c>
      <c r="O26" s="31" t="e">
        <f>IF(资产结构!#REF!&gt;0,"增长",IF(资产结构!#REF!&lt;0,"下降","保持不变"))</f>
        <v>#REF!</v>
      </c>
      <c r="P26" s="31" t="e">
        <f>IF(资产结构!#REF!&gt;0,"增幅",IF(资产结构!#REF!&lt;0,"降幅","保持不变"))</f>
        <v>#REF!</v>
      </c>
      <c r="Q26" s="34" t="e">
        <f>ABS(资产结构!#REF!)</f>
        <v>#REF!</v>
      </c>
      <c r="R26" s="35" t="e">
        <f>ABS(资产结构!#REF!)</f>
        <v>#REF!</v>
      </c>
      <c r="S26" s="31" t="e">
        <f>资产结构!#REF!</f>
        <v>#REF!</v>
      </c>
      <c r="T26" s="31" t="e">
        <f>IF(资产结构!#REF!&gt;0,"增长","下降")</f>
        <v>#REF!</v>
      </c>
      <c r="U26" s="31" t="e">
        <f>IF(资产结构!#REF!&gt;0,"增幅","降幅")</f>
        <v>#REF!</v>
      </c>
      <c r="V26" s="34" t="e">
        <f>ABS(资产结构!#REF!)</f>
        <v>#REF!</v>
      </c>
      <c r="W26" s="35" t="e">
        <f>ABS(资产结构!#REF!)</f>
        <v>#REF!</v>
      </c>
      <c r="X26" s="31" t="e">
        <f>资产结构!#REF!</f>
        <v>#REF!</v>
      </c>
      <c r="Y26" s="31" t="e">
        <f>IF(资产结构!#REF!&gt;0,"增长","下降")</f>
        <v>#REF!</v>
      </c>
      <c r="Z26" s="31" t="e">
        <f>IF(资产结构!#REF!&gt;0,"增幅","降幅")</f>
        <v>#REF!</v>
      </c>
      <c r="AA26" s="24">
        <f t="shared" si="2"/>
        <v>26</v>
      </c>
      <c r="AB26" s="24" t="s">
        <v>1113</v>
      </c>
    </row>
    <row r="27" spans="1:28" x14ac:dyDescent="0.3">
      <c r="A27" s="31" t="str">
        <f>资产结构!A48</f>
        <v>在建工程</v>
      </c>
      <c r="B27" s="34">
        <f>资产结构!B48</f>
        <v>80523.774959999995</v>
      </c>
      <c r="C27" s="35">
        <f>资产结构!C48</f>
        <v>0.11135066346288895</v>
      </c>
      <c r="D27" s="34">
        <f>资产结构!D48</f>
        <v>45271.834897000001</v>
      </c>
      <c r="E27" s="35">
        <f>资产结构!E48</f>
        <v>6.2095985747191502E-2</v>
      </c>
      <c r="F27" s="34">
        <f>资产结构!F48</f>
        <v>71550.936398999998</v>
      </c>
      <c r="G27" s="35">
        <f>资产结构!G48</f>
        <v>8.8878196897042613E-2</v>
      </c>
      <c r="H27" s="34">
        <f>资产结构!H48</f>
        <v>42997.154243999998</v>
      </c>
      <c r="I27" s="35">
        <f>资产结构!I48</f>
        <v>7.38944713969093E-2</v>
      </c>
      <c r="J27" s="34">
        <f>资产结构!J48</f>
        <v>24849.749515</v>
      </c>
      <c r="K27" s="35">
        <f>资产结构!K48</f>
        <v>9.3270357434286952E-2</v>
      </c>
      <c r="L27" s="34" t="e">
        <f>ABS(资产结构!#REF!)</f>
        <v>#REF!</v>
      </c>
      <c r="M27" s="35" t="e">
        <f>ABS(资产结构!#REF!)</f>
        <v>#REF!</v>
      </c>
      <c r="N27" s="31" t="e">
        <f>资产结构!#REF!</f>
        <v>#REF!</v>
      </c>
      <c r="O27" s="31" t="e">
        <f>IF(资产结构!#REF!&gt;0,"增长",IF(资产结构!#REF!&lt;0,"下降","保持不变"))</f>
        <v>#REF!</v>
      </c>
      <c r="P27" s="31" t="e">
        <f>IF(资产结构!#REF!&gt;0,"增幅",IF(资产结构!#REF!&lt;0,"降幅","保持不变"))</f>
        <v>#REF!</v>
      </c>
      <c r="Q27" s="34" t="e">
        <f>ABS(资产结构!#REF!)</f>
        <v>#REF!</v>
      </c>
      <c r="R27" s="35" t="e">
        <f>ABS(资产结构!#REF!)</f>
        <v>#REF!</v>
      </c>
      <c r="S27" s="31" t="e">
        <f>资产结构!#REF!</f>
        <v>#REF!</v>
      </c>
      <c r="T27" s="31" t="e">
        <f>IF(资产结构!#REF!&gt;0,"增长","下降")</f>
        <v>#REF!</v>
      </c>
      <c r="U27" s="31" t="e">
        <f>IF(资产结构!#REF!&gt;0,"增幅","降幅")</f>
        <v>#REF!</v>
      </c>
      <c r="V27" s="34" t="e">
        <f>ABS(资产结构!#REF!)</f>
        <v>#REF!</v>
      </c>
      <c r="W27" s="35" t="e">
        <f>ABS(资产结构!#REF!)</f>
        <v>#REF!</v>
      </c>
      <c r="X27" s="31" t="e">
        <f>资产结构!#REF!</f>
        <v>#REF!</v>
      </c>
      <c r="Y27" s="31" t="e">
        <f>IF(资产结构!#REF!&gt;0,"增长","下降")</f>
        <v>#REF!</v>
      </c>
      <c r="Z27" s="31" t="e">
        <f>IF(资产结构!#REF!&gt;0,"增幅","降幅")</f>
        <v>#REF!</v>
      </c>
      <c r="AA27" s="24">
        <f t="shared" si="2"/>
        <v>27</v>
      </c>
      <c r="AB27" s="24" t="s">
        <v>1113</v>
      </c>
    </row>
    <row r="28" spans="1:28" x14ac:dyDescent="0.3">
      <c r="A28" s="31" t="str">
        <f>资产结构!A49</f>
        <v>生产性生物资产</v>
      </c>
      <c r="B28" s="34">
        <f>资产结构!B49</f>
        <v>0</v>
      </c>
      <c r="C28" s="35">
        <f>资产结构!C49</f>
        <v>0</v>
      </c>
      <c r="D28" s="34">
        <f>资产结构!D49</f>
        <v>0</v>
      </c>
      <c r="E28" s="35">
        <f>资产结构!E49</f>
        <v>0</v>
      </c>
      <c r="F28" s="34">
        <f>资产结构!F49</f>
        <v>0</v>
      </c>
      <c r="G28" s="35">
        <f>资产结构!G49</f>
        <v>0</v>
      </c>
      <c r="H28" s="34">
        <f>资产结构!H49</f>
        <v>0</v>
      </c>
      <c r="I28" s="35">
        <f>资产结构!I49</f>
        <v>0</v>
      </c>
      <c r="J28" s="34">
        <f>资产结构!J49</f>
        <v>0</v>
      </c>
      <c r="K28" s="35">
        <f>资产结构!K49</f>
        <v>0</v>
      </c>
      <c r="L28" s="34" t="e">
        <f>ABS(资产结构!#REF!)</f>
        <v>#REF!</v>
      </c>
      <c r="M28" s="35" t="e">
        <f>ABS(资产结构!#REF!)</f>
        <v>#REF!</v>
      </c>
      <c r="N28" s="31" t="e">
        <f>资产结构!#REF!</f>
        <v>#REF!</v>
      </c>
      <c r="O28" s="31" t="e">
        <f>IF(资产结构!#REF!&gt;0,"增长",IF(资产结构!#REF!&lt;0,"下降","保持不变"))</f>
        <v>#REF!</v>
      </c>
      <c r="P28" s="31" t="e">
        <f>IF(资产结构!#REF!&gt;0,"增幅",IF(资产结构!#REF!&lt;0,"降幅","保持不变"))</f>
        <v>#REF!</v>
      </c>
      <c r="Q28" s="34" t="e">
        <f>ABS(资产结构!#REF!)</f>
        <v>#REF!</v>
      </c>
      <c r="R28" s="35" t="e">
        <f>ABS(资产结构!#REF!)</f>
        <v>#REF!</v>
      </c>
      <c r="S28" s="31" t="e">
        <f>资产结构!#REF!</f>
        <v>#REF!</v>
      </c>
      <c r="T28" s="31" t="e">
        <f>IF(资产结构!#REF!&gt;0,"增长","下降")</f>
        <v>#REF!</v>
      </c>
      <c r="U28" s="31" t="e">
        <f>IF(资产结构!#REF!&gt;0,"增幅","降幅")</f>
        <v>#REF!</v>
      </c>
      <c r="V28" s="34" t="e">
        <f>ABS(资产结构!#REF!)</f>
        <v>#REF!</v>
      </c>
      <c r="W28" s="35" t="e">
        <f>ABS(资产结构!#REF!)</f>
        <v>#REF!</v>
      </c>
      <c r="X28" s="31" t="e">
        <f>资产结构!#REF!</f>
        <v>#REF!</v>
      </c>
      <c r="Y28" s="31" t="e">
        <f>IF(资产结构!#REF!&gt;0,"增长","下降")</f>
        <v>#REF!</v>
      </c>
      <c r="Z28" s="31" t="e">
        <f>IF(资产结构!#REF!&gt;0,"增幅","降幅")</f>
        <v>#REF!</v>
      </c>
      <c r="AA28" s="24">
        <f t="shared" si="2"/>
        <v>28</v>
      </c>
      <c r="AB28" s="24" t="s">
        <v>1113</v>
      </c>
    </row>
    <row r="29" spans="1:28" x14ac:dyDescent="0.3">
      <c r="A29" s="31" t="str">
        <f>资产结构!A50</f>
        <v>油气资产</v>
      </c>
      <c r="B29" s="34">
        <f>资产结构!B50</f>
        <v>0</v>
      </c>
      <c r="C29" s="35">
        <f>资产结构!C50</f>
        <v>0</v>
      </c>
      <c r="D29" s="34">
        <f>资产结构!D50</f>
        <v>0</v>
      </c>
      <c r="E29" s="35">
        <f>资产结构!E50</f>
        <v>0</v>
      </c>
      <c r="F29" s="34">
        <f>资产结构!F50</f>
        <v>0</v>
      </c>
      <c r="G29" s="35">
        <f>资产结构!G50</f>
        <v>0</v>
      </c>
      <c r="H29" s="34">
        <f>资产结构!H50</f>
        <v>0</v>
      </c>
      <c r="I29" s="35">
        <f>资产结构!I50</f>
        <v>0</v>
      </c>
      <c r="J29" s="34">
        <f>资产结构!J50</f>
        <v>0</v>
      </c>
      <c r="K29" s="35">
        <f>资产结构!K50</f>
        <v>0</v>
      </c>
      <c r="L29" s="34" t="e">
        <f>ABS(资产结构!#REF!)</f>
        <v>#REF!</v>
      </c>
      <c r="M29" s="35" t="e">
        <f>ABS(资产结构!#REF!)</f>
        <v>#REF!</v>
      </c>
      <c r="N29" s="31" t="e">
        <f>资产结构!#REF!</f>
        <v>#REF!</v>
      </c>
      <c r="O29" s="31" t="e">
        <f>IF(资产结构!#REF!&gt;0,"增长",IF(资产结构!#REF!&lt;0,"下降","保持不变"))</f>
        <v>#REF!</v>
      </c>
      <c r="P29" s="31" t="e">
        <f>IF(资产结构!#REF!&gt;0,"增幅",IF(资产结构!#REF!&lt;0,"降幅","保持不变"))</f>
        <v>#REF!</v>
      </c>
      <c r="Q29" s="34" t="e">
        <f>ABS(资产结构!#REF!)</f>
        <v>#REF!</v>
      </c>
      <c r="R29" s="35" t="e">
        <f>ABS(资产结构!#REF!)</f>
        <v>#REF!</v>
      </c>
      <c r="S29" s="31" t="e">
        <f>资产结构!#REF!</f>
        <v>#REF!</v>
      </c>
      <c r="T29" s="31" t="e">
        <f>IF(资产结构!#REF!&gt;0,"增长","下降")</f>
        <v>#REF!</v>
      </c>
      <c r="U29" s="31" t="e">
        <f>IF(资产结构!#REF!&gt;0,"增幅","降幅")</f>
        <v>#REF!</v>
      </c>
      <c r="V29" s="34" t="e">
        <f>ABS(资产结构!#REF!)</f>
        <v>#REF!</v>
      </c>
      <c r="W29" s="35" t="e">
        <f>ABS(资产结构!#REF!)</f>
        <v>#REF!</v>
      </c>
      <c r="X29" s="31" t="e">
        <f>资产结构!#REF!</f>
        <v>#REF!</v>
      </c>
      <c r="Y29" s="31" t="e">
        <f>IF(资产结构!#REF!&gt;0,"增长","下降")</f>
        <v>#REF!</v>
      </c>
      <c r="Z29" s="31" t="e">
        <f>IF(资产结构!#REF!&gt;0,"增幅","降幅")</f>
        <v>#REF!</v>
      </c>
      <c r="AA29" s="24">
        <f t="shared" si="2"/>
        <v>29</v>
      </c>
      <c r="AB29" s="24" t="s">
        <v>1113</v>
      </c>
    </row>
    <row r="30" spans="1:28" x14ac:dyDescent="0.3">
      <c r="A30" s="31" t="str">
        <f>资产结构!A51</f>
        <v>无形资产</v>
      </c>
      <c r="B30" s="34">
        <f>资产结构!B51</f>
        <v>31226.348954000001</v>
      </c>
      <c r="C30" s="35">
        <f>资产结构!C51</f>
        <v>4.3180721163144892E-2</v>
      </c>
      <c r="D30" s="34">
        <f>资产结构!D51</f>
        <v>31649.974335000003</v>
      </c>
      <c r="E30" s="35">
        <f>资产结构!E51</f>
        <v>4.3411899687224136E-2</v>
      </c>
      <c r="F30" s="34">
        <f>资产结构!F51</f>
        <v>31611.124156999998</v>
      </c>
      <c r="G30" s="35">
        <f>资产结构!G51</f>
        <v>3.9266288582101246E-2</v>
      </c>
      <c r="H30" s="34">
        <f>资产结构!H51</f>
        <v>34224.403933000001</v>
      </c>
      <c r="I30" s="35">
        <f>资产结构!I51</f>
        <v>5.881771205489128E-2</v>
      </c>
      <c r="J30" s="34">
        <f>资产结构!J51</f>
        <v>33222.589916000004</v>
      </c>
      <c r="K30" s="35">
        <f>资产结构!K51</f>
        <v>0.1246967433006762</v>
      </c>
      <c r="L30" s="34" t="e">
        <f>ABS(资产结构!#REF!)</f>
        <v>#REF!</v>
      </c>
      <c r="M30" s="35" t="e">
        <f>ABS(资产结构!#REF!)</f>
        <v>#REF!</v>
      </c>
      <c r="N30" s="31" t="e">
        <f>资产结构!#REF!</f>
        <v>#REF!</v>
      </c>
      <c r="O30" s="31" t="e">
        <f>IF(资产结构!#REF!&gt;0,"增长",IF(资产结构!#REF!&lt;0,"下降","保持不变"))</f>
        <v>#REF!</v>
      </c>
      <c r="P30" s="31" t="e">
        <f>IF(资产结构!#REF!&gt;0,"增幅",IF(资产结构!#REF!&lt;0,"降幅","保持不变"))</f>
        <v>#REF!</v>
      </c>
      <c r="Q30" s="34" t="e">
        <f>ABS(资产结构!#REF!)</f>
        <v>#REF!</v>
      </c>
      <c r="R30" s="35" t="e">
        <f>ABS(资产结构!#REF!)</f>
        <v>#REF!</v>
      </c>
      <c r="S30" s="31" t="e">
        <f>资产结构!#REF!</f>
        <v>#REF!</v>
      </c>
      <c r="T30" s="31" t="e">
        <f>IF(资产结构!#REF!&gt;0,"增长","下降")</f>
        <v>#REF!</v>
      </c>
      <c r="U30" s="31" t="e">
        <f>IF(资产结构!#REF!&gt;0,"增幅","降幅")</f>
        <v>#REF!</v>
      </c>
      <c r="V30" s="34" t="e">
        <f>ABS(资产结构!#REF!)</f>
        <v>#REF!</v>
      </c>
      <c r="W30" s="35" t="e">
        <f>ABS(资产结构!#REF!)</f>
        <v>#REF!</v>
      </c>
      <c r="X30" s="31" t="e">
        <f>资产结构!#REF!</f>
        <v>#REF!</v>
      </c>
      <c r="Y30" s="31" t="e">
        <f>IF(资产结构!#REF!&gt;0,"增长","下降")</f>
        <v>#REF!</v>
      </c>
      <c r="Z30" s="31" t="e">
        <f>IF(资产结构!#REF!&gt;0,"增幅","降幅")</f>
        <v>#REF!</v>
      </c>
      <c r="AA30" s="24">
        <f t="shared" si="2"/>
        <v>30</v>
      </c>
      <c r="AB30" s="24" t="s">
        <v>1113</v>
      </c>
    </row>
    <row r="31" spans="1:28" x14ac:dyDescent="0.3">
      <c r="A31" s="31" t="str">
        <f>资产结构!A52</f>
        <v>开发支出</v>
      </c>
      <c r="B31" s="34">
        <f>资产结构!B52</f>
        <v>0</v>
      </c>
      <c r="C31" s="35">
        <f>资产结构!C52</f>
        <v>0</v>
      </c>
      <c r="D31" s="34">
        <f>资产结构!D52</f>
        <v>0</v>
      </c>
      <c r="E31" s="35">
        <f>资产结构!E52</f>
        <v>0</v>
      </c>
      <c r="F31" s="34">
        <f>资产结构!F52</f>
        <v>0</v>
      </c>
      <c r="G31" s="35">
        <f>资产结构!G52</f>
        <v>0</v>
      </c>
      <c r="H31" s="34">
        <f>资产结构!H52</f>
        <v>0</v>
      </c>
      <c r="I31" s="35">
        <f>资产结构!I52</f>
        <v>0</v>
      </c>
      <c r="J31" s="34">
        <f>资产结构!J52</f>
        <v>0</v>
      </c>
      <c r="K31" s="35">
        <f>资产结构!K52</f>
        <v>0</v>
      </c>
      <c r="L31" s="34" t="e">
        <f>ABS(资产结构!#REF!)</f>
        <v>#REF!</v>
      </c>
      <c r="M31" s="35" t="e">
        <f>ABS(资产结构!#REF!)</f>
        <v>#REF!</v>
      </c>
      <c r="N31" s="31" t="e">
        <f>资产结构!#REF!</f>
        <v>#REF!</v>
      </c>
      <c r="O31" s="31" t="e">
        <f>IF(资产结构!#REF!&gt;0,"增长",IF(资产结构!#REF!&lt;0,"下降","保持不变"))</f>
        <v>#REF!</v>
      </c>
      <c r="P31" s="31" t="e">
        <f>IF(资产结构!#REF!&gt;0,"增幅",IF(资产结构!#REF!&lt;0,"降幅","保持不变"))</f>
        <v>#REF!</v>
      </c>
      <c r="Q31" s="34" t="e">
        <f>ABS(资产结构!#REF!)</f>
        <v>#REF!</v>
      </c>
      <c r="R31" s="35" t="e">
        <f>ABS(资产结构!#REF!)</f>
        <v>#REF!</v>
      </c>
      <c r="S31" s="31" t="e">
        <f>资产结构!#REF!</f>
        <v>#REF!</v>
      </c>
      <c r="T31" s="31" t="e">
        <f>IF(资产结构!#REF!&gt;0,"增长","下降")</f>
        <v>#REF!</v>
      </c>
      <c r="U31" s="31" t="e">
        <f>IF(资产结构!#REF!&gt;0,"增幅","降幅")</f>
        <v>#REF!</v>
      </c>
      <c r="V31" s="34" t="e">
        <f>ABS(资产结构!#REF!)</f>
        <v>#REF!</v>
      </c>
      <c r="W31" s="35" t="e">
        <f>ABS(资产结构!#REF!)</f>
        <v>#REF!</v>
      </c>
      <c r="X31" s="31" t="e">
        <f>资产结构!#REF!</f>
        <v>#REF!</v>
      </c>
      <c r="Y31" s="31" t="e">
        <f>IF(资产结构!#REF!&gt;0,"增长","下降")</f>
        <v>#REF!</v>
      </c>
      <c r="Z31" s="31" t="e">
        <f>IF(资产结构!#REF!&gt;0,"增幅","降幅")</f>
        <v>#REF!</v>
      </c>
      <c r="AA31" s="24">
        <f t="shared" si="2"/>
        <v>31</v>
      </c>
      <c r="AB31" s="24" t="s">
        <v>1113</v>
      </c>
    </row>
    <row r="32" spans="1:28" x14ac:dyDescent="0.3">
      <c r="A32" s="31" t="str">
        <f>资产结构!A53</f>
        <v>商誉</v>
      </c>
      <c r="B32" s="34">
        <f>资产结构!B53</f>
        <v>0</v>
      </c>
      <c r="C32" s="35">
        <f>资产结构!C53</f>
        <v>0</v>
      </c>
      <c r="D32" s="34">
        <f>资产结构!D53</f>
        <v>0</v>
      </c>
      <c r="E32" s="35">
        <f>资产结构!E53</f>
        <v>0</v>
      </c>
      <c r="F32" s="34">
        <f>资产结构!F53</f>
        <v>0</v>
      </c>
      <c r="G32" s="35">
        <f>资产结构!G53</f>
        <v>0</v>
      </c>
      <c r="H32" s="34">
        <f>资产结构!H53</f>
        <v>0</v>
      </c>
      <c r="I32" s="35">
        <f>资产结构!I53</f>
        <v>0</v>
      </c>
      <c r="J32" s="34">
        <f>资产结构!J53</f>
        <v>0</v>
      </c>
      <c r="K32" s="35">
        <f>资产结构!K53</f>
        <v>0</v>
      </c>
      <c r="L32" s="34" t="e">
        <f>ABS(资产结构!#REF!)</f>
        <v>#REF!</v>
      </c>
      <c r="M32" s="35" t="e">
        <f>ABS(资产结构!#REF!)</f>
        <v>#REF!</v>
      </c>
      <c r="N32" s="31" t="e">
        <f>资产结构!#REF!</f>
        <v>#REF!</v>
      </c>
      <c r="O32" s="31" t="e">
        <f>IF(资产结构!#REF!&gt;0,"增长",IF(资产结构!#REF!&lt;0,"下降","保持不变"))</f>
        <v>#REF!</v>
      </c>
      <c r="P32" s="31" t="e">
        <f>IF(资产结构!#REF!&gt;0,"增幅",IF(资产结构!#REF!&lt;0,"降幅","保持不变"))</f>
        <v>#REF!</v>
      </c>
      <c r="Q32" s="34" t="e">
        <f>ABS(资产结构!#REF!)</f>
        <v>#REF!</v>
      </c>
      <c r="R32" s="35" t="e">
        <f>ABS(资产结构!#REF!)</f>
        <v>#REF!</v>
      </c>
      <c r="S32" s="31" t="e">
        <f>资产结构!#REF!</f>
        <v>#REF!</v>
      </c>
      <c r="T32" s="31" t="e">
        <f>IF(资产结构!#REF!&gt;0,"增长","下降")</f>
        <v>#REF!</v>
      </c>
      <c r="U32" s="31" t="e">
        <f>IF(资产结构!#REF!&gt;0,"增幅","降幅")</f>
        <v>#REF!</v>
      </c>
      <c r="V32" s="34" t="e">
        <f>ABS(资产结构!#REF!)</f>
        <v>#REF!</v>
      </c>
      <c r="W32" s="35" t="e">
        <f>ABS(资产结构!#REF!)</f>
        <v>#REF!</v>
      </c>
      <c r="X32" s="31" t="e">
        <f>资产结构!#REF!</f>
        <v>#REF!</v>
      </c>
      <c r="Y32" s="31" t="e">
        <f>IF(资产结构!#REF!&gt;0,"增长","下降")</f>
        <v>#REF!</v>
      </c>
      <c r="Z32" s="31" t="e">
        <f>IF(资产结构!#REF!&gt;0,"增幅","降幅")</f>
        <v>#REF!</v>
      </c>
      <c r="AA32" s="24">
        <f t="shared" si="2"/>
        <v>32</v>
      </c>
      <c r="AB32" s="24" t="s">
        <v>1113</v>
      </c>
    </row>
    <row r="33" spans="1:28" x14ac:dyDescent="0.3">
      <c r="A33" s="31" t="str">
        <f>资产结构!A57</f>
        <v>非流动资产合计</v>
      </c>
      <c r="B33" s="34">
        <f>资产结构!B57</f>
        <v>723154.87358400004</v>
      </c>
      <c r="C33" s="35">
        <f>资产结构!C57</f>
        <v>0.99999999999999978</v>
      </c>
      <c r="D33" s="34">
        <f>资产结构!D57</f>
        <v>729062.1825590001</v>
      </c>
      <c r="E33" s="35">
        <f>资产结构!E57</f>
        <v>0.99999999999999989</v>
      </c>
      <c r="F33" s="34">
        <f>资产结构!F57</f>
        <v>805044.86923699989</v>
      </c>
      <c r="G33" s="35">
        <f>资产结构!G57</f>
        <v>1</v>
      </c>
      <c r="H33" s="34">
        <f>资产结构!H57</f>
        <v>581872.41117199999</v>
      </c>
      <c r="I33" s="35">
        <f>资产结构!I57</f>
        <v>1</v>
      </c>
      <c r="J33" s="34">
        <f>资产结构!J57</f>
        <v>266427.08571700001</v>
      </c>
      <c r="K33" s="35">
        <f>资产结构!K57</f>
        <v>1</v>
      </c>
      <c r="L33" s="34" t="e">
        <f>ABS(资产结构!#REF!)</f>
        <v>#REF!</v>
      </c>
      <c r="M33" s="35" t="e">
        <f>ABS(资产结构!#REF!)</f>
        <v>#REF!</v>
      </c>
      <c r="N33" s="31" t="e">
        <f>资产结构!#REF!</f>
        <v>#REF!</v>
      </c>
      <c r="O33" s="31" t="e">
        <f>IF(资产结构!#REF!&gt;0,"增长",IF(资产结构!#REF!&lt;0,"下降","保持不变"))</f>
        <v>#REF!</v>
      </c>
      <c r="P33" s="31" t="e">
        <f>IF(资产结构!#REF!&gt;0,"增幅",IF(资产结构!#REF!&lt;0,"降幅","保持不变"))</f>
        <v>#REF!</v>
      </c>
      <c r="Q33" s="34" t="e">
        <f>ABS(资产结构!#REF!)</f>
        <v>#REF!</v>
      </c>
      <c r="R33" s="35" t="e">
        <f>ABS(资产结构!#REF!)</f>
        <v>#REF!</v>
      </c>
      <c r="S33" s="31" t="e">
        <f>资产结构!#REF!</f>
        <v>#REF!</v>
      </c>
      <c r="T33" s="31" t="e">
        <f>IF(资产结构!#REF!&gt;0,"增长","下降")</f>
        <v>#REF!</v>
      </c>
      <c r="U33" s="31" t="e">
        <f>IF(资产结构!#REF!&gt;0,"增幅","降幅")</f>
        <v>#REF!</v>
      </c>
      <c r="V33" s="34" t="e">
        <f>ABS(资产结构!#REF!)</f>
        <v>#REF!</v>
      </c>
      <c r="W33" s="35" t="e">
        <f>ABS(资产结构!#REF!)</f>
        <v>#REF!</v>
      </c>
      <c r="X33" s="31" t="e">
        <f>资产结构!#REF!</f>
        <v>#REF!</v>
      </c>
      <c r="Y33" s="31" t="e">
        <f>IF(资产结构!#REF!&gt;0,"增长","下降")</f>
        <v>#REF!</v>
      </c>
      <c r="Z33" s="31" t="e">
        <f>IF(资产结构!#REF!&gt;0,"增幅","降幅")</f>
        <v>#REF!</v>
      </c>
      <c r="AA33" s="24">
        <f t="shared" si="2"/>
        <v>33</v>
      </c>
      <c r="AB33" s="24" t="s">
        <v>1113</v>
      </c>
    </row>
    <row r="34" spans="1:28" x14ac:dyDescent="0.3">
      <c r="A34" s="31" t="str">
        <f>负债结构!A13</f>
        <v>短期借款</v>
      </c>
      <c r="B34" s="34">
        <f>负债结构!B13</f>
        <v>328258.53939499997</v>
      </c>
      <c r="C34" s="35">
        <f>负债结构!C13</f>
        <v>0.15062477301703117</v>
      </c>
      <c r="D34" s="34">
        <f>负债结构!D13</f>
        <v>286684.63133200002</v>
      </c>
      <c r="E34" s="35">
        <f>负债结构!E13</f>
        <v>0.15402697435797319</v>
      </c>
      <c r="F34" s="34">
        <f>负债结构!F13</f>
        <v>273787.01435300004</v>
      </c>
      <c r="G34" s="35">
        <f>负债结构!G13</f>
        <v>0.21398636847071717</v>
      </c>
      <c r="H34" s="34">
        <f>负债结构!H13</f>
        <v>223595.36625999998</v>
      </c>
      <c r="I34" s="35">
        <f>负债结构!I13</f>
        <v>0.15101365627222488</v>
      </c>
      <c r="J34" s="34">
        <f>负债结构!J13</f>
        <v>117107.009179</v>
      </c>
      <c r="K34" s="35">
        <f>负债结构!K13</f>
        <v>0.11359392455265413</v>
      </c>
      <c r="L34" s="34" t="e">
        <f>ABS(负债结构!#REF!)</f>
        <v>#REF!</v>
      </c>
      <c r="M34" s="35" t="e">
        <f>ABS(负债结构!#REF!)</f>
        <v>#REF!</v>
      </c>
      <c r="N34" s="31" t="e">
        <f>负债结构!#REF!</f>
        <v>#REF!</v>
      </c>
      <c r="O34" s="31" t="e">
        <f>IF(负债结构!#REF!&gt;0,"增长",IF(负债结构!#REF!&lt;0,"下降","保持不变"))</f>
        <v>#REF!</v>
      </c>
      <c r="P34" s="31" t="e">
        <f>IF(负债结构!#REF!&gt;0,"增幅",IF(负债结构!#REF!&lt;0,"降幅","保持不变"))</f>
        <v>#REF!</v>
      </c>
      <c r="Q34" s="34" t="e">
        <f>ABS(负债结构!#REF!)</f>
        <v>#REF!</v>
      </c>
      <c r="R34" s="35" t="e">
        <f>ABS(负债结构!#REF!)</f>
        <v>#REF!</v>
      </c>
      <c r="S34" s="31" t="e">
        <f>负债结构!#REF!</f>
        <v>#REF!</v>
      </c>
      <c r="T34" s="31" t="e">
        <f>IF(负债结构!#REF!&gt;0,"增长",IF(负债结构!#REF!&lt;0,"下降","保持不变"))</f>
        <v>#REF!</v>
      </c>
      <c r="U34" s="31" t="e">
        <f>IF(负债结构!#REF!&gt;0,"增幅",IF(负债结构!#REF!&lt;0,"降幅","保持不变"))</f>
        <v>#REF!</v>
      </c>
      <c r="V34" s="34" t="e">
        <f>ABS(负债结构!#REF!)</f>
        <v>#REF!</v>
      </c>
      <c r="W34" s="35" t="e">
        <f>ABS(负债结构!#REF!)</f>
        <v>#REF!</v>
      </c>
      <c r="X34" s="31" t="e">
        <f>ABS(负债结构!#REF!)</f>
        <v>#REF!</v>
      </c>
      <c r="Y34" s="31" t="e">
        <f>IF(负债结构!#REF!&gt;0,"增长",IF(负债结构!#REF!&lt;0,"下降","保持不变"))</f>
        <v>#REF!</v>
      </c>
      <c r="Z34" s="31" t="e">
        <f>IF(负债结构!#REF!&gt;0,"增幅",IF(负债结构!#REF!&lt;0,"降幅","保持不变"))</f>
        <v>#REF!</v>
      </c>
      <c r="AA34" s="24">
        <f t="shared" si="2"/>
        <v>34</v>
      </c>
      <c r="AB34" s="24" t="s">
        <v>1120</v>
      </c>
    </row>
    <row r="35" spans="1:28" x14ac:dyDescent="0.3">
      <c r="A35" s="31" t="str">
        <f>负债结构!A14</f>
        <v>交易性金融负债</v>
      </c>
      <c r="B35" s="34">
        <f>负债结构!B14</f>
        <v>0</v>
      </c>
      <c r="C35" s="35">
        <f>负债结构!C14</f>
        <v>0</v>
      </c>
      <c r="D35" s="34">
        <f>负债结构!D14</f>
        <v>0</v>
      </c>
      <c r="E35" s="35">
        <f>负债结构!E14</f>
        <v>0</v>
      </c>
      <c r="F35" s="34">
        <f>负债结构!F14</f>
        <v>0</v>
      </c>
      <c r="G35" s="35">
        <f>负债结构!G14</f>
        <v>0</v>
      </c>
      <c r="H35" s="34">
        <f>负债结构!H14</f>
        <v>0</v>
      </c>
      <c r="I35" s="35">
        <f>负债结构!I14</f>
        <v>0</v>
      </c>
      <c r="J35" s="34">
        <f>负债结构!J14</f>
        <v>0</v>
      </c>
      <c r="K35" s="35">
        <f>负债结构!K14</f>
        <v>0</v>
      </c>
      <c r="L35" s="34" t="e">
        <f>ABS(负债结构!#REF!)</f>
        <v>#REF!</v>
      </c>
      <c r="M35" s="35" t="e">
        <f>ABS(负债结构!#REF!)</f>
        <v>#REF!</v>
      </c>
      <c r="N35" s="31" t="e">
        <f>负债结构!#REF!</f>
        <v>#REF!</v>
      </c>
      <c r="O35" s="31" t="e">
        <f>IF(负债结构!#REF!&gt;0,"增长",IF(负债结构!#REF!&lt;0,"下降","保持不变"))</f>
        <v>#REF!</v>
      </c>
      <c r="P35" s="31" t="e">
        <f>IF(负债结构!#REF!&gt;0,"增幅",IF(负债结构!#REF!&lt;0,"降幅","保持不变"))</f>
        <v>#REF!</v>
      </c>
      <c r="Q35" s="34" t="e">
        <f>ABS(负债结构!#REF!)</f>
        <v>#REF!</v>
      </c>
      <c r="R35" s="35" t="e">
        <f>ABS(负债结构!#REF!)</f>
        <v>#REF!</v>
      </c>
      <c r="S35" s="31" t="e">
        <f>负债结构!#REF!</f>
        <v>#REF!</v>
      </c>
      <c r="T35" s="31" t="e">
        <f>IF(负债结构!#REF!&gt;0,"增长",IF(负债结构!#REF!&lt;0,"下降","保持不变"))</f>
        <v>#REF!</v>
      </c>
      <c r="U35" s="31" t="e">
        <f>IF(负债结构!#REF!&gt;0,"增幅",IF(负债结构!#REF!&lt;0,"降幅","保持不变"))</f>
        <v>#REF!</v>
      </c>
      <c r="V35" s="34" t="e">
        <f>ABS(负债结构!#REF!)</f>
        <v>#REF!</v>
      </c>
      <c r="W35" s="35" t="e">
        <f>ABS(负债结构!#REF!)</f>
        <v>#REF!</v>
      </c>
      <c r="X35" s="31" t="e">
        <f>ABS(负债结构!#REF!)</f>
        <v>#REF!</v>
      </c>
      <c r="Y35" s="31" t="e">
        <f>IF(负债结构!#REF!&gt;0,"增长",IF(负债结构!#REF!&lt;0,"下降","保持不变"))</f>
        <v>#REF!</v>
      </c>
      <c r="Z35" s="31" t="e">
        <f>IF(负债结构!#REF!&gt;0,"增幅",IF(负债结构!#REF!&lt;0,"降幅","保持不变"))</f>
        <v>#REF!</v>
      </c>
      <c r="AA35" s="24">
        <f t="shared" si="2"/>
        <v>35</v>
      </c>
      <c r="AB35" s="24" t="s">
        <v>1120</v>
      </c>
    </row>
    <row r="36" spans="1:28" x14ac:dyDescent="0.3">
      <c r="A36" s="31" t="str">
        <f>负债结构!A15</f>
        <v>以公允价值计量且其变动计入当期损益的金融负债</v>
      </c>
      <c r="B36" s="34">
        <f>负债结构!B15</f>
        <v>0</v>
      </c>
      <c r="C36" s="35">
        <f>负债结构!C15</f>
        <v>0</v>
      </c>
      <c r="D36" s="34">
        <f>负债结构!D15</f>
        <v>0</v>
      </c>
      <c r="E36" s="35">
        <f>负债结构!E15</f>
        <v>0</v>
      </c>
      <c r="F36" s="34">
        <f>负债结构!F15</f>
        <v>0</v>
      </c>
      <c r="G36" s="35">
        <f>负债结构!G15</f>
        <v>0</v>
      </c>
      <c r="H36" s="34">
        <f>负债结构!H15</f>
        <v>0</v>
      </c>
      <c r="I36" s="35">
        <f>负债结构!I15</f>
        <v>0</v>
      </c>
      <c r="J36" s="34">
        <f>负债结构!J15</f>
        <v>0</v>
      </c>
      <c r="K36" s="35">
        <f>负债结构!K15</f>
        <v>0</v>
      </c>
      <c r="L36" s="34" t="e">
        <f>ABS(负债结构!#REF!)</f>
        <v>#REF!</v>
      </c>
      <c r="M36" s="35" t="e">
        <f>ABS(负债结构!#REF!)</f>
        <v>#REF!</v>
      </c>
      <c r="N36" s="31" t="e">
        <f>负债结构!#REF!</f>
        <v>#REF!</v>
      </c>
      <c r="O36" s="31" t="e">
        <f>IF(负债结构!#REF!&gt;0,"增长",IF(负债结构!#REF!&lt;0,"下降","保持不变"))</f>
        <v>#REF!</v>
      </c>
      <c r="P36" s="31" t="e">
        <f>IF(负债结构!#REF!&gt;0,"增幅",IF(负债结构!#REF!&lt;0,"降幅","保持不变"))</f>
        <v>#REF!</v>
      </c>
      <c r="Q36" s="34" t="e">
        <f>ABS(负债结构!#REF!)</f>
        <v>#REF!</v>
      </c>
      <c r="R36" s="35" t="e">
        <f>ABS(负债结构!#REF!)</f>
        <v>#REF!</v>
      </c>
      <c r="S36" s="31" t="e">
        <f>负债结构!#REF!</f>
        <v>#REF!</v>
      </c>
      <c r="T36" s="31" t="e">
        <f>IF(负债结构!#REF!&gt;0,"增长",IF(负债结构!#REF!&lt;0,"下降","保持不变"))</f>
        <v>#REF!</v>
      </c>
      <c r="U36" s="31" t="e">
        <f>IF(负债结构!#REF!&gt;0,"增幅",IF(负债结构!#REF!&lt;0,"降幅","保持不变"))</f>
        <v>#REF!</v>
      </c>
      <c r="V36" s="34" t="e">
        <f>ABS(负债结构!#REF!)</f>
        <v>#REF!</v>
      </c>
      <c r="W36" s="35" t="e">
        <f>ABS(负债结构!#REF!)</f>
        <v>#REF!</v>
      </c>
      <c r="X36" s="31" t="e">
        <f>ABS(负债结构!#REF!)</f>
        <v>#REF!</v>
      </c>
      <c r="Y36" s="31" t="e">
        <f>IF(负债结构!#REF!&gt;0,"增长",IF(负债结构!#REF!&lt;0,"下降","保持不变"))</f>
        <v>#REF!</v>
      </c>
      <c r="Z36" s="31" t="e">
        <f>IF(负债结构!#REF!&gt;0,"增幅",IF(负债结构!#REF!&lt;0,"降幅","保持不变"))</f>
        <v>#REF!</v>
      </c>
      <c r="AA36" s="24">
        <f t="shared" si="2"/>
        <v>36</v>
      </c>
      <c r="AB36" s="24" t="s">
        <v>1120</v>
      </c>
    </row>
    <row r="37" spans="1:28" x14ac:dyDescent="0.3">
      <c r="A37" s="31" t="str">
        <f>负债结构!A16</f>
        <v>衍生金融负债</v>
      </c>
      <c r="B37" s="34">
        <f>负债结构!B16</f>
        <v>0</v>
      </c>
      <c r="C37" s="35">
        <f>负债结构!C16</f>
        <v>0</v>
      </c>
      <c r="D37" s="34">
        <f>负债结构!D16</f>
        <v>0</v>
      </c>
      <c r="E37" s="35">
        <f>负债结构!E16</f>
        <v>0</v>
      </c>
      <c r="F37" s="34">
        <f>负债结构!F16</f>
        <v>0</v>
      </c>
      <c r="G37" s="35">
        <f>负债结构!G16</f>
        <v>0</v>
      </c>
      <c r="H37" s="34">
        <f>负债结构!H16</f>
        <v>0</v>
      </c>
      <c r="I37" s="35">
        <f>负债结构!I16</f>
        <v>0</v>
      </c>
      <c r="J37" s="34">
        <f>负债结构!J16</f>
        <v>0</v>
      </c>
      <c r="K37" s="35">
        <f>负债结构!K16</f>
        <v>0</v>
      </c>
      <c r="L37" s="34" t="e">
        <f>ABS(负债结构!#REF!)</f>
        <v>#REF!</v>
      </c>
      <c r="M37" s="35" t="e">
        <f>ABS(负债结构!#REF!)</f>
        <v>#REF!</v>
      </c>
      <c r="N37" s="31" t="e">
        <f>负债结构!#REF!</f>
        <v>#REF!</v>
      </c>
      <c r="O37" s="31" t="e">
        <f>IF(负债结构!#REF!&gt;0,"增长",IF(负债结构!#REF!&lt;0,"下降","保持不变"))</f>
        <v>#REF!</v>
      </c>
      <c r="P37" s="31" t="e">
        <f>IF(负债结构!#REF!&gt;0,"增幅",IF(负债结构!#REF!&lt;0,"降幅","保持不变"))</f>
        <v>#REF!</v>
      </c>
      <c r="Q37" s="34" t="e">
        <f>ABS(负债结构!#REF!)</f>
        <v>#REF!</v>
      </c>
      <c r="R37" s="35" t="e">
        <f>ABS(负债结构!#REF!)</f>
        <v>#REF!</v>
      </c>
      <c r="S37" s="31" t="e">
        <f>负债结构!#REF!</f>
        <v>#REF!</v>
      </c>
      <c r="T37" s="31" t="e">
        <f>IF(负债结构!#REF!&gt;0,"增长",IF(负债结构!#REF!&lt;0,"下降","保持不变"))</f>
        <v>#REF!</v>
      </c>
      <c r="U37" s="31" t="e">
        <f>IF(负债结构!#REF!&gt;0,"增幅",IF(负债结构!#REF!&lt;0,"降幅","保持不变"))</f>
        <v>#REF!</v>
      </c>
      <c r="V37" s="34" t="e">
        <f>ABS(负债结构!#REF!)</f>
        <v>#REF!</v>
      </c>
      <c r="W37" s="35" t="e">
        <f>ABS(负债结构!#REF!)</f>
        <v>#REF!</v>
      </c>
      <c r="X37" s="31" t="e">
        <f>ABS(负债结构!#REF!)</f>
        <v>#REF!</v>
      </c>
      <c r="Y37" s="31" t="e">
        <f>IF(负债结构!#REF!&gt;0,"增长",IF(负债结构!#REF!&lt;0,"下降","保持不变"))</f>
        <v>#REF!</v>
      </c>
      <c r="Z37" s="31" t="e">
        <f>IF(负债结构!#REF!&gt;0,"增幅",IF(负债结构!#REF!&lt;0,"降幅","保持不变"))</f>
        <v>#REF!</v>
      </c>
      <c r="AA37" s="24">
        <f t="shared" si="2"/>
        <v>37</v>
      </c>
      <c r="AB37" s="24" t="s">
        <v>1120</v>
      </c>
    </row>
    <row r="38" spans="1:28" x14ac:dyDescent="0.3">
      <c r="A38" s="31" t="str">
        <f>负债结构!A17</f>
        <v>应付票据</v>
      </c>
      <c r="B38" s="34">
        <f>负债结构!B17</f>
        <v>164200</v>
      </c>
      <c r="C38" s="35">
        <f>负债结构!C17</f>
        <v>7.5344841827969342E-2</v>
      </c>
      <c r="D38" s="34">
        <f>负债结构!D17</f>
        <v>40520</v>
      </c>
      <c r="E38" s="35">
        <f>负债结构!E17</f>
        <v>2.1770169443639891E-2</v>
      </c>
      <c r="F38" s="34">
        <f>负债结构!F17</f>
        <v>121217.20360199999</v>
      </c>
      <c r="G38" s="35">
        <f>负债结构!G17</f>
        <v>9.4740903823597608E-2</v>
      </c>
      <c r="H38" s="34">
        <f>负债结构!H17</f>
        <v>128440</v>
      </c>
      <c r="I38" s="35">
        <f>负债结构!I17</f>
        <v>8.6746851404113548E-2</v>
      </c>
      <c r="J38" s="34">
        <f>负债结构!J17</f>
        <v>118506.585099</v>
      </c>
      <c r="K38" s="35">
        <f>负债结构!K17</f>
        <v>0.11495151469671787</v>
      </c>
      <c r="L38" s="34" t="e">
        <f>ABS(负债结构!#REF!)</f>
        <v>#REF!</v>
      </c>
      <c r="M38" s="35" t="e">
        <f>ABS(负债结构!#REF!)</f>
        <v>#REF!</v>
      </c>
      <c r="N38" s="31" t="e">
        <f>负债结构!#REF!</f>
        <v>#REF!</v>
      </c>
      <c r="O38" s="31" t="e">
        <f>IF(负债结构!#REF!&gt;0,"增长",IF(负债结构!#REF!&lt;0,"下降","保持不变"))</f>
        <v>#REF!</v>
      </c>
      <c r="P38" s="31" t="e">
        <f>IF(负债结构!#REF!&gt;0,"增幅",IF(负债结构!#REF!&lt;0,"降幅","保持不变"))</f>
        <v>#REF!</v>
      </c>
      <c r="Q38" s="34" t="e">
        <f>ABS(负债结构!#REF!)</f>
        <v>#REF!</v>
      </c>
      <c r="R38" s="35" t="e">
        <f>ABS(负债结构!#REF!)</f>
        <v>#REF!</v>
      </c>
      <c r="S38" s="31" t="e">
        <f>负债结构!#REF!</f>
        <v>#REF!</v>
      </c>
      <c r="T38" s="31" t="e">
        <f>IF(负债结构!#REF!&gt;0,"增长",IF(负债结构!#REF!&lt;0,"下降","保持不变"))</f>
        <v>#REF!</v>
      </c>
      <c r="U38" s="31" t="e">
        <f>IF(负债结构!#REF!&gt;0,"增幅",IF(负债结构!#REF!&lt;0,"降幅","保持不变"))</f>
        <v>#REF!</v>
      </c>
      <c r="V38" s="34" t="e">
        <f>ABS(负债结构!#REF!)</f>
        <v>#REF!</v>
      </c>
      <c r="W38" s="35" t="e">
        <f>ABS(负债结构!#REF!)</f>
        <v>#REF!</v>
      </c>
      <c r="X38" s="31" t="e">
        <f>ABS(负债结构!#REF!)</f>
        <v>#REF!</v>
      </c>
      <c r="Y38" s="31" t="e">
        <f>IF(负债结构!#REF!&gt;0,"增长",IF(负债结构!#REF!&lt;0,"下降","保持不变"))</f>
        <v>#REF!</v>
      </c>
      <c r="Z38" s="31" t="e">
        <f>IF(负债结构!#REF!&gt;0,"增幅",IF(负债结构!#REF!&lt;0,"降幅","保持不变"))</f>
        <v>#REF!</v>
      </c>
      <c r="AA38" s="24">
        <f t="shared" si="2"/>
        <v>38</v>
      </c>
      <c r="AB38" s="24" t="s">
        <v>1120</v>
      </c>
    </row>
    <row r="39" spans="1:28" x14ac:dyDescent="0.3">
      <c r="A39" s="31" t="str">
        <f>负债结构!A18</f>
        <v>应付账款</v>
      </c>
      <c r="B39" s="34">
        <f>负债结构!B18</f>
        <v>121184.98126500001</v>
      </c>
      <c r="C39" s="35">
        <f>负债结构!C18</f>
        <v>5.5606962517276821E-2</v>
      </c>
      <c r="D39" s="34">
        <f>负债结构!D18</f>
        <v>106824.072833</v>
      </c>
      <c r="E39" s="35">
        <f>负债结构!E18</f>
        <v>5.7393340726410134E-2</v>
      </c>
      <c r="F39" s="34">
        <f>负债结构!F18</f>
        <v>74314.623949000001</v>
      </c>
      <c r="G39" s="35">
        <f>负债结构!G18</f>
        <v>5.808280038661829E-2</v>
      </c>
      <c r="H39" s="34">
        <f>负债结构!H18</f>
        <v>37872.314405000005</v>
      </c>
      <c r="I39" s="35">
        <f>负债结构!I18</f>
        <v>2.5578511600906292E-2</v>
      </c>
      <c r="J39" s="34">
        <f>负债结构!J18</f>
        <v>10450.573596</v>
      </c>
      <c r="K39" s="35">
        <f>负债结构!K18</f>
        <v>1.0137067600978933E-2</v>
      </c>
      <c r="L39" s="34" t="e">
        <f>ABS(负债结构!#REF!)</f>
        <v>#REF!</v>
      </c>
      <c r="M39" s="35" t="e">
        <f>ABS(负债结构!#REF!)</f>
        <v>#REF!</v>
      </c>
      <c r="N39" s="31" t="e">
        <f>负债结构!#REF!</f>
        <v>#REF!</v>
      </c>
      <c r="O39" s="31" t="e">
        <f>IF(负债结构!#REF!&gt;0,"增长",IF(负债结构!#REF!&lt;0,"下降","保持不变"))</f>
        <v>#REF!</v>
      </c>
      <c r="P39" s="31" t="e">
        <f>IF(负债结构!#REF!&gt;0,"增幅",IF(负债结构!#REF!&lt;0,"降幅","保持不变"))</f>
        <v>#REF!</v>
      </c>
      <c r="Q39" s="34" t="e">
        <f>ABS(负债结构!#REF!)</f>
        <v>#REF!</v>
      </c>
      <c r="R39" s="35" t="e">
        <f>ABS(负债结构!#REF!)</f>
        <v>#REF!</v>
      </c>
      <c r="S39" s="31" t="e">
        <f>负债结构!#REF!</f>
        <v>#REF!</v>
      </c>
      <c r="T39" s="31" t="e">
        <f>IF(负债结构!#REF!&gt;0,"增长",IF(负债结构!#REF!&lt;0,"下降","保持不变"))</f>
        <v>#REF!</v>
      </c>
      <c r="U39" s="31" t="e">
        <f>IF(负债结构!#REF!&gt;0,"增幅",IF(负债结构!#REF!&lt;0,"降幅","保持不变"))</f>
        <v>#REF!</v>
      </c>
      <c r="V39" s="34" t="e">
        <f>ABS(负债结构!#REF!)</f>
        <v>#REF!</v>
      </c>
      <c r="W39" s="35" t="e">
        <f>ABS(负债结构!#REF!)</f>
        <v>#REF!</v>
      </c>
      <c r="X39" s="31" t="e">
        <f>ABS(负债结构!#REF!)</f>
        <v>#REF!</v>
      </c>
      <c r="Y39" s="31" t="e">
        <f>IF(负债结构!#REF!&gt;0,"增长",IF(负债结构!#REF!&lt;0,"下降","保持不变"))</f>
        <v>#REF!</v>
      </c>
      <c r="Z39" s="31" t="e">
        <f>IF(负债结构!#REF!&gt;0,"增幅",IF(负债结构!#REF!&lt;0,"降幅","保持不变"))</f>
        <v>#REF!</v>
      </c>
      <c r="AA39" s="24">
        <f t="shared" si="2"/>
        <v>39</v>
      </c>
      <c r="AB39" s="24" t="s">
        <v>1120</v>
      </c>
    </row>
    <row r="40" spans="1:28" x14ac:dyDescent="0.3">
      <c r="A40" s="31" t="str">
        <f>负债结构!A19</f>
        <v>预收款项</v>
      </c>
      <c r="B40" s="34">
        <f>负债结构!B19</f>
        <v>469.44040000000001</v>
      </c>
      <c r="C40" s="35">
        <f>负债结构!C19</f>
        <v>2.1540750722082012E-4</v>
      </c>
      <c r="D40" s="34">
        <f>负债结构!D19</f>
        <v>520.80111399999998</v>
      </c>
      <c r="E40" s="35">
        <f>负债结构!E19</f>
        <v>2.7981067369734489E-4</v>
      </c>
      <c r="F40" s="34">
        <f>负债结构!F19</f>
        <v>400.64884700000005</v>
      </c>
      <c r="G40" s="35">
        <f>负债结构!G19</f>
        <v>3.1313899968598191E-4</v>
      </c>
      <c r="H40" s="34">
        <f>负债结构!H19</f>
        <v>366.00184200000001</v>
      </c>
      <c r="I40" s="35">
        <f>负债结构!I19</f>
        <v>2.471932996076444E-4</v>
      </c>
      <c r="J40" s="34">
        <f>负债结构!J19</f>
        <v>8927.4658870000003</v>
      </c>
      <c r="K40" s="35">
        <f>负债结构!K19</f>
        <v>8.6596514890427603E-3</v>
      </c>
      <c r="L40" s="34" t="e">
        <f>ABS(负债结构!#REF!)</f>
        <v>#REF!</v>
      </c>
      <c r="M40" s="35" t="e">
        <f>ABS(负债结构!#REF!)</f>
        <v>#REF!</v>
      </c>
      <c r="N40" s="31" t="e">
        <f>负债结构!#REF!</f>
        <v>#REF!</v>
      </c>
      <c r="O40" s="31" t="e">
        <f>IF(负债结构!#REF!&gt;0,"增长",IF(负债结构!#REF!&lt;0,"下降","保持不变"))</f>
        <v>#REF!</v>
      </c>
      <c r="P40" s="31" t="e">
        <f>IF(负债结构!#REF!&gt;0,"增幅",IF(负债结构!#REF!&lt;0,"降幅","保持不变"))</f>
        <v>#REF!</v>
      </c>
      <c r="Q40" s="34" t="e">
        <f>ABS(负债结构!#REF!)</f>
        <v>#REF!</v>
      </c>
      <c r="R40" s="35" t="e">
        <f>ABS(负债结构!#REF!)</f>
        <v>#REF!</v>
      </c>
      <c r="S40" s="31" t="e">
        <f>负债结构!#REF!</f>
        <v>#REF!</v>
      </c>
      <c r="T40" s="31" t="e">
        <f>IF(负债结构!#REF!&gt;0,"增长",IF(负债结构!#REF!&lt;0,"下降","保持不变"))</f>
        <v>#REF!</v>
      </c>
      <c r="U40" s="31" t="e">
        <f>IF(负债结构!#REF!&gt;0,"增幅",IF(负债结构!#REF!&lt;0,"降幅","保持不变"))</f>
        <v>#REF!</v>
      </c>
      <c r="V40" s="34" t="e">
        <f>ABS(负债结构!#REF!)</f>
        <v>#REF!</v>
      </c>
      <c r="W40" s="35" t="e">
        <f>ABS(负债结构!#REF!)</f>
        <v>#REF!</v>
      </c>
      <c r="X40" s="31" t="e">
        <f>ABS(负债结构!#REF!)</f>
        <v>#REF!</v>
      </c>
      <c r="Y40" s="31" t="e">
        <f>IF(负债结构!#REF!&gt;0,"增长",IF(负债结构!#REF!&lt;0,"下降","保持不变"))</f>
        <v>#REF!</v>
      </c>
      <c r="Z40" s="31" t="e">
        <f>IF(负债结构!#REF!&gt;0,"增幅",IF(负债结构!#REF!&lt;0,"降幅","保持不变"))</f>
        <v>#REF!</v>
      </c>
      <c r="AA40" s="24">
        <f t="shared" si="2"/>
        <v>40</v>
      </c>
      <c r="AB40" s="24" t="s">
        <v>1120</v>
      </c>
    </row>
    <row r="41" spans="1:28" x14ac:dyDescent="0.3">
      <c r="A41" s="31" t="str">
        <f>负债结构!A20</f>
        <v>合同负债</v>
      </c>
      <c r="B41" s="34">
        <f>负债结构!B20</f>
        <v>23239.653619999997</v>
      </c>
      <c r="C41" s="35">
        <f>负债结构!C20</f>
        <v>1.066375168170338E-2</v>
      </c>
      <c r="D41" s="34">
        <f>负债结构!D20</f>
        <v>17826.829105000001</v>
      </c>
      <c r="E41" s="35">
        <f>负债结构!E20</f>
        <v>9.5778156529778211E-3</v>
      </c>
      <c r="F41" s="34">
        <f>负债结构!F20</f>
        <v>20394.641284999998</v>
      </c>
      <c r="G41" s="35">
        <f>负债结构!G20</f>
        <v>1.5940037313870836E-2</v>
      </c>
      <c r="H41" s="34">
        <f>负债结构!H20</f>
        <v>31442.350245999998</v>
      </c>
      <c r="I41" s="35">
        <f>负债结构!I20</f>
        <v>2.1235790132247391E-2</v>
      </c>
      <c r="J41" s="34">
        <f>负债结构!J20</f>
        <v>0</v>
      </c>
      <c r="K41" s="35">
        <f>负债结构!K20</f>
        <v>0</v>
      </c>
      <c r="L41" s="34" t="e">
        <f>ABS(负债结构!#REF!)</f>
        <v>#REF!</v>
      </c>
      <c r="M41" s="35" t="e">
        <f>ABS(负债结构!#REF!)</f>
        <v>#REF!</v>
      </c>
      <c r="N41" s="31" t="e">
        <f>负债结构!#REF!</f>
        <v>#REF!</v>
      </c>
      <c r="O41" s="31" t="e">
        <f>IF(负债结构!#REF!&gt;0,"增长",IF(负债结构!#REF!&lt;0,"下降","保持不变"))</f>
        <v>#REF!</v>
      </c>
      <c r="P41" s="31" t="e">
        <f>IF(负债结构!#REF!&gt;0,"增幅",IF(负债结构!#REF!&lt;0,"降幅","保持不变"))</f>
        <v>#REF!</v>
      </c>
      <c r="Q41" s="34" t="e">
        <f>ABS(负债结构!#REF!)</f>
        <v>#REF!</v>
      </c>
      <c r="R41" s="35" t="e">
        <f>ABS(负债结构!#REF!)</f>
        <v>#REF!</v>
      </c>
      <c r="S41" s="31" t="e">
        <f>负债结构!#REF!</f>
        <v>#REF!</v>
      </c>
      <c r="T41" s="31" t="e">
        <f>IF(负债结构!#REF!&gt;0,"增长",IF(负债结构!#REF!&lt;0,"下降","保持不变"))</f>
        <v>#REF!</v>
      </c>
      <c r="U41" s="31" t="e">
        <f>IF(负债结构!#REF!&gt;0,"增幅",IF(负债结构!#REF!&lt;0,"降幅","保持不变"))</f>
        <v>#REF!</v>
      </c>
      <c r="V41" s="34" t="e">
        <f>ABS(负债结构!#REF!)</f>
        <v>#REF!</v>
      </c>
      <c r="W41" s="35" t="e">
        <f>ABS(负债结构!#REF!)</f>
        <v>#REF!</v>
      </c>
      <c r="X41" s="31" t="e">
        <f>ABS(负债结构!#REF!)</f>
        <v>#REF!</v>
      </c>
      <c r="Y41" s="31" t="e">
        <f>IF(负债结构!#REF!&gt;0,"增长",IF(负债结构!#REF!&lt;0,"下降","保持不变"))</f>
        <v>#REF!</v>
      </c>
      <c r="Z41" s="31" t="e">
        <f>IF(负债结构!#REF!&gt;0,"增幅",IF(负债结构!#REF!&lt;0,"降幅","保持不变"))</f>
        <v>#REF!</v>
      </c>
      <c r="AA41" s="24">
        <f t="shared" si="2"/>
        <v>41</v>
      </c>
      <c r="AB41" s="24" t="s">
        <v>1120</v>
      </c>
    </row>
    <row r="42" spans="1:28" x14ac:dyDescent="0.3">
      <c r="A42" s="31" t="str">
        <f>负债结构!A21</f>
        <v>应付职工薪酬</v>
      </c>
      <c r="B42" s="34">
        <f>负债结构!B21</f>
        <v>727.50698299999999</v>
      </c>
      <c r="C42" s="35">
        <f>负债结构!C21</f>
        <v>3.3382398637562838E-4</v>
      </c>
      <c r="D42" s="34">
        <f>负债结构!D21</f>
        <v>1361.9093720000001</v>
      </c>
      <c r="E42" s="35">
        <f>负债结构!E21</f>
        <v>7.3171268004247766E-4</v>
      </c>
      <c r="F42" s="34">
        <f>负债结构!F21</f>
        <v>1222.144395</v>
      </c>
      <c r="G42" s="35">
        <f>负债结构!G21</f>
        <v>9.5520323142756858E-4</v>
      </c>
      <c r="H42" s="34">
        <f>负债结构!H21</f>
        <v>1072.9880410000001</v>
      </c>
      <c r="I42" s="35">
        <f>负债结构!I21</f>
        <v>7.2468338641402908E-4</v>
      </c>
      <c r="J42" s="34">
        <f>负债结构!J21</f>
        <v>1393.4309020000001</v>
      </c>
      <c r="K42" s="35">
        <f>负债结构!K21</f>
        <v>1.3516294700104852E-3</v>
      </c>
      <c r="L42" s="34" t="e">
        <f>ABS(负债结构!#REF!)</f>
        <v>#REF!</v>
      </c>
      <c r="M42" s="35" t="e">
        <f>ABS(负债结构!#REF!)</f>
        <v>#REF!</v>
      </c>
      <c r="N42" s="31" t="e">
        <f>负债结构!#REF!</f>
        <v>#REF!</v>
      </c>
      <c r="O42" s="31" t="e">
        <f>IF(负债结构!#REF!&gt;0,"增长",IF(负债结构!#REF!&lt;0,"下降","保持不变"))</f>
        <v>#REF!</v>
      </c>
      <c r="P42" s="31" t="e">
        <f>IF(负债结构!#REF!&gt;0,"增幅",IF(负债结构!#REF!&lt;0,"降幅","保持不变"))</f>
        <v>#REF!</v>
      </c>
      <c r="Q42" s="34" t="e">
        <f>ABS(负债结构!#REF!)</f>
        <v>#REF!</v>
      </c>
      <c r="R42" s="35" t="e">
        <f>ABS(负债结构!#REF!)</f>
        <v>#REF!</v>
      </c>
      <c r="S42" s="31" t="e">
        <f>负债结构!#REF!</f>
        <v>#REF!</v>
      </c>
      <c r="T42" s="31" t="e">
        <f>IF(负债结构!#REF!&gt;0,"增长",IF(负债结构!#REF!&lt;0,"下降","保持不变"))</f>
        <v>#REF!</v>
      </c>
      <c r="U42" s="31" t="e">
        <f>IF(负债结构!#REF!&gt;0,"增幅",IF(负债结构!#REF!&lt;0,"降幅","保持不变"))</f>
        <v>#REF!</v>
      </c>
      <c r="V42" s="34" t="e">
        <f>ABS(负债结构!#REF!)</f>
        <v>#REF!</v>
      </c>
      <c r="W42" s="35" t="e">
        <f>ABS(负债结构!#REF!)</f>
        <v>#REF!</v>
      </c>
      <c r="X42" s="31" t="e">
        <f>ABS(负债结构!#REF!)</f>
        <v>#REF!</v>
      </c>
      <c r="Y42" s="31" t="e">
        <f>IF(负债结构!#REF!&gt;0,"增长",IF(负债结构!#REF!&lt;0,"下降","保持不变"))</f>
        <v>#REF!</v>
      </c>
      <c r="Z42" s="31" t="e">
        <f>IF(负债结构!#REF!&gt;0,"增幅",IF(负债结构!#REF!&lt;0,"降幅","保持不变"))</f>
        <v>#REF!</v>
      </c>
      <c r="AA42" s="24">
        <f t="shared" si="2"/>
        <v>42</v>
      </c>
      <c r="AB42" s="24" t="s">
        <v>1120</v>
      </c>
    </row>
    <row r="43" spans="1:28" x14ac:dyDescent="0.3">
      <c r="A43" s="31" t="str">
        <f>负债结构!A22</f>
        <v>应交税费</v>
      </c>
      <c r="B43" s="34">
        <f>负债结构!B22</f>
        <v>34975.377783999997</v>
      </c>
      <c r="C43" s="35">
        <f>负债结构!C22</f>
        <v>1.6048808203465E-2</v>
      </c>
      <c r="D43" s="34">
        <f>负债结构!D22</f>
        <v>35225.236494999997</v>
      </c>
      <c r="E43" s="35">
        <f>负债结构!E22</f>
        <v>1.8925453286980198E-2</v>
      </c>
      <c r="F43" s="34">
        <f>负债结构!F22</f>
        <v>27279.129649000002</v>
      </c>
      <c r="G43" s="35">
        <f>负债结构!G22</f>
        <v>2.1320813561687524E-2</v>
      </c>
      <c r="H43" s="34">
        <f>负债结构!H22</f>
        <v>16258.76175</v>
      </c>
      <c r="I43" s="35">
        <f>负债结构!I22</f>
        <v>1.0980974692791459E-2</v>
      </c>
      <c r="J43" s="34">
        <f>负债结构!J22</f>
        <v>13625.813128</v>
      </c>
      <c r="K43" s="35">
        <f>负债结构!K22</f>
        <v>1.3217053353866665E-2</v>
      </c>
      <c r="L43" s="34" t="e">
        <f>ABS(负债结构!#REF!)</f>
        <v>#REF!</v>
      </c>
      <c r="M43" s="35" t="e">
        <f>ABS(负债结构!#REF!)</f>
        <v>#REF!</v>
      </c>
      <c r="N43" s="31" t="e">
        <f>负债结构!#REF!</f>
        <v>#REF!</v>
      </c>
      <c r="O43" s="31" t="e">
        <f>IF(负债结构!#REF!&gt;0,"增长",IF(负债结构!#REF!&lt;0,"下降","保持不变"))</f>
        <v>#REF!</v>
      </c>
      <c r="P43" s="31" t="e">
        <f>IF(负债结构!#REF!&gt;0,"增幅",IF(负债结构!#REF!&lt;0,"降幅","保持不变"))</f>
        <v>#REF!</v>
      </c>
      <c r="Q43" s="34" t="e">
        <f>ABS(负债结构!#REF!)</f>
        <v>#REF!</v>
      </c>
      <c r="R43" s="35" t="e">
        <f>ABS(负债结构!#REF!)</f>
        <v>#REF!</v>
      </c>
      <c r="S43" s="31" t="e">
        <f>负债结构!#REF!</f>
        <v>#REF!</v>
      </c>
      <c r="T43" s="31" t="e">
        <f>IF(负债结构!#REF!&gt;0,"增长",IF(负债结构!#REF!&lt;0,"下降","保持不变"))</f>
        <v>#REF!</v>
      </c>
      <c r="U43" s="31" t="e">
        <f>IF(负债结构!#REF!&gt;0,"增幅",IF(负债结构!#REF!&lt;0,"降幅","保持不变"))</f>
        <v>#REF!</v>
      </c>
      <c r="V43" s="34" t="e">
        <f>ABS(负债结构!#REF!)</f>
        <v>#REF!</v>
      </c>
      <c r="W43" s="35" t="e">
        <f>ABS(负债结构!#REF!)</f>
        <v>#REF!</v>
      </c>
      <c r="X43" s="31" t="e">
        <f>ABS(负债结构!#REF!)</f>
        <v>#REF!</v>
      </c>
      <c r="Y43" s="31" t="e">
        <f>IF(负债结构!#REF!&gt;0,"增长",IF(负债结构!#REF!&lt;0,"下降","保持不变"))</f>
        <v>#REF!</v>
      </c>
      <c r="Z43" s="31" t="e">
        <f>IF(负债结构!#REF!&gt;0,"增幅",IF(负债结构!#REF!&lt;0,"降幅","保持不变"))</f>
        <v>#REF!</v>
      </c>
      <c r="AA43" s="24">
        <f t="shared" si="2"/>
        <v>43</v>
      </c>
      <c r="AB43" s="24" t="s">
        <v>1120</v>
      </c>
    </row>
    <row r="44" spans="1:28" x14ac:dyDescent="0.3">
      <c r="A44" s="31" t="str">
        <f>负债结构!A23</f>
        <v>其他应付款</v>
      </c>
      <c r="B44" s="34">
        <f>负债结构!B23</f>
        <v>192675.49462099999</v>
      </c>
      <c r="C44" s="35">
        <f>负债结构!C23</f>
        <v>8.8411112462515248E-2</v>
      </c>
      <c r="D44" s="34">
        <f>负债结构!D23</f>
        <v>198101.403254</v>
      </c>
      <c r="E44" s="35">
        <f>负债结构!E23</f>
        <v>0.10643388736086908</v>
      </c>
      <c r="F44" s="34">
        <f>负债结构!F23</f>
        <v>139714.55822599999</v>
      </c>
      <c r="G44" s="35">
        <f>负债结构!G23</f>
        <v>0.10919806042636261</v>
      </c>
      <c r="H44" s="34">
        <f>负债结构!H23</f>
        <v>55580.825785000001</v>
      </c>
      <c r="I44" s="35">
        <f>负债结构!I23</f>
        <v>3.7538629985123931E-2</v>
      </c>
      <c r="J44" s="34">
        <f>负债结构!J23</f>
        <v>114238.177631</v>
      </c>
      <c r="K44" s="35">
        <f>负债结构!K23</f>
        <v>0.11081115487300439</v>
      </c>
      <c r="L44" s="34" t="e">
        <f>ABS(负债结构!#REF!)</f>
        <v>#REF!</v>
      </c>
      <c r="M44" s="35" t="e">
        <f>ABS(负债结构!#REF!)</f>
        <v>#REF!</v>
      </c>
      <c r="N44" s="31" t="e">
        <f>负债结构!#REF!</f>
        <v>#REF!</v>
      </c>
      <c r="O44" s="31" t="e">
        <f>IF(负债结构!#REF!&gt;0,"增长",IF(负债结构!#REF!&lt;0,"下降","保持不变"))</f>
        <v>#REF!</v>
      </c>
      <c r="P44" s="31" t="e">
        <f>IF(负债结构!#REF!&gt;0,"增幅",IF(负债结构!#REF!&lt;0,"降幅","保持不变"))</f>
        <v>#REF!</v>
      </c>
      <c r="Q44" s="34" t="e">
        <f>ABS(负债结构!#REF!)</f>
        <v>#REF!</v>
      </c>
      <c r="R44" s="35" t="e">
        <f>ABS(负债结构!#REF!)</f>
        <v>#REF!</v>
      </c>
      <c r="S44" s="31" t="e">
        <f>负债结构!#REF!</f>
        <v>#REF!</v>
      </c>
      <c r="T44" s="31" t="e">
        <f>IF(负债结构!#REF!&gt;0,"增长",IF(负债结构!#REF!&lt;0,"下降","保持不变"))</f>
        <v>#REF!</v>
      </c>
      <c r="U44" s="31" t="e">
        <f>IF(负债结构!#REF!&gt;0,"增幅",IF(负债结构!#REF!&lt;0,"降幅","保持不变"))</f>
        <v>#REF!</v>
      </c>
      <c r="V44" s="34" t="e">
        <f>ABS(负债结构!#REF!)</f>
        <v>#REF!</v>
      </c>
      <c r="W44" s="35" t="e">
        <f>ABS(负债结构!#REF!)</f>
        <v>#REF!</v>
      </c>
      <c r="X44" s="31" t="e">
        <f>ABS(负债结构!#REF!)</f>
        <v>#REF!</v>
      </c>
      <c r="Y44" s="31" t="e">
        <f>IF(负债结构!#REF!&gt;0,"增长",IF(负债结构!#REF!&lt;0,"下降","保持不变"))</f>
        <v>#REF!</v>
      </c>
      <c r="Z44" s="31" t="e">
        <f>IF(负债结构!#REF!&gt;0,"增幅",IF(负债结构!#REF!&lt;0,"降幅","保持不变"))</f>
        <v>#REF!</v>
      </c>
      <c r="AA44" s="24">
        <f t="shared" si="2"/>
        <v>44</v>
      </c>
      <c r="AB44" s="24" t="s">
        <v>1120</v>
      </c>
    </row>
    <row r="45" spans="1:28" x14ac:dyDescent="0.3">
      <c r="A45" s="31" t="str">
        <f>负债结构!A24</f>
        <v>担保业务准备金</v>
      </c>
      <c r="B45" s="34">
        <f>负债结构!B24</f>
        <v>0</v>
      </c>
      <c r="C45" s="35">
        <f>负债结构!C24</f>
        <v>0</v>
      </c>
      <c r="D45" s="34">
        <f>负债结构!D24</f>
        <v>0</v>
      </c>
      <c r="E45" s="35">
        <f>负债结构!E24</f>
        <v>0</v>
      </c>
      <c r="F45" s="34">
        <f>负债结构!F24</f>
        <v>0</v>
      </c>
      <c r="G45" s="35">
        <f>负债结构!G24</f>
        <v>0</v>
      </c>
      <c r="H45" s="34">
        <f>负债结构!H24</f>
        <v>0</v>
      </c>
      <c r="I45" s="35">
        <f>负债结构!I24</f>
        <v>0</v>
      </c>
      <c r="J45" s="34">
        <f>负债结构!J24</f>
        <v>0</v>
      </c>
      <c r="K45" s="35">
        <f>负债结构!K24</f>
        <v>0</v>
      </c>
      <c r="L45" s="34" t="e">
        <f>ABS(负债结构!#REF!)</f>
        <v>#REF!</v>
      </c>
      <c r="M45" s="35" t="e">
        <f>ABS(负债结构!#REF!)</f>
        <v>#REF!</v>
      </c>
      <c r="N45" s="31" t="e">
        <f>负债结构!#REF!</f>
        <v>#REF!</v>
      </c>
      <c r="O45" s="31" t="e">
        <f>IF(负债结构!#REF!&gt;0,"增长",IF(负债结构!#REF!&lt;0,"下降","保持不变"))</f>
        <v>#REF!</v>
      </c>
      <c r="P45" s="31" t="e">
        <f>IF(负债结构!#REF!&gt;0,"增幅",IF(负债结构!#REF!&lt;0,"降幅","保持不变"))</f>
        <v>#REF!</v>
      </c>
      <c r="Q45" s="34" t="e">
        <f>ABS(负债结构!#REF!)</f>
        <v>#REF!</v>
      </c>
      <c r="R45" s="35" t="e">
        <f>ABS(负债结构!#REF!)</f>
        <v>#REF!</v>
      </c>
      <c r="S45" s="31" t="e">
        <f>负债结构!#REF!</f>
        <v>#REF!</v>
      </c>
      <c r="T45" s="31" t="e">
        <f>IF(负债结构!#REF!&gt;0,"增长",IF(负债结构!#REF!&lt;0,"下降","保持不变"))</f>
        <v>#REF!</v>
      </c>
      <c r="U45" s="31" t="e">
        <f>IF(负债结构!#REF!&gt;0,"增幅",IF(负债结构!#REF!&lt;0,"降幅","保持不变"))</f>
        <v>#REF!</v>
      </c>
      <c r="V45" s="34" t="e">
        <f>ABS(负债结构!#REF!)</f>
        <v>#REF!</v>
      </c>
      <c r="W45" s="35" t="e">
        <f>ABS(负债结构!#REF!)</f>
        <v>#REF!</v>
      </c>
      <c r="X45" s="31" t="e">
        <f>ABS(负债结构!#REF!)</f>
        <v>#REF!</v>
      </c>
      <c r="Y45" s="31" t="e">
        <f>IF(负债结构!#REF!&gt;0,"增长",IF(负债结构!#REF!&lt;0,"下降","保持不变"))</f>
        <v>#REF!</v>
      </c>
      <c r="Z45" s="31" t="e">
        <f>IF(负债结构!#REF!&gt;0,"增幅",IF(负债结构!#REF!&lt;0,"降幅","保持不变"))</f>
        <v>#REF!</v>
      </c>
      <c r="AA45" s="24">
        <f t="shared" si="2"/>
        <v>45</v>
      </c>
      <c r="AB45" s="24" t="s">
        <v>1120</v>
      </c>
    </row>
    <row r="46" spans="1:28" x14ac:dyDescent="0.3">
      <c r="A46" s="31" t="str">
        <f>负债结构!A25</f>
        <v>持有待售负债</v>
      </c>
      <c r="B46" s="34">
        <f>负债结构!B25</f>
        <v>0</v>
      </c>
      <c r="C46" s="35">
        <f>负债结构!C25</f>
        <v>0</v>
      </c>
      <c r="D46" s="34">
        <f>负债结构!D25</f>
        <v>0</v>
      </c>
      <c r="E46" s="35">
        <f>负债结构!E25</f>
        <v>0</v>
      </c>
      <c r="F46" s="34">
        <f>负债结构!F25</f>
        <v>0</v>
      </c>
      <c r="G46" s="35">
        <f>负债结构!G25</f>
        <v>0</v>
      </c>
      <c r="H46" s="34">
        <f>负债结构!H25</f>
        <v>0</v>
      </c>
      <c r="I46" s="35">
        <f>负债结构!I25</f>
        <v>0</v>
      </c>
      <c r="J46" s="34">
        <f>负债结构!J25</f>
        <v>0</v>
      </c>
      <c r="K46" s="35">
        <f>负债结构!K25</f>
        <v>0</v>
      </c>
      <c r="L46" s="34" t="e">
        <f>ABS(负债结构!#REF!)</f>
        <v>#REF!</v>
      </c>
      <c r="M46" s="35" t="e">
        <f>ABS(负债结构!#REF!)</f>
        <v>#REF!</v>
      </c>
      <c r="N46" s="31" t="e">
        <f>负债结构!#REF!</f>
        <v>#REF!</v>
      </c>
      <c r="O46" s="31" t="e">
        <f>IF(负债结构!#REF!&gt;0,"增长",IF(负债结构!#REF!&lt;0,"下降","保持不变"))</f>
        <v>#REF!</v>
      </c>
      <c r="P46" s="31" t="e">
        <f>IF(负债结构!#REF!&gt;0,"增幅",IF(负债结构!#REF!&lt;0,"降幅","保持不变"))</f>
        <v>#REF!</v>
      </c>
      <c r="Q46" s="34" t="e">
        <f>ABS(负债结构!#REF!)</f>
        <v>#REF!</v>
      </c>
      <c r="R46" s="35" t="e">
        <f>ABS(负债结构!#REF!)</f>
        <v>#REF!</v>
      </c>
      <c r="S46" s="31" t="e">
        <f>负债结构!#REF!</f>
        <v>#REF!</v>
      </c>
      <c r="T46" s="31" t="e">
        <f>IF(负债结构!#REF!&gt;0,"增长",IF(负债结构!#REF!&lt;0,"下降","保持不变"))</f>
        <v>#REF!</v>
      </c>
      <c r="U46" s="31" t="e">
        <f>IF(负债结构!#REF!&gt;0,"增幅",IF(负债结构!#REF!&lt;0,"降幅","保持不变"))</f>
        <v>#REF!</v>
      </c>
      <c r="V46" s="34" t="e">
        <f>ABS(负债结构!#REF!)</f>
        <v>#REF!</v>
      </c>
      <c r="W46" s="35" t="e">
        <f>ABS(负债结构!#REF!)</f>
        <v>#REF!</v>
      </c>
      <c r="X46" s="31" t="e">
        <f>ABS(负债结构!#REF!)</f>
        <v>#REF!</v>
      </c>
      <c r="Y46" s="31" t="e">
        <f>IF(负债结构!#REF!&gt;0,"增长",IF(负债结构!#REF!&lt;0,"下降","保持不变"))</f>
        <v>#REF!</v>
      </c>
      <c r="Z46" s="31" t="e">
        <f>IF(负债结构!#REF!&gt;0,"增幅",IF(负债结构!#REF!&lt;0,"降幅","保持不变"))</f>
        <v>#REF!</v>
      </c>
      <c r="AA46" s="24">
        <f t="shared" si="2"/>
        <v>46</v>
      </c>
      <c r="AB46" s="24" t="s">
        <v>1120</v>
      </c>
    </row>
    <row r="47" spans="1:28" x14ac:dyDescent="0.3">
      <c r="A47" s="31" t="str">
        <f>负债结构!A35</f>
        <v>长期借款</v>
      </c>
      <c r="B47" s="34">
        <f>负债结构!B35</f>
        <v>1157759.483004</v>
      </c>
      <c r="C47" s="35">
        <f>负债结构!C35</f>
        <v>0.76281462941405043</v>
      </c>
      <c r="D47" s="34">
        <f>负债结构!D35</f>
        <v>921871.16391299991</v>
      </c>
      <c r="E47" s="35">
        <f>负债结构!E35</f>
        <v>0.59899419458667302</v>
      </c>
      <c r="F47" s="34">
        <f>负债结构!F35</f>
        <v>787232.25028000004</v>
      </c>
      <c r="G47" s="35">
        <f>负债结构!G35</f>
        <v>0.42143380782473955</v>
      </c>
      <c r="H47" s="34">
        <f>负债结构!H35</f>
        <v>542280.72326700005</v>
      </c>
      <c r="I47" s="35">
        <f>负债结构!I35</f>
        <v>0.41754174702781011</v>
      </c>
      <c r="J47" s="34">
        <f>负债结构!J35</f>
        <v>380982.57841199997</v>
      </c>
      <c r="K47" s="35">
        <f>负债结构!K35</f>
        <v>0.3291000956285301</v>
      </c>
      <c r="L47" s="34" t="e">
        <f>ABS(负债结构!#REF!)</f>
        <v>#REF!</v>
      </c>
      <c r="M47" s="35" t="e">
        <f>ABS(负债结构!#REF!)</f>
        <v>#REF!</v>
      </c>
      <c r="N47" s="31" t="e">
        <f>负债结构!#REF!</f>
        <v>#REF!</v>
      </c>
      <c r="O47" s="31" t="e">
        <f>IF(负债结构!#REF!&gt;0,"增长",IF(负债结构!#REF!&lt;0,"下降","保持不变"))</f>
        <v>#REF!</v>
      </c>
      <c r="P47" s="31" t="e">
        <f>IF(负债结构!#REF!&gt;0,"增幅",IF(负债结构!#REF!&lt;0,"降幅","保持不变"))</f>
        <v>#REF!</v>
      </c>
      <c r="Q47" s="34" t="e">
        <f>ABS(负债结构!#REF!)</f>
        <v>#REF!</v>
      </c>
      <c r="R47" s="35" t="e">
        <f>ABS(负债结构!#REF!)</f>
        <v>#REF!</v>
      </c>
      <c r="S47" s="31" t="e">
        <f>负债结构!#REF!</f>
        <v>#REF!</v>
      </c>
      <c r="T47" s="31" t="e">
        <f>IF(负债结构!#REF!&gt;0,"增长",IF(负债结构!#REF!&lt;0,"下降","保持不变"))</f>
        <v>#REF!</v>
      </c>
      <c r="U47" s="31" t="e">
        <f>IF(负债结构!#REF!&gt;0,"增幅",IF(负债结构!#REF!&lt;0,"降幅","保持不变"))</f>
        <v>#REF!</v>
      </c>
      <c r="V47" s="34" t="e">
        <f>ABS(负债结构!#REF!)</f>
        <v>#REF!</v>
      </c>
      <c r="W47" s="35" t="e">
        <f>ABS(负债结构!#REF!)</f>
        <v>#REF!</v>
      </c>
      <c r="X47" s="31" t="e">
        <f>ABS(负债结构!#REF!)</f>
        <v>#REF!</v>
      </c>
      <c r="Y47" s="31" t="e">
        <f>IF(负债结构!#REF!&gt;0,"增长",IF(负债结构!#REF!&lt;0,"下降","保持不变"))</f>
        <v>#REF!</v>
      </c>
      <c r="Z47" s="31" t="e">
        <f>IF(负债结构!#REF!&gt;0,"增幅",IF(负债结构!#REF!&lt;0,"降幅","保持不变"))</f>
        <v>#REF!</v>
      </c>
      <c r="AA47" s="24">
        <f t="shared" si="2"/>
        <v>47</v>
      </c>
      <c r="AB47" s="24" t="s">
        <v>1121</v>
      </c>
    </row>
    <row r="48" spans="1:28" x14ac:dyDescent="0.3">
      <c r="A48" s="31" t="str">
        <f>负债结构!A36</f>
        <v>应付债券</v>
      </c>
      <c r="B48" s="34">
        <f>负债结构!B36</f>
        <v>180141.94301700001</v>
      </c>
      <c r="C48" s="35">
        <f>负债结构!C36</f>
        <v>0.11869037699254595</v>
      </c>
      <c r="D48" s="34">
        <f>负债结构!D36</f>
        <v>443600.99190200004</v>
      </c>
      <c r="E48" s="35">
        <f>负债结构!E36</f>
        <v>0.28823378934462923</v>
      </c>
      <c r="F48" s="34">
        <f>负债结构!F36</f>
        <v>851342.51196000003</v>
      </c>
      <c r="G48" s="35">
        <f>负债结构!G36</f>
        <v>0.45575434244566382</v>
      </c>
      <c r="H48" s="34">
        <f>负债结构!H36</f>
        <v>574034.50741099997</v>
      </c>
      <c r="I48" s="35">
        <f>负债结构!I36</f>
        <v>0.44199131703345768</v>
      </c>
      <c r="J48" s="34">
        <f>负债结构!J36</f>
        <v>615633.49983300001</v>
      </c>
      <c r="K48" s="35">
        <f>负债结构!K36</f>
        <v>0.53179608503795417</v>
      </c>
      <c r="L48" s="34" t="e">
        <f>ABS(负债结构!#REF!)</f>
        <v>#REF!</v>
      </c>
      <c r="M48" s="35" t="e">
        <f>ABS(负债结构!#REF!)</f>
        <v>#REF!</v>
      </c>
      <c r="N48" s="31" t="e">
        <f>负债结构!#REF!</f>
        <v>#REF!</v>
      </c>
      <c r="O48" s="31" t="e">
        <f>IF(负债结构!#REF!&gt;0,"增长",IF(负债结构!#REF!&lt;0,"下降","保持不变"))</f>
        <v>#REF!</v>
      </c>
      <c r="P48" s="31" t="e">
        <f>IF(负债结构!#REF!&gt;0,"增幅",IF(负债结构!#REF!&lt;0,"降幅","保持不变"))</f>
        <v>#REF!</v>
      </c>
      <c r="Q48" s="34" t="e">
        <f>ABS(负债结构!#REF!)</f>
        <v>#REF!</v>
      </c>
      <c r="R48" s="35" t="e">
        <f>ABS(负债结构!#REF!)</f>
        <v>#REF!</v>
      </c>
      <c r="S48" s="31" t="e">
        <f>负债结构!#REF!</f>
        <v>#REF!</v>
      </c>
      <c r="T48" s="31" t="e">
        <f>IF(负债结构!#REF!&gt;0,"增长",IF(负债结构!#REF!&lt;0,"下降","保持不变"))</f>
        <v>#REF!</v>
      </c>
      <c r="U48" s="31" t="e">
        <f>IF(负债结构!#REF!&gt;0,"增幅",IF(负债结构!#REF!&lt;0,"降幅","保持不变"))</f>
        <v>#REF!</v>
      </c>
      <c r="V48" s="34" t="e">
        <f>ABS(负债结构!#REF!)</f>
        <v>#REF!</v>
      </c>
      <c r="W48" s="35" t="e">
        <f>ABS(负债结构!#REF!)</f>
        <v>#REF!</v>
      </c>
      <c r="X48" s="31" t="e">
        <f>ABS(负债结构!#REF!)</f>
        <v>#REF!</v>
      </c>
      <c r="Y48" s="31" t="e">
        <f>IF(负债结构!#REF!&gt;0,"增长",IF(负债结构!#REF!&lt;0,"下降","保持不变"))</f>
        <v>#REF!</v>
      </c>
      <c r="Z48" s="31" t="e">
        <f>IF(负债结构!#REF!&gt;0,"增幅",IF(负债结构!#REF!&lt;0,"降幅","保持不变"))</f>
        <v>#REF!</v>
      </c>
      <c r="AA48" s="24">
        <f t="shared" si="2"/>
        <v>48</v>
      </c>
      <c r="AB48" s="24" t="s">
        <v>1121</v>
      </c>
    </row>
    <row r="49" spans="1:28" x14ac:dyDescent="0.3">
      <c r="A49" s="31" t="str">
        <f>负债结构!A37</f>
        <v>长期应付款</v>
      </c>
      <c r="B49" s="34">
        <f>负债结构!B37</f>
        <v>126189.91598599999</v>
      </c>
      <c r="C49" s="35">
        <f>负债结构!C37</f>
        <v>8.3142928571735289E-2</v>
      </c>
      <c r="D49" s="34">
        <f>负债结构!D37</f>
        <v>120531.619877</v>
      </c>
      <c r="E49" s="35">
        <f>负债结构!E37</f>
        <v>7.8316519050230529E-2</v>
      </c>
      <c r="F49" s="34">
        <f>负债结构!F37</f>
        <v>169251.796072</v>
      </c>
      <c r="G49" s="35">
        <f>负债结构!G37</f>
        <v>9.060658893792703E-2</v>
      </c>
      <c r="H49" s="34">
        <f>负债结构!H37</f>
        <v>161467.30257200002</v>
      </c>
      <c r="I49" s="35">
        <f>负债结构!I37</f>
        <v>0.12432553235086319</v>
      </c>
      <c r="J49" s="34">
        <f>负债结构!J37</f>
        <v>136733.33214700001</v>
      </c>
      <c r="K49" s="35">
        <f>负债结构!K37</f>
        <v>0.11811288818703612</v>
      </c>
      <c r="L49" s="34" t="e">
        <f>ABS(负债结构!#REF!)</f>
        <v>#REF!</v>
      </c>
      <c r="M49" s="35" t="e">
        <f>ABS(负债结构!#REF!)</f>
        <v>#REF!</v>
      </c>
      <c r="N49" s="31" t="e">
        <f>负债结构!#REF!</f>
        <v>#REF!</v>
      </c>
      <c r="O49" s="31" t="e">
        <f>IF(负债结构!#REF!&gt;0,"增长",IF(负债结构!#REF!&lt;0,"下降","保持不变"))</f>
        <v>#REF!</v>
      </c>
      <c r="P49" s="31" t="e">
        <f>IF(负债结构!#REF!&gt;0,"增幅",IF(负债结构!#REF!&lt;0,"降幅","保持不变"))</f>
        <v>#REF!</v>
      </c>
      <c r="Q49" s="34" t="e">
        <f>ABS(负债结构!#REF!)</f>
        <v>#REF!</v>
      </c>
      <c r="R49" s="35" t="e">
        <f>ABS(负债结构!#REF!)</f>
        <v>#REF!</v>
      </c>
      <c r="S49" s="31" t="e">
        <f>负债结构!#REF!</f>
        <v>#REF!</v>
      </c>
      <c r="T49" s="31" t="e">
        <f>IF(负债结构!#REF!&gt;0,"增长",IF(负债结构!#REF!&lt;0,"下降","保持不变"))</f>
        <v>#REF!</v>
      </c>
      <c r="U49" s="31" t="e">
        <f>IF(负债结构!#REF!&gt;0,"增幅",IF(负债结构!#REF!&lt;0,"降幅","保持不变"))</f>
        <v>#REF!</v>
      </c>
      <c r="V49" s="34" t="e">
        <f>ABS(负债结构!#REF!)</f>
        <v>#REF!</v>
      </c>
      <c r="W49" s="35" t="e">
        <f>ABS(负债结构!#REF!)</f>
        <v>#REF!</v>
      </c>
      <c r="X49" s="31" t="e">
        <f>ABS(负债结构!#REF!)</f>
        <v>#REF!</v>
      </c>
      <c r="Y49" s="31" t="e">
        <f>IF(负债结构!#REF!&gt;0,"增长",IF(负债结构!#REF!&lt;0,"下降","保持不变"))</f>
        <v>#REF!</v>
      </c>
      <c r="Z49" s="31" t="e">
        <f>IF(负债结构!#REF!&gt;0,"增幅",IF(负债结构!#REF!&lt;0,"降幅","保持不变"))</f>
        <v>#REF!</v>
      </c>
      <c r="AA49" s="24">
        <f t="shared" si="2"/>
        <v>49</v>
      </c>
      <c r="AB49" s="24" t="s">
        <v>1121</v>
      </c>
    </row>
    <row r="50" spans="1:28" x14ac:dyDescent="0.3">
      <c r="A50" s="31" t="str">
        <f>负债结构!A38</f>
        <v>专项应付款</v>
      </c>
      <c r="B50" s="34">
        <f>负债结构!B38</f>
        <v>0</v>
      </c>
      <c r="C50" s="35">
        <f>负债结构!C38</f>
        <v>0</v>
      </c>
      <c r="D50" s="34">
        <f>负债结构!D38</f>
        <v>0</v>
      </c>
      <c r="E50" s="35">
        <f>负债结构!E38</f>
        <v>0</v>
      </c>
      <c r="F50" s="34">
        <f>负债结构!F38</f>
        <v>0</v>
      </c>
      <c r="G50" s="35">
        <f>负债结构!G38</f>
        <v>0</v>
      </c>
      <c r="H50" s="34">
        <f>负债结构!H38</f>
        <v>0</v>
      </c>
      <c r="I50" s="35">
        <f>负债结构!I38</f>
        <v>0</v>
      </c>
      <c r="J50" s="34">
        <f>负债结构!J38</f>
        <v>0</v>
      </c>
      <c r="K50" s="35">
        <f>负债结构!K38</f>
        <v>0</v>
      </c>
      <c r="L50" s="34" t="e">
        <f>ABS(负债结构!#REF!)</f>
        <v>#REF!</v>
      </c>
      <c r="M50" s="35" t="e">
        <f>ABS(负债结构!#REF!)</f>
        <v>#REF!</v>
      </c>
      <c r="N50" s="31" t="e">
        <f>负债结构!#REF!</f>
        <v>#REF!</v>
      </c>
      <c r="O50" s="31" t="e">
        <f>IF(负债结构!#REF!&gt;0,"增长",IF(负债结构!#REF!&lt;0,"下降","保持不变"))</f>
        <v>#REF!</v>
      </c>
      <c r="P50" s="31" t="e">
        <f>IF(负债结构!#REF!&gt;0,"增幅",IF(负债结构!#REF!&lt;0,"降幅","保持不变"))</f>
        <v>#REF!</v>
      </c>
      <c r="Q50" s="34" t="e">
        <f>ABS(负债结构!#REF!)</f>
        <v>#REF!</v>
      </c>
      <c r="R50" s="35" t="e">
        <f>ABS(负债结构!#REF!)</f>
        <v>#REF!</v>
      </c>
      <c r="S50" s="31" t="e">
        <f>负债结构!#REF!</f>
        <v>#REF!</v>
      </c>
      <c r="T50" s="31" t="e">
        <f>IF(负债结构!#REF!&gt;0,"增长",IF(负债结构!#REF!&lt;0,"下降","保持不变"))</f>
        <v>#REF!</v>
      </c>
      <c r="U50" s="31" t="e">
        <f>IF(负债结构!#REF!&gt;0,"增幅",IF(负债结构!#REF!&lt;0,"降幅","保持不变"))</f>
        <v>#REF!</v>
      </c>
      <c r="V50" s="34" t="e">
        <f>ABS(负债结构!#REF!)</f>
        <v>#REF!</v>
      </c>
      <c r="W50" s="35" t="e">
        <f>ABS(负债结构!#REF!)</f>
        <v>#REF!</v>
      </c>
      <c r="X50" s="31" t="e">
        <f>ABS(负债结构!#REF!)</f>
        <v>#REF!</v>
      </c>
      <c r="Y50" s="31" t="e">
        <f>IF(负债结构!#REF!&gt;0,"增长",IF(负债结构!#REF!&lt;0,"下降","保持不变"))</f>
        <v>#REF!</v>
      </c>
      <c r="Z50" s="31" t="e">
        <f>IF(负债结构!#REF!&gt;0,"增幅",IF(负债结构!#REF!&lt;0,"降幅","保持不变"))</f>
        <v>#REF!</v>
      </c>
      <c r="AA50" s="24">
        <f t="shared" si="2"/>
        <v>50</v>
      </c>
      <c r="AB50" s="24" t="s">
        <v>1121</v>
      </c>
    </row>
    <row r="51" spans="1:28" x14ac:dyDescent="0.3">
      <c r="A51" s="31" t="str">
        <f>负债结构!A39</f>
        <v>长期应付职工薪酬</v>
      </c>
      <c r="B51" s="34">
        <f>负债结构!B39</f>
        <v>0</v>
      </c>
      <c r="C51" s="35">
        <f>负债结构!C39</f>
        <v>0</v>
      </c>
      <c r="D51" s="34">
        <f>负债结构!D39</f>
        <v>0</v>
      </c>
      <c r="E51" s="35">
        <f>负债结构!E39</f>
        <v>0</v>
      </c>
      <c r="F51" s="34">
        <f>负债结构!F39</f>
        <v>0</v>
      </c>
      <c r="G51" s="35">
        <f>负债结构!G39</f>
        <v>0</v>
      </c>
      <c r="H51" s="34">
        <f>负债结构!H39</f>
        <v>0</v>
      </c>
      <c r="I51" s="35">
        <f>负债结构!I39</f>
        <v>0</v>
      </c>
      <c r="J51" s="34">
        <f>负债结构!J39</f>
        <v>0</v>
      </c>
      <c r="K51" s="35">
        <f>负债结构!K39</f>
        <v>0</v>
      </c>
      <c r="L51" s="34" t="e">
        <f>ABS(负债结构!#REF!)</f>
        <v>#REF!</v>
      </c>
      <c r="M51" s="35" t="e">
        <f>ABS(负债结构!#REF!)</f>
        <v>#REF!</v>
      </c>
      <c r="N51" s="31" t="e">
        <f>负债结构!#REF!</f>
        <v>#REF!</v>
      </c>
      <c r="O51" s="31" t="e">
        <f>IF(负债结构!#REF!&gt;0,"增长",IF(负债结构!#REF!&lt;0,"下降","保持不变"))</f>
        <v>#REF!</v>
      </c>
      <c r="P51" s="31" t="e">
        <f>IF(负债结构!#REF!&gt;0,"增幅",IF(负债结构!#REF!&lt;0,"降幅","保持不变"))</f>
        <v>#REF!</v>
      </c>
      <c r="Q51" s="34" t="e">
        <f>ABS(负债结构!#REF!)</f>
        <v>#REF!</v>
      </c>
      <c r="R51" s="35" t="e">
        <f>ABS(负债结构!#REF!)</f>
        <v>#REF!</v>
      </c>
      <c r="S51" s="31" t="e">
        <f>负债结构!#REF!</f>
        <v>#REF!</v>
      </c>
      <c r="T51" s="31" t="e">
        <f>IF(负债结构!#REF!&gt;0,"增长",IF(负债结构!#REF!&lt;0,"下降","保持不变"))</f>
        <v>#REF!</v>
      </c>
      <c r="U51" s="31" t="e">
        <f>IF(负债结构!#REF!&gt;0,"增幅",IF(负债结构!#REF!&lt;0,"降幅","保持不变"))</f>
        <v>#REF!</v>
      </c>
      <c r="V51" s="34" t="e">
        <f>ABS(负债结构!#REF!)</f>
        <v>#REF!</v>
      </c>
      <c r="W51" s="35" t="e">
        <f>ABS(负债结构!#REF!)</f>
        <v>#REF!</v>
      </c>
      <c r="X51" s="31" t="e">
        <f>ABS(负债结构!#REF!)</f>
        <v>#REF!</v>
      </c>
      <c r="Y51" s="31" t="e">
        <f>IF(负债结构!#REF!&gt;0,"增长",IF(负债结构!#REF!&lt;0,"下降","保持不变"))</f>
        <v>#REF!</v>
      </c>
      <c r="Z51" s="31" t="e">
        <f>IF(负债结构!#REF!&gt;0,"增幅",IF(负债结构!#REF!&lt;0,"降幅","保持不变"))</f>
        <v>#REF!</v>
      </c>
      <c r="AA51" s="24">
        <f t="shared" si="2"/>
        <v>51</v>
      </c>
      <c r="AB51" s="24" t="s">
        <v>1121</v>
      </c>
    </row>
    <row r="52" spans="1:28" x14ac:dyDescent="0.3">
      <c r="A52" s="31" t="str">
        <f>负债结构!A40</f>
        <v>预计负债</v>
      </c>
      <c r="B52" s="34">
        <f>负债结构!B40</f>
        <v>0</v>
      </c>
      <c r="C52" s="35">
        <f>负债结构!C40</f>
        <v>0</v>
      </c>
      <c r="D52" s="34">
        <f>负债结构!D40</f>
        <v>0</v>
      </c>
      <c r="E52" s="35">
        <f>负债结构!E40</f>
        <v>0</v>
      </c>
      <c r="F52" s="34">
        <f>负债结构!F40</f>
        <v>0</v>
      </c>
      <c r="G52" s="35">
        <f>负债结构!G40</f>
        <v>0</v>
      </c>
      <c r="H52" s="34">
        <f>负债结构!H40</f>
        <v>0</v>
      </c>
      <c r="I52" s="35">
        <f>负债结构!I40</f>
        <v>0</v>
      </c>
      <c r="J52" s="34">
        <f>负债结构!J40</f>
        <v>0</v>
      </c>
      <c r="K52" s="35">
        <f>负债结构!K40</f>
        <v>0</v>
      </c>
      <c r="L52" s="34" t="e">
        <f>ABS(负债结构!#REF!)</f>
        <v>#REF!</v>
      </c>
      <c r="M52" s="35" t="e">
        <f>ABS(负债结构!#REF!)</f>
        <v>#REF!</v>
      </c>
      <c r="N52" s="31" t="e">
        <f>负债结构!#REF!</f>
        <v>#REF!</v>
      </c>
      <c r="O52" s="31" t="e">
        <f>IF(负债结构!#REF!&gt;0,"增长",IF(负债结构!#REF!&lt;0,"下降","保持不变"))</f>
        <v>#REF!</v>
      </c>
      <c r="P52" s="31" t="e">
        <f>IF(负债结构!#REF!&gt;0,"增幅",IF(负债结构!#REF!&lt;0,"降幅","保持不变"))</f>
        <v>#REF!</v>
      </c>
      <c r="Q52" s="34" t="e">
        <f>ABS(负债结构!#REF!)</f>
        <v>#REF!</v>
      </c>
      <c r="R52" s="35" t="e">
        <f>ABS(负债结构!#REF!)</f>
        <v>#REF!</v>
      </c>
      <c r="S52" s="31" t="e">
        <f>负债结构!#REF!</f>
        <v>#REF!</v>
      </c>
      <c r="T52" s="31" t="e">
        <f>IF(负债结构!#REF!&gt;0,"增长",IF(负债结构!#REF!&lt;0,"下降","保持不变"))</f>
        <v>#REF!</v>
      </c>
      <c r="U52" s="31" t="e">
        <f>IF(负债结构!#REF!&gt;0,"增幅",IF(负债结构!#REF!&lt;0,"降幅","保持不变"))</f>
        <v>#REF!</v>
      </c>
      <c r="V52" s="34" t="e">
        <f>ABS(负债结构!#REF!)</f>
        <v>#REF!</v>
      </c>
      <c r="W52" s="35" t="e">
        <f>ABS(负债结构!#REF!)</f>
        <v>#REF!</v>
      </c>
      <c r="X52" s="31" t="e">
        <f>ABS(负债结构!#REF!)</f>
        <v>#REF!</v>
      </c>
      <c r="Y52" s="31" t="e">
        <f>IF(负债结构!#REF!&gt;0,"增长",IF(负债结构!#REF!&lt;0,"下降","保持不变"))</f>
        <v>#REF!</v>
      </c>
      <c r="Z52" s="31" t="e">
        <f>IF(负债结构!#REF!&gt;0,"增幅",IF(负债结构!#REF!&lt;0,"降幅","保持不变"))</f>
        <v>#REF!</v>
      </c>
      <c r="AA52" s="24">
        <f t="shared" si="2"/>
        <v>52</v>
      </c>
      <c r="AB52" s="24" t="s">
        <v>1121</v>
      </c>
    </row>
    <row r="53" spans="1:28" x14ac:dyDescent="0.3">
      <c r="A53" s="31" t="str">
        <f>负债结构!A41</f>
        <v>递延收益</v>
      </c>
      <c r="B53" s="34">
        <f>负债结构!B41</f>
        <v>5711.4180719999995</v>
      </c>
      <c r="C53" s="35">
        <f>负债结构!C41</f>
        <v>3.7630901098016207E-3</v>
      </c>
      <c r="D53" s="34">
        <f>负债结构!D41</f>
        <v>5084.0420720000002</v>
      </c>
      <c r="E53" s="35">
        <f>负债结构!E41</f>
        <v>3.3034026937518966E-3</v>
      </c>
      <c r="F53" s="34">
        <f>负债结构!F41</f>
        <v>9495.7831349999997</v>
      </c>
      <c r="G53" s="35">
        <f>负债结构!G41</f>
        <v>5.0834350897560792E-3</v>
      </c>
      <c r="H53" s="34">
        <f>负债结构!H41</f>
        <v>11126.192959</v>
      </c>
      <c r="I53" s="35">
        <f>负债结构!I41</f>
        <v>8.5668729249334281E-3</v>
      </c>
      <c r="J53" s="34">
        <f>负债结构!J41</f>
        <v>14324.001144999998</v>
      </c>
      <c r="K53" s="35">
        <f>负债结构!K41</f>
        <v>1.2373348320155613E-2</v>
      </c>
      <c r="L53" s="34" t="e">
        <f>ABS(负债结构!#REF!)</f>
        <v>#REF!</v>
      </c>
      <c r="M53" s="35" t="e">
        <f>ABS(负债结构!#REF!)</f>
        <v>#REF!</v>
      </c>
      <c r="N53" s="31" t="e">
        <f>负债结构!#REF!</f>
        <v>#REF!</v>
      </c>
      <c r="O53" s="31" t="e">
        <f>IF(负债结构!#REF!&gt;0,"增长",IF(负债结构!#REF!&lt;0,"下降","保持不变"))</f>
        <v>#REF!</v>
      </c>
      <c r="P53" s="31" t="e">
        <f>IF(负债结构!#REF!&gt;0,"增幅",IF(负债结构!#REF!&lt;0,"降幅","保持不变"))</f>
        <v>#REF!</v>
      </c>
      <c r="Q53" s="34" t="e">
        <f>ABS(负债结构!#REF!)</f>
        <v>#REF!</v>
      </c>
      <c r="R53" s="35" t="e">
        <f>ABS(负债结构!#REF!)</f>
        <v>#REF!</v>
      </c>
      <c r="S53" s="31" t="e">
        <f>负债结构!#REF!</f>
        <v>#REF!</v>
      </c>
      <c r="T53" s="31" t="e">
        <f>IF(负债结构!#REF!&gt;0,"增长",IF(负债结构!#REF!&lt;0,"下降","保持不变"))</f>
        <v>#REF!</v>
      </c>
      <c r="U53" s="31" t="e">
        <f>IF(负债结构!#REF!&gt;0,"增幅",IF(负债结构!#REF!&lt;0,"降幅","保持不变"))</f>
        <v>#REF!</v>
      </c>
      <c r="V53" s="34" t="e">
        <f>ABS(负债结构!#REF!)</f>
        <v>#REF!</v>
      </c>
      <c r="W53" s="35" t="e">
        <f>ABS(负债结构!#REF!)</f>
        <v>#REF!</v>
      </c>
      <c r="X53" s="31" t="e">
        <f>ABS(负债结构!#REF!)</f>
        <v>#REF!</v>
      </c>
      <c r="Y53" s="31" t="e">
        <f>IF(负债结构!#REF!&gt;0,"增长",IF(负债结构!#REF!&lt;0,"下降","保持不变"))</f>
        <v>#REF!</v>
      </c>
      <c r="Z53" s="31" t="e">
        <f>IF(负债结构!#REF!&gt;0,"增幅",IF(负债结构!#REF!&lt;0,"降幅","保持不变"))</f>
        <v>#REF!</v>
      </c>
      <c r="AA53" s="24">
        <f t="shared" si="2"/>
        <v>53</v>
      </c>
      <c r="AB53" s="24" t="s">
        <v>1121</v>
      </c>
    </row>
    <row r="54" spans="1:28" x14ac:dyDescent="0.3">
      <c r="A54" s="31" t="str">
        <f>负债结构!A42</f>
        <v>递延所得税负债</v>
      </c>
      <c r="B54" s="34">
        <f>负债结构!B42</f>
        <v>27844.066425000001</v>
      </c>
      <c r="C54" s="35">
        <f>负债结构!C42</f>
        <v>1.8345659459645468E-2</v>
      </c>
      <c r="D54" s="34">
        <f>负债结构!D42</f>
        <v>27844.066425000001</v>
      </c>
      <c r="E54" s="35">
        <f>负债结构!E42</f>
        <v>1.8091936048272684E-2</v>
      </c>
      <c r="F54" s="34">
        <f>负债结构!F42</f>
        <v>30563.177662999999</v>
      </c>
      <c r="G54" s="35">
        <f>负债结构!G42</f>
        <v>1.6361570981322061E-2</v>
      </c>
      <c r="H54" s="34">
        <f>负债结构!H42</f>
        <v>9837.3922980000007</v>
      </c>
      <c r="I54" s="35">
        <f>负债结构!I42</f>
        <v>7.5745306629357058E-3</v>
      </c>
      <c r="J54" s="34">
        <f>负债结构!J42</f>
        <v>9976.1409019999992</v>
      </c>
      <c r="K54" s="35">
        <f>负债结构!K42</f>
        <v>8.6175828263240061E-3</v>
      </c>
      <c r="L54" s="34" t="e">
        <f>ABS(负债结构!#REF!)</f>
        <v>#REF!</v>
      </c>
      <c r="M54" s="35" t="e">
        <f>ABS(负债结构!#REF!)</f>
        <v>#REF!</v>
      </c>
      <c r="N54" s="31" t="e">
        <f>负债结构!#REF!</f>
        <v>#REF!</v>
      </c>
      <c r="O54" s="31" t="e">
        <f>IF(负债结构!#REF!&gt;0,"增长",IF(负债结构!#REF!&lt;0,"下降","保持不变"))</f>
        <v>#REF!</v>
      </c>
      <c r="P54" s="31" t="e">
        <f>IF(负债结构!#REF!&gt;0,"增幅",IF(负债结构!#REF!&lt;0,"降幅","保持不变"))</f>
        <v>#REF!</v>
      </c>
      <c r="Q54" s="34" t="e">
        <f>ABS(负债结构!#REF!)</f>
        <v>#REF!</v>
      </c>
      <c r="R54" s="35" t="e">
        <f>ABS(负债结构!#REF!)</f>
        <v>#REF!</v>
      </c>
      <c r="S54" s="31" t="e">
        <f>负债结构!#REF!</f>
        <v>#REF!</v>
      </c>
      <c r="T54" s="31" t="e">
        <f>IF(负债结构!#REF!&gt;0,"增长",IF(负债结构!#REF!&lt;0,"下降","保持不变"))</f>
        <v>#REF!</v>
      </c>
      <c r="U54" s="31" t="e">
        <f>IF(负债结构!#REF!&gt;0,"增幅",IF(负债结构!#REF!&lt;0,"降幅","保持不变"))</f>
        <v>#REF!</v>
      </c>
      <c r="V54" s="34" t="e">
        <f>ABS(负债结构!#REF!)</f>
        <v>#REF!</v>
      </c>
      <c r="W54" s="35" t="e">
        <f>ABS(负债结构!#REF!)</f>
        <v>#REF!</v>
      </c>
      <c r="X54" s="31" t="e">
        <f>ABS(负债结构!#REF!)</f>
        <v>#REF!</v>
      </c>
      <c r="Y54" s="31" t="e">
        <f>IF(负债结构!#REF!&gt;0,"增长",IF(负债结构!#REF!&lt;0,"下降","保持不变"))</f>
        <v>#REF!</v>
      </c>
      <c r="Z54" s="31" t="e">
        <f>IF(负债结构!#REF!&gt;0,"增幅",IF(负债结构!#REF!&lt;0,"降幅","保持不变"))</f>
        <v>#REF!</v>
      </c>
      <c r="AA54" s="24">
        <f t="shared" si="2"/>
        <v>54</v>
      </c>
      <c r="AB54" s="24" t="s">
        <v>1121</v>
      </c>
    </row>
    <row r="55" spans="1:28" x14ac:dyDescent="0.3">
      <c r="A55" s="31" t="str">
        <f>负债结构!A43</f>
        <v>其他非流动负债</v>
      </c>
      <c r="B55" s="34">
        <f>负债结构!B43</f>
        <v>20100</v>
      </c>
      <c r="C55" s="35">
        <f>负债结构!C43</f>
        <v>1.3243315452221124E-2</v>
      </c>
      <c r="D55" s="34">
        <f>负债结构!D43</f>
        <v>20100</v>
      </c>
      <c r="E55" s="35">
        <f>负债结构!E43</f>
        <v>1.3060158276442588E-2</v>
      </c>
      <c r="F55" s="34">
        <f>负债结构!F43</f>
        <v>20100</v>
      </c>
      <c r="G55" s="35">
        <f>负债结构!G43</f>
        <v>1.0760254720591531E-2</v>
      </c>
      <c r="H55" s="34">
        <f>负债结构!H43</f>
        <v>0</v>
      </c>
      <c r="I55" s="35">
        <f>负债结构!I43</f>
        <v>0</v>
      </c>
      <c r="J55" s="34">
        <f>负债结构!J43</f>
        <v>0</v>
      </c>
      <c r="K55" s="35">
        <f>负债结构!K43</f>
        <v>0</v>
      </c>
      <c r="L55" s="34" t="e">
        <f>ABS(负债结构!#REF!)</f>
        <v>#REF!</v>
      </c>
      <c r="M55" s="35" t="e">
        <f>ABS(负债结构!#REF!)</f>
        <v>#REF!</v>
      </c>
      <c r="N55" s="31" t="e">
        <f>负债结构!#REF!</f>
        <v>#REF!</v>
      </c>
      <c r="O55" s="31" t="e">
        <f>IF(负债结构!#REF!&gt;0,"增长",IF(负债结构!#REF!&lt;0,"下降","保持不变"))</f>
        <v>#REF!</v>
      </c>
      <c r="P55" s="31" t="e">
        <f>IF(负债结构!#REF!&gt;0,"增幅",IF(负债结构!#REF!&lt;0,"降幅","保持不变"))</f>
        <v>#REF!</v>
      </c>
      <c r="Q55" s="34" t="e">
        <f>ABS(负债结构!#REF!)</f>
        <v>#REF!</v>
      </c>
      <c r="R55" s="35" t="e">
        <f>ABS(负债结构!#REF!)</f>
        <v>#REF!</v>
      </c>
      <c r="S55" s="31" t="e">
        <f>负债结构!#REF!</f>
        <v>#REF!</v>
      </c>
      <c r="T55" s="31" t="e">
        <f>IF(负债结构!#REF!&gt;0,"增长",IF(负债结构!#REF!&lt;0,"下降","保持不变"))</f>
        <v>#REF!</v>
      </c>
      <c r="U55" s="31" t="e">
        <f>IF(负债结构!#REF!&gt;0,"增幅",IF(负债结构!#REF!&lt;0,"降幅","保持不变"))</f>
        <v>#REF!</v>
      </c>
      <c r="V55" s="34" t="e">
        <f>ABS(负债结构!#REF!)</f>
        <v>#REF!</v>
      </c>
      <c r="W55" s="35" t="e">
        <f>ABS(负债结构!#REF!)</f>
        <v>#REF!</v>
      </c>
      <c r="X55" s="31" t="e">
        <f>ABS(负债结构!#REF!)</f>
        <v>#REF!</v>
      </c>
      <c r="Y55" s="31" t="e">
        <f>IF(负债结构!#REF!&gt;0,"增长",IF(负债结构!#REF!&lt;0,"下降","保持不变"))</f>
        <v>#REF!</v>
      </c>
      <c r="Z55" s="31" t="e">
        <f>IF(负债结构!#REF!&gt;0,"增幅",IF(负债结构!#REF!&lt;0,"降幅","保持不变"))</f>
        <v>#REF!</v>
      </c>
      <c r="AA55" s="24">
        <f t="shared" si="2"/>
        <v>55</v>
      </c>
      <c r="AB55" s="24" t="s">
        <v>1121</v>
      </c>
    </row>
    <row r="56" spans="1:28" x14ac:dyDescent="0.3">
      <c r="A56" s="31" t="str">
        <f>负债结构!A44</f>
        <v>非流动负债合计</v>
      </c>
      <c r="B56" s="34">
        <f>负债结构!B44</f>
        <v>1517746.8265040002</v>
      </c>
      <c r="C56" s="35">
        <f>负债结构!C44</f>
        <v>0.99999999999999989</v>
      </c>
      <c r="D56" s="34">
        <f>负债结构!D44</f>
        <v>1539031.8841890001</v>
      </c>
      <c r="E56" s="35">
        <f>负债结构!E44</f>
        <v>0.99999999999999978</v>
      </c>
      <c r="F56" s="34">
        <f>负债结构!F44</f>
        <v>1867985.51911</v>
      </c>
      <c r="G56" s="35">
        <f>负债结构!G44</f>
        <v>1</v>
      </c>
      <c r="H56" s="34">
        <f>负债结构!H44</f>
        <v>1298746.1185069999</v>
      </c>
      <c r="I56" s="35">
        <f>负债结构!I44</f>
        <v>1</v>
      </c>
      <c r="J56" s="34">
        <f>负债结构!J44</f>
        <v>1157649.552439</v>
      </c>
      <c r="K56" s="35">
        <f>负债结构!K44</f>
        <v>1</v>
      </c>
      <c r="L56" s="34" t="e">
        <f>ABS(负债结构!#REF!)</f>
        <v>#REF!</v>
      </c>
      <c r="M56" s="35" t="e">
        <f>ABS(负债结构!#REF!)</f>
        <v>#REF!</v>
      </c>
      <c r="N56" s="31" t="e">
        <f>负债结构!#REF!</f>
        <v>#REF!</v>
      </c>
      <c r="O56" s="31" t="e">
        <f>IF(负债结构!#REF!&gt;0,"增长",IF(负债结构!#REF!&lt;0,"下降","保持不变"))</f>
        <v>#REF!</v>
      </c>
      <c r="P56" s="31" t="e">
        <f>IF(负债结构!#REF!&gt;0,"增幅",IF(负债结构!#REF!&lt;0,"降幅","保持不变"))</f>
        <v>#REF!</v>
      </c>
      <c r="Q56" s="34" t="e">
        <f>ABS(负债结构!#REF!)</f>
        <v>#REF!</v>
      </c>
      <c r="R56" s="35" t="e">
        <f>ABS(负债结构!#REF!)</f>
        <v>#REF!</v>
      </c>
      <c r="S56" s="31" t="e">
        <f>负债结构!#REF!</f>
        <v>#REF!</v>
      </c>
      <c r="T56" s="31" t="e">
        <f>IF(负债结构!#REF!&gt;0,"增长",IF(负债结构!#REF!&lt;0,"下降","保持不变"))</f>
        <v>#REF!</v>
      </c>
      <c r="U56" s="31" t="e">
        <f>IF(负债结构!#REF!&gt;0,"增幅",IF(负债结构!#REF!&lt;0,"降幅","保持不变"))</f>
        <v>#REF!</v>
      </c>
      <c r="V56" s="34" t="e">
        <f>ABS(负债结构!#REF!)</f>
        <v>#REF!</v>
      </c>
      <c r="W56" s="35" t="e">
        <f>ABS(负债结构!#REF!)</f>
        <v>#REF!</v>
      </c>
      <c r="X56" s="31" t="e">
        <f>ABS(负债结构!#REF!)</f>
        <v>#REF!</v>
      </c>
      <c r="Y56" s="31" t="e">
        <f>IF(负债结构!#REF!&gt;0,"增长",IF(负债结构!#REF!&lt;0,"下降","保持不变"))</f>
        <v>#REF!</v>
      </c>
      <c r="Z56" s="31" t="e">
        <f>IF(负债结构!#REF!&gt;0,"增幅",IF(负债结构!#REF!&lt;0,"降幅","保持不变"))</f>
        <v>#REF!</v>
      </c>
      <c r="AA56" s="24">
        <f t="shared" si="2"/>
        <v>56</v>
      </c>
      <c r="AB56" s="24" t="s">
        <v>1121</v>
      </c>
    </row>
    <row r="57" spans="1:28" x14ac:dyDescent="0.3">
      <c r="A57" s="31" t="e">
        <f>负债结构!#REF!</f>
        <v>#REF!</v>
      </c>
      <c r="B57" s="34" t="e">
        <f>负债结构!#REF!</f>
        <v>#REF!</v>
      </c>
      <c r="C57" s="35" t="e">
        <f>负债结构!#REF!</f>
        <v>#REF!</v>
      </c>
      <c r="D57" s="34" t="e">
        <f>负债结构!#REF!</f>
        <v>#REF!</v>
      </c>
      <c r="E57" s="35" t="e">
        <f>负债结构!#REF!</f>
        <v>#REF!</v>
      </c>
      <c r="F57" s="34" t="e">
        <f>负债结构!#REF!</f>
        <v>#REF!</v>
      </c>
      <c r="G57" s="35" t="e">
        <f>负债结构!#REF!</f>
        <v>#REF!</v>
      </c>
      <c r="H57" s="34" t="e">
        <f>负债结构!#REF!</f>
        <v>#REF!</v>
      </c>
      <c r="I57" s="35" t="e">
        <f>负债结构!#REF!</f>
        <v>#REF!</v>
      </c>
      <c r="J57" s="34" t="e">
        <f>负债结构!#REF!</f>
        <v>#REF!</v>
      </c>
      <c r="K57" s="35" t="e">
        <f>负债结构!#REF!</f>
        <v>#REF!</v>
      </c>
      <c r="L57" s="34" t="e">
        <f>ABS(负债结构!#REF!)</f>
        <v>#REF!</v>
      </c>
      <c r="M57" s="35" t="e">
        <f>ABS(负债结构!#REF!)</f>
        <v>#REF!</v>
      </c>
      <c r="N57" s="31" t="e">
        <f>负债结构!#REF!</f>
        <v>#REF!</v>
      </c>
      <c r="O57" s="31" t="e">
        <f>IF(负债结构!#REF!&gt;0,"增长",IF(负债结构!#REF!&lt;0,"下降","保持不变"))</f>
        <v>#REF!</v>
      </c>
      <c r="P57" s="31" t="e">
        <f>IF(负债结构!#REF!&gt;0,"增幅",IF(负债结构!#REF!&lt;0,"降幅","保持不变"))</f>
        <v>#REF!</v>
      </c>
      <c r="Q57" s="34" t="e">
        <f>ABS(负债结构!#REF!)</f>
        <v>#REF!</v>
      </c>
      <c r="R57" s="35" t="e">
        <f>ABS(负债结构!#REF!)</f>
        <v>#REF!</v>
      </c>
      <c r="S57" s="31" t="e">
        <f>负债结构!#REF!</f>
        <v>#REF!</v>
      </c>
      <c r="T57" s="31" t="e">
        <f>IF(负债结构!#REF!&gt;0,"增长",IF(负债结构!#REF!&lt;0,"下降","保持不变"))</f>
        <v>#REF!</v>
      </c>
      <c r="U57" s="31" t="e">
        <f>IF(负债结构!#REF!&gt;0,"增幅",IF(负债结构!#REF!&lt;0,"降幅","保持不变"))</f>
        <v>#REF!</v>
      </c>
      <c r="V57" s="34" t="e">
        <f>ABS(负债结构!#REF!)</f>
        <v>#REF!</v>
      </c>
      <c r="W57" s="35" t="e">
        <f>ABS(负债结构!#REF!)</f>
        <v>#REF!</v>
      </c>
      <c r="X57" s="31" t="e">
        <f>ABS(负债结构!#REF!)</f>
        <v>#REF!</v>
      </c>
      <c r="Y57" s="31" t="e">
        <f>IF(负债结构!#REF!&gt;0,"增长",IF(负债结构!#REF!&lt;0,"下降","保持不变"))</f>
        <v>#REF!</v>
      </c>
      <c r="Z57" s="31" t="e">
        <f>IF(负债结构!#REF!&gt;0,"增幅",IF(负债结构!#REF!&lt;0,"降幅","保持不变"))</f>
        <v>#REF!</v>
      </c>
      <c r="AA57" s="24">
        <f t="shared" si="2"/>
        <v>57</v>
      </c>
      <c r="AB57" s="24" t="s">
        <v>1121</v>
      </c>
    </row>
    <row r="62" spans="1:28" x14ac:dyDescent="0.3">
      <c r="B62" s="36"/>
    </row>
    <row r="64" spans="1:28" x14ac:dyDescent="0.3">
      <c r="C64" s="25"/>
    </row>
  </sheetData>
  <mergeCells count="9">
    <mergeCell ref="L4:P4"/>
    <mergeCell ref="Q4:U4"/>
    <mergeCell ref="V4:Z4"/>
    <mergeCell ref="A4:A5"/>
    <mergeCell ref="B4:C4"/>
    <mergeCell ref="D4:E4"/>
    <mergeCell ref="F4:G4"/>
    <mergeCell ref="H4:I4"/>
    <mergeCell ref="J4:K4"/>
  </mergeCells>
  <phoneticPr fontId="41" type="noConversion"/>
  <pageMargins left="0.7" right="0.7" top="0.75" bottom="0.75" header="0.3" footer="0.3"/>
  <pageSetup paperSize="9" orientation="portrait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D14"/>
  <sheetViews>
    <sheetView zoomScale="80" zoomScaleNormal="80" workbookViewId="0">
      <selection activeCell="B13" sqref="B13"/>
    </sheetView>
  </sheetViews>
  <sheetFormatPr defaultColWidth="9" defaultRowHeight="19.5" customHeight="1" x14ac:dyDescent="0.3"/>
  <cols>
    <col min="1" max="1" width="20" style="2" customWidth="1"/>
    <col min="2" max="2" width="20.46484375" style="2" customWidth="1"/>
    <col min="3" max="4" width="16.1328125" style="2" customWidth="1"/>
    <col min="5" max="16384" width="9" style="2"/>
  </cols>
  <sheetData>
    <row r="1" spans="1:4" ht="19.5" customHeight="1" x14ac:dyDescent="0.3">
      <c r="A1" s="476" t="s">
        <v>278</v>
      </c>
      <c r="B1" s="476" t="s">
        <v>1134</v>
      </c>
      <c r="C1" s="476"/>
      <c r="D1" s="476"/>
    </row>
    <row r="2" spans="1:4" ht="19.5" customHeight="1" x14ac:dyDescent="0.3">
      <c r="A2" s="476"/>
      <c r="B2" s="17" t="s">
        <v>1135</v>
      </c>
      <c r="C2" s="17" t="s">
        <v>1136</v>
      </c>
      <c r="D2" s="17" t="s">
        <v>1137</v>
      </c>
    </row>
    <row r="3" spans="1:4" ht="19.5" customHeight="1" x14ac:dyDescent="0.3">
      <c r="A3" s="18" t="s">
        <v>35</v>
      </c>
      <c r="B3" s="19">
        <f>'合并-bs'!B22</f>
        <v>4679281.183983</v>
      </c>
      <c r="C3" s="19">
        <f>B3+B14</f>
        <v>4679281.183983</v>
      </c>
      <c r="D3" s="20">
        <f>C3-B3</f>
        <v>0</v>
      </c>
    </row>
    <row r="4" spans="1:4" ht="19.5" customHeight="1" x14ac:dyDescent="0.3">
      <c r="A4" s="18" t="s">
        <v>57</v>
      </c>
      <c r="B4" s="19">
        <f>'合并-bs'!B44</f>
        <v>723154.87358400004</v>
      </c>
      <c r="C4" s="19">
        <f>B4</f>
        <v>723154.87358400004</v>
      </c>
      <c r="D4" s="20">
        <f t="shared" ref="D4:D10" si="0">C4-B4</f>
        <v>0</v>
      </c>
    </row>
    <row r="5" spans="1:4" ht="19.5" customHeight="1" x14ac:dyDescent="0.3">
      <c r="A5" s="18" t="s">
        <v>58</v>
      </c>
      <c r="B5" s="19">
        <f>'合并-bs'!B45</f>
        <v>5402436.0575670004</v>
      </c>
      <c r="C5" s="19">
        <f>C3+C4</f>
        <v>5402436.0575670004</v>
      </c>
      <c r="D5" s="20">
        <f t="shared" si="0"/>
        <v>0</v>
      </c>
    </row>
    <row r="6" spans="1:4" ht="19.5" customHeight="1" x14ac:dyDescent="0.3">
      <c r="A6" s="18" t="s">
        <v>75</v>
      </c>
      <c r="B6" s="19">
        <f>'合并-bs'!B62</f>
        <v>2179313.0892079999</v>
      </c>
      <c r="C6" s="19">
        <f>B6-B13</f>
        <v>2179313.0892079999</v>
      </c>
      <c r="D6" s="20">
        <f t="shared" si="0"/>
        <v>0</v>
      </c>
    </row>
    <row r="7" spans="1:4" ht="19.5" customHeight="1" x14ac:dyDescent="0.3">
      <c r="A7" s="18" t="s">
        <v>86</v>
      </c>
      <c r="B7" s="19">
        <f>'合并-bs'!B73</f>
        <v>1517746.8265040002</v>
      </c>
      <c r="C7" s="19">
        <f>B7+B12</f>
        <v>1517746.8265040002</v>
      </c>
      <c r="D7" s="20">
        <f t="shared" si="0"/>
        <v>0</v>
      </c>
    </row>
    <row r="8" spans="1:4" ht="19.5" customHeight="1" x14ac:dyDescent="0.3">
      <c r="A8" s="18" t="s">
        <v>87</v>
      </c>
      <c r="B8" s="19">
        <f>'合并-bs'!B74</f>
        <v>3697059.9157119999</v>
      </c>
      <c r="C8" s="19">
        <f>C6+C7</f>
        <v>3697059.9157119999</v>
      </c>
      <c r="D8" s="20">
        <f t="shared" si="0"/>
        <v>0</v>
      </c>
    </row>
    <row r="9" spans="1:4" ht="19.5" customHeight="1" x14ac:dyDescent="0.3">
      <c r="A9" s="18" t="s">
        <v>1104</v>
      </c>
      <c r="B9" s="21">
        <f>B8/B5</f>
        <v>0.68433200806396577</v>
      </c>
      <c r="C9" s="21">
        <f>C8/C5</f>
        <v>0.68433200806396577</v>
      </c>
      <c r="D9" s="21">
        <f t="shared" si="0"/>
        <v>0</v>
      </c>
    </row>
    <row r="10" spans="1:4" ht="19.5" customHeight="1" x14ac:dyDescent="0.3">
      <c r="A10" s="18" t="s">
        <v>1098</v>
      </c>
      <c r="B10" s="22">
        <f>B3/B6</f>
        <v>2.1471358141034851</v>
      </c>
      <c r="C10" s="22">
        <f>C3/C6</f>
        <v>2.1471358141034851</v>
      </c>
      <c r="D10" s="20">
        <f t="shared" si="0"/>
        <v>0</v>
      </c>
    </row>
    <row r="12" spans="1:4" ht="19.5" customHeight="1" x14ac:dyDescent="0.3">
      <c r="A12" s="6" t="s">
        <v>1138</v>
      </c>
      <c r="B12" s="23"/>
    </row>
    <row r="13" spans="1:4" ht="19.5" customHeight="1" x14ac:dyDescent="0.3">
      <c r="A13" s="6" t="s">
        <v>1139</v>
      </c>
      <c r="B13" s="23"/>
    </row>
    <row r="14" spans="1:4" ht="19.5" customHeight="1" x14ac:dyDescent="0.3">
      <c r="A14" s="6" t="s">
        <v>1140</v>
      </c>
      <c r="B14" s="23">
        <v>0</v>
      </c>
    </row>
  </sheetData>
  <mergeCells count="2">
    <mergeCell ref="B1:D1"/>
    <mergeCell ref="A1:A2"/>
  </mergeCells>
  <phoneticPr fontId="41" type="noConversion"/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filterMode="1"/>
  <dimension ref="A1:O77"/>
  <sheetViews>
    <sheetView zoomScale="90" zoomScaleNormal="90" workbookViewId="0">
      <selection activeCell="C76" sqref="C76:C77"/>
    </sheetView>
  </sheetViews>
  <sheetFormatPr defaultColWidth="8.6640625" defaultRowHeight="12.75" x14ac:dyDescent="0.3"/>
  <cols>
    <col min="1" max="1" width="5.06640625" style="2" customWidth="1"/>
    <col min="2" max="2" width="11.86328125" style="2" customWidth="1"/>
    <col min="3" max="3" width="26.86328125" style="2" customWidth="1"/>
    <col min="4" max="4" width="9.59765625" style="3" customWidth="1"/>
    <col min="5" max="5" width="17.59765625" style="2" customWidth="1"/>
    <col min="6" max="6" width="9.59765625" style="3" customWidth="1"/>
    <col min="7" max="7" width="8.9296875" style="2" customWidth="1"/>
    <col min="8" max="9" width="9" style="2" customWidth="1"/>
    <col min="10" max="10" width="12.46484375" style="2" customWidth="1"/>
    <col min="11" max="13" width="12.6640625" style="2" customWidth="1"/>
    <col min="14" max="14" width="8.6640625" style="2"/>
    <col min="15" max="15" width="11.19921875" style="2" customWidth="1"/>
    <col min="16" max="16384" width="8.6640625" style="2"/>
  </cols>
  <sheetData>
    <row r="1" spans="1:15" x14ac:dyDescent="0.3">
      <c r="A1" s="4" t="s">
        <v>1141</v>
      </c>
      <c r="B1" s="4" t="s">
        <v>1142</v>
      </c>
      <c r="C1" s="4" t="s">
        <v>1143</v>
      </c>
      <c r="D1" s="5" t="s">
        <v>1144</v>
      </c>
      <c r="E1" s="4" t="s">
        <v>1145</v>
      </c>
      <c r="F1" s="5" t="s">
        <v>1146</v>
      </c>
      <c r="G1" s="4" t="s">
        <v>1147</v>
      </c>
      <c r="H1" s="4" t="s">
        <v>292</v>
      </c>
      <c r="I1" s="4" t="s">
        <v>1148</v>
      </c>
      <c r="J1" s="4" t="s">
        <v>1149</v>
      </c>
      <c r="K1" s="1" t="s">
        <v>1150</v>
      </c>
      <c r="L1" s="1"/>
      <c r="M1" s="1"/>
      <c r="N1" s="2" t="s">
        <v>1151</v>
      </c>
      <c r="O1" s="3">
        <v>45199</v>
      </c>
    </row>
    <row r="2" spans="1:15" ht="13.15" x14ac:dyDescent="0.3">
      <c r="A2" s="6">
        <v>1</v>
      </c>
      <c r="B2" s="6" t="s">
        <v>1152</v>
      </c>
      <c r="C2" s="7" t="e">
        <f ca="1">[1]!b_info_name(B2)</f>
        <v>#NAME?</v>
      </c>
      <c r="D2" s="8" t="e">
        <f ca="1">[1]!b_issue_firstissue(B2)</f>
        <v>#NAME?</v>
      </c>
      <c r="E2" s="7" t="e">
        <f ca="1">[1]!b_info_repurchasedate(B2)</f>
        <v>#NAME?</v>
      </c>
      <c r="F2" s="8" t="e">
        <f ca="1">[1]!b_info_maturitydate(B2)</f>
        <v>#NAME?</v>
      </c>
      <c r="G2" s="7" t="e">
        <f ca="1">[1]!b_info_term2(B2)</f>
        <v>#NAME?</v>
      </c>
      <c r="H2" s="9" t="e">
        <f ca="1">[1]!b_issue_amountact(B2,1)</f>
        <v>#NAME?</v>
      </c>
      <c r="I2" s="9" t="e">
        <f ca="1">[1]!b_info_couponrate(B2)</f>
        <v>#NAME?</v>
      </c>
      <c r="J2" s="9" t="e">
        <f ca="1">[1]!b_info_outstandingbalance(B2,$O$1)</f>
        <v>#NAME?</v>
      </c>
      <c r="K2" s="9" t="e">
        <f ca="1">[1]!b_info_outstandingbalance(B2,$O$4)</f>
        <v>#NAME?</v>
      </c>
      <c r="L2" s="9" t="e">
        <f ca="1">K2-J2</f>
        <v>#NAME?</v>
      </c>
      <c r="O2" s="3"/>
    </row>
    <row r="3" spans="1:15" ht="13.15" x14ac:dyDescent="0.3">
      <c r="A3" s="6">
        <v>2</v>
      </c>
      <c r="B3" s="6" t="s">
        <v>1153</v>
      </c>
      <c r="C3" s="7" t="e">
        <f ca="1">[1]!b_info_name(B3)</f>
        <v>#NAME?</v>
      </c>
      <c r="D3" s="8" t="e">
        <f ca="1">[1]!b_issue_firstissue(B3)</f>
        <v>#NAME?</v>
      </c>
      <c r="E3" s="7" t="e">
        <f ca="1">[1]!b_info_repurchasedate(B3)</f>
        <v>#NAME?</v>
      </c>
      <c r="F3" s="8" t="e">
        <f ca="1">[1]!b_info_maturitydate(B3)</f>
        <v>#NAME?</v>
      </c>
      <c r="G3" s="7" t="e">
        <f ca="1">[1]!b_info_term2(B3)</f>
        <v>#NAME?</v>
      </c>
      <c r="H3" s="9" t="e">
        <f ca="1">[1]!b_issue_amountact(B3,1)</f>
        <v>#NAME?</v>
      </c>
      <c r="I3" s="9" t="e">
        <f ca="1">[1]!b_info_couponrate(B3)</f>
        <v>#NAME?</v>
      </c>
      <c r="J3" s="9" t="e">
        <f ca="1">[1]!b_info_outstandingbalance(B3,$O$1)</f>
        <v>#NAME?</v>
      </c>
      <c r="K3" s="9" t="e">
        <f ca="1">[1]!b_info_outstandingbalance(B3,$O$4)</f>
        <v>#NAME?</v>
      </c>
      <c r="L3" s="9" t="e">
        <f ca="1">K3-J3</f>
        <v>#NAME?</v>
      </c>
      <c r="O3" s="3"/>
    </row>
    <row r="4" spans="1:15" ht="13.15" x14ac:dyDescent="0.3">
      <c r="A4" s="6">
        <v>3</v>
      </c>
      <c r="B4" s="7" t="s">
        <v>1154</v>
      </c>
      <c r="C4" s="7" t="e">
        <f ca="1">[1]!b_info_name(B4)</f>
        <v>#NAME?</v>
      </c>
      <c r="D4" s="8" t="e">
        <f ca="1">[1]!b_issue_firstissue(B4)</f>
        <v>#NAME?</v>
      </c>
      <c r="E4" s="7" t="e">
        <f ca="1">[1]!b_info_repurchasedate(B4)</f>
        <v>#NAME?</v>
      </c>
      <c r="F4" s="8" t="e">
        <f ca="1">[1]!b_info_maturitydate(B4)</f>
        <v>#NAME?</v>
      </c>
      <c r="G4" s="7" t="e">
        <f ca="1">[1]!b_info_term2(B4)</f>
        <v>#NAME?</v>
      </c>
      <c r="H4" s="9" t="e">
        <f ca="1">[1]!b_issue_amountact(B4,1)</f>
        <v>#NAME?</v>
      </c>
      <c r="I4" s="9" t="e">
        <f ca="1">[1]!b_info_couponrate(B4)</f>
        <v>#NAME?</v>
      </c>
      <c r="J4" s="9" t="e">
        <f ca="1">[1]!b_info_outstandingbalance(B4,$O$1)</f>
        <v>#NAME?</v>
      </c>
      <c r="K4" s="9" t="e">
        <f ca="1">[1]!b_info_outstandingbalance(B4,$O$4)</f>
        <v>#NAME?</v>
      </c>
      <c r="L4" s="9" t="e">
        <f ca="1">K4-J4</f>
        <v>#NAME?</v>
      </c>
      <c r="M4" s="9"/>
      <c r="N4" s="2" t="s">
        <v>1155</v>
      </c>
      <c r="O4" s="3">
        <v>44197</v>
      </c>
    </row>
    <row r="5" spans="1:15" ht="13.15" x14ac:dyDescent="0.3">
      <c r="A5" s="6">
        <v>4</v>
      </c>
      <c r="B5" s="7" t="s">
        <v>1156</v>
      </c>
      <c r="C5" s="7" t="e">
        <f ca="1">[1]!b_info_name(B5)</f>
        <v>#NAME?</v>
      </c>
      <c r="D5" s="8" t="e">
        <f ca="1">[1]!b_issue_firstissue(B5)</f>
        <v>#NAME?</v>
      </c>
      <c r="E5" s="7" t="e">
        <f ca="1">[1]!b_info_repurchasedate(B5)</f>
        <v>#NAME?</v>
      </c>
      <c r="F5" s="8" t="e">
        <f ca="1">[1]!b_info_maturitydate(B5)</f>
        <v>#NAME?</v>
      </c>
      <c r="G5" s="7" t="e">
        <f ca="1">[1]!b_info_term2(B5)</f>
        <v>#NAME?</v>
      </c>
      <c r="H5" s="9" t="e">
        <f ca="1">[1]!b_issue_amountact(B5,1)</f>
        <v>#NAME?</v>
      </c>
      <c r="I5" s="9" t="e">
        <f ca="1">[1]!b_info_couponrate(B5)</f>
        <v>#NAME?</v>
      </c>
      <c r="J5" s="9" t="e">
        <f ca="1">[1]!b_info_outstandingbalance(B5,$O$1)</f>
        <v>#NAME?</v>
      </c>
      <c r="K5" s="9" t="e">
        <f ca="1">[1]!b_info_outstandingbalance(B5,$O$4)</f>
        <v>#NAME?</v>
      </c>
      <c r="L5" s="9" t="e">
        <f t="shared" ref="L5:L70" ca="1" si="0">K5-J5</f>
        <v>#NAME?</v>
      </c>
    </row>
    <row r="6" spans="1:15" ht="13.15" hidden="1" x14ac:dyDescent="0.3">
      <c r="A6" s="6">
        <v>5</v>
      </c>
      <c r="B6" s="7" t="s">
        <v>1157</v>
      </c>
      <c r="C6" s="7" t="e">
        <f ca="1">[1]!b_info_name(B6)</f>
        <v>#NAME?</v>
      </c>
      <c r="D6" s="8" t="e">
        <f ca="1">[1]!b_issue_firstissue(B6)</f>
        <v>#NAME?</v>
      </c>
      <c r="E6" s="7" t="e">
        <f ca="1">[1]!b_info_repurchasedate(B6)</f>
        <v>#NAME?</v>
      </c>
      <c r="F6" s="8" t="e">
        <f ca="1">[1]!b_info_maturitydate(B6)</f>
        <v>#NAME?</v>
      </c>
      <c r="G6" s="7" t="e">
        <f ca="1">[1]!b_info_term2(B6)</f>
        <v>#NAME?</v>
      </c>
      <c r="H6" s="9" t="e">
        <f ca="1">[1]!b_issue_amountact(B6,1)</f>
        <v>#NAME?</v>
      </c>
      <c r="I6" s="9" t="e">
        <f ca="1">[1]!b_info_couponrate(B6)</f>
        <v>#NAME?</v>
      </c>
      <c r="J6" s="9" t="e">
        <f ca="1">[1]!b_info_outstandingbalance(B6,$O$1)</f>
        <v>#NAME?</v>
      </c>
      <c r="K6" s="9" t="e">
        <f ca="1">[1]!b_info_outstandingbalance(B6,$O$4)</f>
        <v>#NAME?</v>
      </c>
      <c r="L6" s="9" t="e">
        <f t="shared" ca="1" si="0"/>
        <v>#NAME?</v>
      </c>
    </row>
    <row r="7" spans="1:15" ht="13.15" x14ac:dyDescent="0.3">
      <c r="A7" s="6">
        <v>6</v>
      </c>
      <c r="B7" s="7" t="s">
        <v>1158</v>
      </c>
      <c r="C7" s="7" t="e">
        <f ca="1">[1]!b_info_name(B7)</f>
        <v>#NAME?</v>
      </c>
      <c r="D7" s="8" t="e">
        <f ca="1">[1]!b_issue_firstissue(B7)</f>
        <v>#NAME?</v>
      </c>
      <c r="E7" s="7" t="e">
        <f ca="1">[1]!b_info_repurchasedate(B7)</f>
        <v>#NAME?</v>
      </c>
      <c r="F7" s="8" t="e">
        <f ca="1">[1]!b_info_maturitydate(B7)</f>
        <v>#NAME?</v>
      </c>
      <c r="G7" s="7" t="e">
        <f ca="1">[1]!b_info_term2(B7)</f>
        <v>#NAME?</v>
      </c>
      <c r="H7" s="9" t="e">
        <f ca="1">[1]!b_issue_amountact(B7,1)</f>
        <v>#NAME?</v>
      </c>
      <c r="I7" s="9" t="e">
        <f ca="1">[1]!b_info_couponrate(B7)</f>
        <v>#NAME?</v>
      </c>
      <c r="J7" s="9" t="e">
        <f ca="1">[1]!b_info_outstandingbalance(B7,$O$1)</f>
        <v>#NAME?</v>
      </c>
      <c r="K7" s="9" t="e">
        <f ca="1">[1]!b_info_outstandingbalance(B7,$O$4)</f>
        <v>#NAME?</v>
      </c>
      <c r="L7" s="9" t="e">
        <f t="shared" ca="1" si="0"/>
        <v>#NAME?</v>
      </c>
    </row>
    <row r="8" spans="1:15" ht="13.15" x14ac:dyDescent="0.3">
      <c r="A8" s="6">
        <v>7</v>
      </c>
      <c r="B8" s="7" t="s">
        <v>1159</v>
      </c>
      <c r="C8" s="7" t="e">
        <f ca="1">[1]!b_info_name(B8)</f>
        <v>#NAME?</v>
      </c>
      <c r="D8" s="8" t="e">
        <f ca="1">[1]!b_issue_firstissue(B8)</f>
        <v>#NAME?</v>
      </c>
      <c r="E8" s="7" t="e">
        <f ca="1">[1]!b_info_repurchasedate(B8)</f>
        <v>#NAME?</v>
      </c>
      <c r="F8" s="8" t="e">
        <f ca="1">[1]!b_info_maturitydate(B8)</f>
        <v>#NAME?</v>
      </c>
      <c r="G8" s="7" t="e">
        <f ca="1">[1]!b_info_term2(B8)</f>
        <v>#NAME?</v>
      </c>
      <c r="H8" s="9" t="e">
        <f ca="1">[1]!b_issue_amountact(B8,1)</f>
        <v>#NAME?</v>
      </c>
      <c r="I8" s="9" t="e">
        <f ca="1">[1]!b_info_couponrate(B8)</f>
        <v>#NAME?</v>
      </c>
      <c r="J8" s="9" t="e">
        <f ca="1">[1]!b_info_outstandingbalance(B8,$O$1)</f>
        <v>#NAME?</v>
      </c>
      <c r="K8" s="9" t="e">
        <f ca="1">[1]!b_info_outstandingbalance(B8,$O$4)</f>
        <v>#NAME?</v>
      </c>
      <c r="L8" s="9" t="e">
        <f t="shared" ca="1" si="0"/>
        <v>#NAME?</v>
      </c>
    </row>
    <row r="9" spans="1:15" ht="13.15" hidden="1" x14ac:dyDescent="0.3">
      <c r="A9" s="6">
        <v>8</v>
      </c>
      <c r="B9" s="7" t="s">
        <v>1160</v>
      </c>
      <c r="C9" s="7" t="e">
        <f ca="1">[1]!b_info_name(B9)</f>
        <v>#NAME?</v>
      </c>
      <c r="D9" s="8" t="e">
        <f ca="1">[1]!b_issue_firstissue(B9)</f>
        <v>#NAME?</v>
      </c>
      <c r="E9" s="7" t="e">
        <f ca="1">[1]!b_info_repurchasedate(B9)</f>
        <v>#NAME?</v>
      </c>
      <c r="F9" s="8" t="e">
        <f ca="1">[1]!b_info_maturitydate(B9)</f>
        <v>#NAME?</v>
      </c>
      <c r="G9" s="7" t="e">
        <f ca="1">[1]!b_info_term2(B9)</f>
        <v>#NAME?</v>
      </c>
      <c r="H9" s="9" t="e">
        <f ca="1">[1]!b_issue_amountact(B9,1)</f>
        <v>#NAME?</v>
      </c>
      <c r="I9" s="9" t="e">
        <f ca="1">[1]!b_info_couponrate(B9)</f>
        <v>#NAME?</v>
      </c>
      <c r="J9" s="9" t="e">
        <f ca="1">[1]!b_info_outstandingbalance(B9,$O$1)</f>
        <v>#NAME?</v>
      </c>
      <c r="K9" s="9" t="e">
        <f ca="1">[1]!b_info_outstandingbalance(B9,$O$4)</f>
        <v>#NAME?</v>
      </c>
      <c r="L9" s="9" t="e">
        <f t="shared" ca="1" si="0"/>
        <v>#NAME?</v>
      </c>
    </row>
    <row r="10" spans="1:15" ht="13.15" hidden="1" x14ac:dyDescent="0.3">
      <c r="A10" s="6">
        <v>9</v>
      </c>
      <c r="B10" s="7" t="s">
        <v>1161</v>
      </c>
      <c r="C10" s="7" t="e">
        <f ca="1">[1]!b_info_name(B10)</f>
        <v>#NAME?</v>
      </c>
      <c r="D10" s="8" t="e">
        <f ca="1">[1]!b_issue_firstissue(B10)</f>
        <v>#NAME?</v>
      </c>
      <c r="E10" s="7" t="e">
        <f ca="1">[1]!b_info_repurchasedate(B10)</f>
        <v>#NAME?</v>
      </c>
      <c r="F10" s="8" t="e">
        <f ca="1">[1]!b_info_maturitydate(B10)</f>
        <v>#NAME?</v>
      </c>
      <c r="G10" s="7" t="e">
        <f ca="1">[1]!b_info_term2(B10)</f>
        <v>#NAME?</v>
      </c>
      <c r="H10" s="9" t="e">
        <f ca="1">[1]!b_issue_amountact(B10,1)</f>
        <v>#NAME?</v>
      </c>
      <c r="I10" s="9" t="e">
        <f ca="1">[1]!b_info_couponrate(B10)</f>
        <v>#NAME?</v>
      </c>
      <c r="J10" s="9" t="e">
        <f ca="1">[1]!b_info_outstandingbalance(B10,$O$1)</f>
        <v>#NAME?</v>
      </c>
      <c r="K10" s="9" t="e">
        <f ca="1">[1]!b_info_outstandingbalance(B10,$O$4)</f>
        <v>#NAME?</v>
      </c>
      <c r="L10" s="9" t="e">
        <f t="shared" ca="1" si="0"/>
        <v>#NAME?</v>
      </c>
    </row>
    <row r="11" spans="1:15" ht="13.15" x14ac:dyDescent="0.3">
      <c r="A11" s="6">
        <v>10</v>
      </c>
      <c r="B11" s="7" t="s">
        <v>1162</v>
      </c>
      <c r="C11" s="7" t="e">
        <f ca="1">[1]!b_info_name(B11)</f>
        <v>#NAME?</v>
      </c>
      <c r="D11" s="8" t="e">
        <f ca="1">[1]!b_issue_firstissue(B11)</f>
        <v>#NAME?</v>
      </c>
      <c r="E11" s="7" t="e">
        <f ca="1">[1]!b_info_repurchasedate(B11)</f>
        <v>#NAME?</v>
      </c>
      <c r="F11" s="8" t="e">
        <f ca="1">[1]!b_info_maturitydate(B11)</f>
        <v>#NAME?</v>
      </c>
      <c r="G11" s="7" t="e">
        <f ca="1">[1]!b_info_term2(B11)</f>
        <v>#NAME?</v>
      </c>
      <c r="H11" s="9" t="e">
        <f ca="1">[1]!b_issue_amountact(B11,1)</f>
        <v>#NAME?</v>
      </c>
      <c r="I11" s="9" t="e">
        <f ca="1">[1]!b_info_couponrate(B11)</f>
        <v>#NAME?</v>
      </c>
      <c r="J11" s="9" t="e">
        <f ca="1">[1]!b_info_outstandingbalance(B11,$O$1)</f>
        <v>#NAME?</v>
      </c>
      <c r="K11" s="9" t="e">
        <f ca="1">[1]!b_info_outstandingbalance(B11,$O$4)</f>
        <v>#NAME?</v>
      </c>
      <c r="L11" s="9" t="e">
        <f t="shared" ca="1" si="0"/>
        <v>#NAME?</v>
      </c>
    </row>
    <row r="12" spans="1:15" ht="13.15" x14ac:dyDescent="0.3">
      <c r="A12" s="6">
        <v>11</v>
      </c>
      <c r="B12" s="7" t="s">
        <v>1163</v>
      </c>
      <c r="C12" s="7" t="e">
        <f ca="1">[1]!b_info_name(B12)</f>
        <v>#NAME?</v>
      </c>
      <c r="D12" s="8" t="e">
        <f ca="1">[1]!b_issue_firstissue(B12)</f>
        <v>#NAME?</v>
      </c>
      <c r="E12" s="7" t="e">
        <f ca="1">[1]!b_info_repurchasedate(B12)</f>
        <v>#NAME?</v>
      </c>
      <c r="F12" s="8" t="e">
        <f ca="1">[1]!b_info_maturitydate(B12)</f>
        <v>#NAME?</v>
      </c>
      <c r="G12" s="7" t="e">
        <f ca="1">[1]!b_info_term2(B12)</f>
        <v>#NAME?</v>
      </c>
      <c r="H12" s="9" t="e">
        <f ca="1">[1]!b_issue_amountact(B12,1)</f>
        <v>#NAME?</v>
      </c>
      <c r="I12" s="9" t="e">
        <f ca="1">[1]!b_info_couponrate(B12)</f>
        <v>#NAME?</v>
      </c>
      <c r="J12" s="9" t="e">
        <f ca="1">[1]!b_info_outstandingbalance(B12,$O$1)</f>
        <v>#NAME?</v>
      </c>
      <c r="K12" s="9" t="e">
        <f ca="1">[1]!b_info_outstandingbalance(B12,$O$4)</f>
        <v>#NAME?</v>
      </c>
      <c r="L12" s="9" t="e">
        <f t="shared" ca="1" si="0"/>
        <v>#NAME?</v>
      </c>
    </row>
    <row r="13" spans="1:15" ht="13.15" x14ac:dyDescent="0.3">
      <c r="A13" s="6">
        <v>12</v>
      </c>
      <c r="B13" s="7" t="s">
        <v>1164</v>
      </c>
      <c r="C13" s="7" t="e">
        <f ca="1">[1]!b_info_name(B13)</f>
        <v>#NAME?</v>
      </c>
      <c r="D13" s="8" t="e">
        <f ca="1">[1]!b_issue_firstissue(B13)</f>
        <v>#NAME?</v>
      </c>
      <c r="E13" s="7" t="e">
        <f ca="1">[1]!b_info_repurchasedate(B13)</f>
        <v>#NAME?</v>
      </c>
      <c r="F13" s="8" t="e">
        <f ca="1">[1]!b_info_maturitydate(B13)</f>
        <v>#NAME?</v>
      </c>
      <c r="G13" s="7" t="e">
        <f ca="1">[1]!b_info_term2(B13)</f>
        <v>#NAME?</v>
      </c>
      <c r="H13" s="9" t="e">
        <f ca="1">[1]!b_issue_amountact(B13,1)</f>
        <v>#NAME?</v>
      </c>
      <c r="I13" s="9" t="e">
        <f ca="1">[1]!b_info_couponrate(B13)</f>
        <v>#NAME?</v>
      </c>
      <c r="J13" s="9" t="e">
        <f ca="1">[1]!b_info_outstandingbalance(B13,$O$1)</f>
        <v>#NAME?</v>
      </c>
      <c r="K13" s="9" t="e">
        <f ca="1">[1]!b_info_outstandingbalance(B13,$O$4)</f>
        <v>#NAME?</v>
      </c>
      <c r="L13" s="9" t="e">
        <f t="shared" ca="1" si="0"/>
        <v>#NAME?</v>
      </c>
    </row>
    <row r="14" spans="1:15" ht="13.15" hidden="1" x14ac:dyDescent="0.3">
      <c r="A14" s="6">
        <v>13</v>
      </c>
      <c r="B14" s="7" t="s">
        <v>1165</v>
      </c>
      <c r="C14" s="7" t="e">
        <f ca="1">[1]!b_info_name(B14)</f>
        <v>#NAME?</v>
      </c>
      <c r="D14" s="8" t="e">
        <f ca="1">[1]!b_issue_firstissue(B14)</f>
        <v>#NAME?</v>
      </c>
      <c r="E14" s="7" t="e">
        <f ca="1">[1]!b_info_repurchasedate(B14)</f>
        <v>#NAME?</v>
      </c>
      <c r="F14" s="8" t="e">
        <f ca="1">[1]!b_info_maturitydate(B14)</f>
        <v>#NAME?</v>
      </c>
      <c r="G14" s="7" t="e">
        <f ca="1">[1]!b_info_term2(B14)</f>
        <v>#NAME?</v>
      </c>
      <c r="H14" s="9" t="e">
        <f ca="1">[1]!b_issue_amountact(B14,1)</f>
        <v>#NAME?</v>
      </c>
      <c r="I14" s="9" t="e">
        <f ca="1">[1]!b_info_couponrate(B14)</f>
        <v>#NAME?</v>
      </c>
      <c r="J14" s="9" t="e">
        <f ca="1">[1]!b_info_outstandingbalance(B14,$O$1)</f>
        <v>#NAME?</v>
      </c>
      <c r="K14" s="9" t="e">
        <f ca="1">[1]!b_info_outstandingbalance(B14,$O$4)</f>
        <v>#NAME?</v>
      </c>
      <c r="L14" s="9" t="e">
        <f t="shared" ca="1" si="0"/>
        <v>#NAME?</v>
      </c>
    </row>
    <row r="15" spans="1:15" ht="13.15" hidden="1" x14ac:dyDescent="0.3">
      <c r="A15" s="6">
        <v>14</v>
      </c>
      <c r="B15" s="7" t="s">
        <v>1166</v>
      </c>
      <c r="C15" s="7" t="e">
        <f ca="1">[1]!b_info_name(B15)</f>
        <v>#NAME?</v>
      </c>
      <c r="D15" s="8" t="e">
        <f ca="1">[1]!b_issue_firstissue(B15)</f>
        <v>#NAME?</v>
      </c>
      <c r="E15" s="7" t="e">
        <f ca="1">[1]!b_info_repurchasedate(B15)</f>
        <v>#NAME?</v>
      </c>
      <c r="F15" s="8" t="e">
        <f ca="1">[1]!b_info_maturitydate(B15)</f>
        <v>#NAME?</v>
      </c>
      <c r="G15" s="7" t="e">
        <f ca="1">[1]!b_info_term2(B15)</f>
        <v>#NAME?</v>
      </c>
      <c r="H15" s="9" t="e">
        <f ca="1">[1]!b_issue_amountact(B15,1)</f>
        <v>#NAME?</v>
      </c>
      <c r="I15" s="9" t="e">
        <f ca="1">[1]!b_info_couponrate(B15)</f>
        <v>#NAME?</v>
      </c>
      <c r="J15" s="9" t="e">
        <f ca="1">[1]!b_info_outstandingbalance(B15,$O$1)</f>
        <v>#NAME?</v>
      </c>
      <c r="K15" s="9" t="e">
        <f ca="1">[1]!b_info_outstandingbalance(B15,$O$4)</f>
        <v>#NAME?</v>
      </c>
      <c r="L15" s="9" t="e">
        <f t="shared" ca="1" si="0"/>
        <v>#NAME?</v>
      </c>
    </row>
    <row r="16" spans="1:15" ht="13.15" hidden="1" x14ac:dyDescent="0.3">
      <c r="A16" s="6">
        <v>15</v>
      </c>
      <c r="B16" s="7" t="s">
        <v>1167</v>
      </c>
      <c r="C16" s="7" t="e">
        <f ca="1">[1]!b_info_name(B16)</f>
        <v>#NAME?</v>
      </c>
      <c r="D16" s="8" t="e">
        <f ca="1">[1]!b_issue_firstissue(B16)</f>
        <v>#NAME?</v>
      </c>
      <c r="E16" s="7" t="e">
        <f ca="1">[1]!b_info_repurchasedate(B16)</f>
        <v>#NAME?</v>
      </c>
      <c r="F16" s="8" t="e">
        <f ca="1">[1]!b_info_maturitydate(B16)</f>
        <v>#NAME?</v>
      </c>
      <c r="G16" s="7" t="e">
        <f ca="1">[1]!b_info_term2(B16)</f>
        <v>#NAME?</v>
      </c>
      <c r="H16" s="9" t="e">
        <f ca="1">[1]!b_issue_amountact(B16,1)</f>
        <v>#NAME?</v>
      </c>
      <c r="I16" s="9" t="e">
        <f ca="1">[1]!b_info_couponrate(B16)</f>
        <v>#NAME?</v>
      </c>
      <c r="J16" s="9" t="e">
        <f ca="1">[1]!b_info_outstandingbalance(B16,$O$1)</f>
        <v>#NAME?</v>
      </c>
      <c r="K16" s="9" t="e">
        <f ca="1">[1]!b_info_outstandingbalance(B16,$O$4)</f>
        <v>#NAME?</v>
      </c>
      <c r="L16" s="9" t="e">
        <f t="shared" ca="1" si="0"/>
        <v>#NAME?</v>
      </c>
    </row>
    <row r="17" spans="1:12" ht="13.15" x14ac:dyDescent="0.3">
      <c r="A17" s="6">
        <v>16</v>
      </c>
      <c r="B17" s="7" t="s">
        <v>1168</v>
      </c>
      <c r="C17" s="7" t="e">
        <f ca="1">[1]!b_info_name(B17)</f>
        <v>#NAME?</v>
      </c>
      <c r="D17" s="8" t="e">
        <f ca="1">[1]!b_issue_firstissue(B17)</f>
        <v>#NAME?</v>
      </c>
      <c r="E17" s="7" t="e">
        <f ca="1">[1]!b_info_repurchasedate(B17)</f>
        <v>#NAME?</v>
      </c>
      <c r="F17" s="8" t="e">
        <f ca="1">[1]!b_info_maturitydate(B17)</f>
        <v>#NAME?</v>
      </c>
      <c r="G17" s="7" t="e">
        <f ca="1">[1]!b_info_term2(B17)</f>
        <v>#NAME?</v>
      </c>
      <c r="H17" s="9" t="e">
        <f ca="1">[1]!b_issue_amountact(B17,1)</f>
        <v>#NAME?</v>
      </c>
      <c r="I17" s="9" t="e">
        <f ca="1">[1]!b_info_couponrate(B17)</f>
        <v>#NAME?</v>
      </c>
      <c r="J17" s="9" t="e">
        <f ca="1">[1]!b_info_outstandingbalance(B17,$O$1)</f>
        <v>#NAME?</v>
      </c>
      <c r="K17" s="9" t="e">
        <f ca="1">[1]!b_info_outstandingbalance(B17,$O$4)</f>
        <v>#NAME?</v>
      </c>
      <c r="L17" s="9" t="e">
        <f t="shared" ca="1" si="0"/>
        <v>#NAME?</v>
      </c>
    </row>
    <row r="18" spans="1:12" ht="13.15" x14ac:dyDescent="0.3">
      <c r="A18" s="6">
        <v>17</v>
      </c>
      <c r="B18" s="7" t="s">
        <v>1169</v>
      </c>
      <c r="C18" s="7" t="e">
        <f ca="1">[1]!b_info_name(B18)</f>
        <v>#NAME?</v>
      </c>
      <c r="D18" s="8" t="e">
        <f ca="1">[1]!b_issue_firstissue(B18)</f>
        <v>#NAME?</v>
      </c>
      <c r="E18" s="7" t="e">
        <f ca="1">[1]!b_info_repurchasedate(B18)</f>
        <v>#NAME?</v>
      </c>
      <c r="F18" s="8" t="e">
        <f ca="1">[1]!b_info_maturitydate(B18)</f>
        <v>#NAME?</v>
      </c>
      <c r="G18" s="7" t="e">
        <f ca="1">[1]!b_info_term2(B18)</f>
        <v>#NAME?</v>
      </c>
      <c r="H18" s="9" t="e">
        <f ca="1">[1]!b_issue_amountact(B18,1)</f>
        <v>#NAME?</v>
      </c>
      <c r="I18" s="9" t="e">
        <f ca="1">[1]!b_info_couponrate(B18)</f>
        <v>#NAME?</v>
      </c>
      <c r="J18" s="9" t="e">
        <f ca="1">[1]!b_info_outstandingbalance(B18,$O$1)</f>
        <v>#NAME?</v>
      </c>
      <c r="K18" s="9" t="e">
        <f ca="1">[1]!b_info_outstandingbalance(B18,$O$4)</f>
        <v>#NAME?</v>
      </c>
      <c r="L18" s="9" t="e">
        <f t="shared" ca="1" si="0"/>
        <v>#NAME?</v>
      </c>
    </row>
    <row r="19" spans="1:12" ht="13.15" hidden="1" x14ac:dyDescent="0.3">
      <c r="A19" s="6">
        <v>18</v>
      </c>
      <c r="B19" s="7" t="s">
        <v>1170</v>
      </c>
      <c r="C19" s="7" t="e">
        <f ca="1">[1]!b_info_name(B19)</f>
        <v>#NAME?</v>
      </c>
      <c r="D19" s="8" t="e">
        <f ca="1">[1]!b_issue_firstissue(B19)</f>
        <v>#NAME?</v>
      </c>
      <c r="E19" s="7" t="e">
        <f ca="1">[1]!b_info_repurchasedate(B19)</f>
        <v>#NAME?</v>
      </c>
      <c r="F19" s="8" t="e">
        <f ca="1">[1]!b_info_maturitydate(B19)</f>
        <v>#NAME?</v>
      </c>
      <c r="G19" s="7" t="e">
        <f ca="1">[1]!b_info_term2(B19)</f>
        <v>#NAME?</v>
      </c>
      <c r="H19" s="9" t="e">
        <f ca="1">[1]!b_issue_amountact(B19,1)</f>
        <v>#NAME?</v>
      </c>
      <c r="I19" s="9" t="e">
        <f ca="1">[1]!b_info_couponrate(B19)</f>
        <v>#NAME?</v>
      </c>
      <c r="J19" s="9" t="e">
        <f ca="1">[1]!b_info_outstandingbalance(B19,$O$1)</f>
        <v>#NAME?</v>
      </c>
      <c r="K19" s="9" t="e">
        <f ca="1">[1]!b_info_outstandingbalance(B19,$O$4)</f>
        <v>#NAME?</v>
      </c>
      <c r="L19" s="9" t="e">
        <f t="shared" ca="1" si="0"/>
        <v>#NAME?</v>
      </c>
    </row>
    <row r="20" spans="1:12" ht="13.15" hidden="1" x14ac:dyDescent="0.3">
      <c r="A20" s="6">
        <v>19</v>
      </c>
      <c r="B20" s="7" t="s">
        <v>1171</v>
      </c>
      <c r="C20" s="7" t="e">
        <f ca="1">[1]!b_info_name(B20)</f>
        <v>#NAME?</v>
      </c>
      <c r="D20" s="8" t="e">
        <f ca="1">[1]!b_issue_firstissue(B20)</f>
        <v>#NAME?</v>
      </c>
      <c r="E20" s="7" t="e">
        <f ca="1">[1]!b_info_repurchasedate(B20)</f>
        <v>#NAME?</v>
      </c>
      <c r="F20" s="8" t="e">
        <f ca="1">[1]!b_info_maturitydate(B20)</f>
        <v>#NAME?</v>
      </c>
      <c r="G20" s="7" t="e">
        <f ca="1">[1]!b_info_term2(B20)</f>
        <v>#NAME?</v>
      </c>
      <c r="H20" s="9" t="e">
        <f ca="1">[1]!b_issue_amountact(B20,1)</f>
        <v>#NAME?</v>
      </c>
      <c r="I20" s="9" t="e">
        <f ca="1">[1]!b_info_couponrate(B20)</f>
        <v>#NAME?</v>
      </c>
      <c r="J20" s="9" t="e">
        <f ca="1">[1]!b_info_outstandingbalance(B20,$O$1)</f>
        <v>#NAME?</v>
      </c>
      <c r="K20" s="9" t="e">
        <f ca="1">[1]!b_info_outstandingbalance(B20,$O$4)</f>
        <v>#NAME?</v>
      </c>
      <c r="L20" s="9" t="e">
        <f t="shared" ca="1" si="0"/>
        <v>#NAME?</v>
      </c>
    </row>
    <row r="21" spans="1:12" ht="13.15" hidden="1" x14ac:dyDescent="0.3">
      <c r="A21" s="6">
        <v>20</v>
      </c>
      <c r="B21" s="7" t="s">
        <v>1172</v>
      </c>
      <c r="C21" s="7" t="e">
        <f ca="1">[1]!b_info_name(B21)</f>
        <v>#NAME?</v>
      </c>
      <c r="D21" s="8" t="e">
        <f ca="1">[1]!b_issue_firstissue(B21)</f>
        <v>#NAME?</v>
      </c>
      <c r="E21" s="7" t="e">
        <f ca="1">[1]!b_info_repurchasedate(B21)</f>
        <v>#NAME?</v>
      </c>
      <c r="F21" s="8" t="e">
        <f ca="1">[1]!b_info_maturitydate(B21)</f>
        <v>#NAME?</v>
      </c>
      <c r="G21" s="7" t="e">
        <f ca="1">[1]!b_info_term2(B21)</f>
        <v>#NAME?</v>
      </c>
      <c r="H21" s="9" t="e">
        <f ca="1">[1]!b_issue_amountact(B21,1)</f>
        <v>#NAME?</v>
      </c>
      <c r="I21" s="9" t="e">
        <f ca="1">[1]!b_info_couponrate(B21)</f>
        <v>#NAME?</v>
      </c>
      <c r="J21" s="9" t="e">
        <f ca="1">[1]!b_info_outstandingbalance(B21,$O$1)</f>
        <v>#NAME?</v>
      </c>
      <c r="K21" s="9" t="e">
        <f ca="1">[1]!b_info_outstandingbalance(B21,$O$4)</f>
        <v>#NAME?</v>
      </c>
      <c r="L21" s="9" t="e">
        <f t="shared" ca="1" si="0"/>
        <v>#NAME?</v>
      </c>
    </row>
    <row r="22" spans="1:12" ht="13.15" hidden="1" x14ac:dyDescent="0.3">
      <c r="A22" s="6">
        <v>21</v>
      </c>
      <c r="B22" s="7" t="s">
        <v>1173</v>
      </c>
      <c r="C22" s="7" t="e">
        <f ca="1">[1]!b_info_name(B22)</f>
        <v>#NAME?</v>
      </c>
      <c r="D22" s="8" t="e">
        <f ca="1">[1]!b_issue_firstissue(B22)</f>
        <v>#NAME?</v>
      </c>
      <c r="E22" s="7" t="e">
        <f ca="1">[1]!b_info_repurchasedate(B22)</f>
        <v>#NAME?</v>
      </c>
      <c r="F22" s="8" t="e">
        <f ca="1">[1]!b_info_maturitydate(B22)</f>
        <v>#NAME?</v>
      </c>
      <c r="G22" s="7" t="e">
        <f ca="1">[1]!b_info_term2(B22)</f>
        <v>#NAME?</v>
      </c>
      <c r="H22" s="9" t="e">
        <f ca="1">[1]!b_issue_amountact(B22,1)</f>
        <v>#NAME?</v>
      </c>
      <c r="I22" s="9" t="e">
        <f ca="1">[1]!b_info_couponrate(B22)</f>
        <v>#NAME?</v>
      </c>
      <c r="J22" s="9" t="e">
        <f ca="1">[1]!b_info_outstandingbalance(B22,$O$1)</f>
        <v>#NAME?</v>
      </c>
      <c r="K22" s="9" t="e">
        <f ca="1">[1]!b_info_outstandingbalance(B22,$O$4)</f>
        <v>#NAME?</v>
      </c>
      <c r="L22" s="9" t="e">
        <f t="shared" ca="1" si="0"/>
        <v>#NAME?</v>
      </c>
    </row>
    <row r="23" spans="1:12" ht="13.15" hidden="1" x14ac:dyDescent="0.3">
      <c r="A23" s="6">
        <v>22</v>
      </c>
      <c r="B23" s="7" t="s">
        <v>1174</v>
      </c>
      <c r="C23" s="7" t="e">
        <f ca="1">[1]!b_info_name(B23)</f>
        <v>#NAME?</v>
      </c>
      <c r="D23" s="8" t="e">
        <f ca="1">[1]!b_issue_firstissue(B23)</f>
        <v>#NAME?</v>
      </c>
      <c r="E23" s="7" t="e">
        <f ca="1">[1]!b_info_repurchasedate(B23)</f>
        <v>#NAME?</v>
      </c>
      <c r="F23" s="8" t="e">
        <f ca="1">[1]!b_info_maturitydate(B23)</f>
        <v>#NAME?</v>
      </c>
      <c r="G23" s="7" t="e">
        <f ca="1">[1]!b_info_term2(B23)</f>
        <v>#NAME?</v>
      </c>
      <c r="H23" s="9" t="e">
        <f ca="1">[1]!b_issue_amountact(B23,1)</f>
        <v>#NAME?</v>
      </c>
      <c r="I23" s="9" t="e">
        <f ca="1">[1]!b_info_couponrate(B23)</f>
        <v>#NAME?</v>
      </c>
      <c r="J23" s="9" t="e">
        <f ca="1">[1]!b_info_outstandingbalance(B23,$O$1)</f>
        <v>#NAME?</v>
      </c>
      <c r="K23" s="9" t="e">
        <f ca="1">[1]!b_info_outstandingbalance(B23,$O$4)</f>
        <v>#NAME?</v>
      </c>
      <c r="L23" s="9" t="e">
        <f t="shared" ca="1" si="0"/>
        <v>#NAME?</v>
      </c>
    </row>
    <row r="24" spans="1:12" ht="13.15" hidden="1" x14ac:dyDescent="0.3">
      <c r="A24" s="6">
        <v>23</v>
      </c>
      <c r="B24" s="7" t="s">
        <v>1175</v>
      </c>
      <c r="C24" s="7" t="e">
        <f ca="1">[1]!b_info_name(B24)</f>
        <v>#NAME?</v>
      </c>
      <c r="D24" s="8" t="e">
        <f ca="1">[1]!b_issue_firstissue(B24)</f>
        <v>#NAME?</v>
      </c>
      <c r="E24" s="7" t="e">
        <f ca="1">[1]!b_info_repurchasedate(B24)</f>
        <v>#NAME?</v>
      </c>
      <c r="F24" s="8" t="e">
        <f ca="1">[1]!b_info_maturitydate(B24)</f>
        <v>#NAME?</v>
      </c>
      <c r="G24" s="7" t="e">
        <f ca="1">[1]!b_info_term2(B24)</f>
        <v>#NAME?</v>
      </c>
      <c r="H24" s="9" t="e">
        <f ca="1">[1]!b_issue_amountact(B24,1)</f>
        <v>#NAME?</v>
      </c>
      <c r="I24" s="9" t="e">
        <f ca="1">[1]!b_info_couponrate(B24)</f>
        <v>#NAME?</v>
      </c>
      <c r="J24" s="9" t="e">
        <f ca="1">[1]!b_info_outstandingbalance(B24,$O$1)</f>
        <v>#NAME?</v>
      </c>
      <c r="K24" s="9" t="e">
        <f ca="1">[1]!b_info_outstandingbalance(B24,$O$4)</f>
        <v>#NAME?</v>
      </c>
      <c r="L24" s="9" t="e">
        <f t="shared" ca="1" si="0"/>
        <v>#NAME?</v>
      </c>
    </row>
    <row r="25" spans="1:12" s="1" customFormat="1" ht="13.15" x14ac:dyDescent="0.3">
      <c r="A25" s="477" t="s">
        <v>1006</v>
      </c>
      <c r="B25" s="477"/>
      <c r="C25" s="7"/>
      <c r="D25" s="8"/>
      <c r="E25" s="7"/>
      <c r="F25" s="8"/>
      <c r="G25" s="7"/>
      <c r="H25" s="10" t="e">
        <f ca="1">SUBTOTAL(9,H2:H24)</f>
        <v>#NAME?</v>
      </c>
      <c r="I25" s="10"/>
      <c r="J25" s="10" t="e">
        <f t="shared" ref="J25:K25" ca="1" si="1">SUBTOTAL(9,J2:J24)</f>
        <v>#NAME?</v>
      </c>
      <c r="K25" s="10" t="e">
        <f t="shared" ca="1" si="1"/>
        <v>#NAME?</v>
      </c>
      <c r="L25" s="9"/>
    </row>
    <row r="26" spans="1:12" ht="13.15" x14ac:dyDescent="0.3">
      <c r="A26" s="6">
        <v>1</v>
      </c>
      <c r="B26" s="6" t="s">
        <v>1176</v>
      </c>
      <c r="C26" s="7" t="e">
        <f ca="1">[1]!b_info_name(B26)</f>
        <v>#NAME?</v>
      </c>
      <c r="D26" s="8" t="e">
        <f ca="1">[1]!b_issue_firstissue(B26)</f>
        <v>#NAME?</v>
      </c>
      <c r="E26" s="7" t="e">
        <f ca="1">[1]!b_info_repurchasedate(B26)</f>
        <v>#NAME?</v>
      </c>
      <c r="F26" s="8" t="e">
        <f ca="1">[1]!b_info_maturitydate(B26)</f>
        <v>#NAME?</v>
      </c>
      <c r="G26" s="7" t="e">
        <f ca="1">[1]!b_info_term2(B26)</f>
        <v>#NAME?</v>
      </c>
      <c r="H26" s="9" t="e">
        <f ca="1">[1]!b_issue_amountact(B26,1)</f>
        <v>#NAME?</v>
      </c>
      <c r="I26" s="9" t="e">
        <f ca="1">[1]!b_info_couponrate(B26)</f>
        <v>#NAME?</v>
      </c>
      <c r="J26" s="9" t="e">
        <f ca="1">[1]!b_info_outstandingbalance(B26,$O$1)</f>
        <v>#NAME?</v>
      </c>
      <c r="K26" s="9" t="e">
        <f ca="1">[1]!b_info_outstandingbalance(B26,$O$4)</f>
        <v>#NAME?</v>
      </c>
      <c r="L26" s="9" t="e">
        <f t="shared" ref="L26" ca="1" si="2">K26-J26</f>
        <v>#NAME?</v>
      </c>
    </row>
    <row r="27" spans="1:12" ht="13.15" x14ac:dyDescent="0.3">
      <c r="A27" s="6">
        <v>2</v>
      </c>
      <c r="B27" s="6" t="s">
        <v>1177</v>
      </c>
      <c r="C27" s="7" t="e">
        <f ca="1">[1]!b_info_name(B27)</f>
        <v>#NAME?</v>
      </c>
      <c r="D27" s="8" t="e">
        <f ca="1">[1]!b_issue_firstissue(B27)</f>
        <v>#NAME?</v>
      </c>
      <c r="E27" s="7" t="e">
        <f ca="1">[1]!b_info_repurchasedate(B27)</f>
        <v>#NAME?</v>
      </c>
      <c r="F27" s="8" t="e">
        <f ca="1">[1]!b_info_maturitydate(B27)</f>
        <v>#NAME?</v>
      </c>
      <c r="G27" s="7" t="e">
        <f ca="1">[1]!b_info_term2(B27)</f>
        <v>#NAME?</v>
      </c>
      <c r="H27" s="9" t="e">
        <f ca="1">[1]!b_issue_amountact(B27,1)</f>
        <v>#NAME?</v>
      </c>
      <c r="I27" s="9" t="e">
        <f ca="1">[1]!b_info_couponrate(B27)</f>
        <v>#NAME?</v>
      </c>
      <c r="J27" s="9" t="e">
        <f ca="1">[1]!b_info_outstandingbalance(B27,$O$1)</f>
        <v>#NAME?</v>
      </c>
      <c r="K27" s="9" t="e">
        <f ca="1">[1]!b_info_outstandingbalance(B27,$O$4)</f>
        <v>#NAME?</v>
      </c>
      <c r="L27" s="9" t="e">
        <f t="shared" ref="L27" ca="1" si="3">K27-J27</f>
        <v>#NAME?</v>
      </c>
    </row>
    <row r="28" spans="1:12" ht="13.15" x14ac:dyDescent="0.3">
      <c r="A28" s="6">
        <v>3</v>
      </c>
      <c r="B28" s="7" t="s">
        <v>1178</v>
      </c>
      <c r="C28" s="7" t="e">
        <f ca="1">[1]!b_info_name(B28)</f>
        <v>#NAME?</v>
      </c>
      <c r="D28" s="8" t="e">
        <f ca="1">[1]!b_issue_firstissue(B28)</f>
        <v>#NAME?</v>
      </c>
      <c r="E28" s="7" t="e">
        <f ca="1">[1]!b_info_repurchasedate(B28)</f>
        <v>#NAME?</v>
      </c>
      <c r="F28" s="8" t="e">
        <f ca="1">[1]!b_info_maturitydate(B28)</f>
        <v>#NAME?</v>
      </c>
      <c r="G28" s="7" t="e">
        <f ca="1">[1]!b_info_term2(B28)</f>
        <v>#NAME?</v>
      </c>
      <c r="H28" s="9" t="e">
        <f ca="1">[1]!b_issue_amountact(B28,1)</f>
        <v>#NAME?</v>
      </c>
      <c r="I28" s="9" t="e">
        <f ca="1">[1]!b_info_couponrate(B28)</f>
        <v>#NAME?</v>
      </c>
      <c r="J28" s="9" t="e">
        <f ca="1">[1]!b_info_outstandingbalance(B28,$O$1)</f>
        <v>#NAME?</v>
      </c>
      <c r="K28" s="9" t="e">
        <f ca="1">[1]!b_info_outstandingbalance(B28,$O$4)</f>
        <v>#NAME?</v>
      </c>
      <c r="L28" s="9" t="e">
        <f t="shared" ca="1" si="0"/>
        <v>#NAME?</v>
      </c>
    </row>
    <row r="29" spans="1:12" ht="13.15" x14ac:dyDescent="0.3">
      <c r="A29" s="6">
        <v>4</v>
      </c>
      <c r="B29" s="7" t="s">
        <v>1179</v>
      </c>
      <c r="C29" s="7" t="e">
        <f ca="1">[1]!b_info_name(B29)</f>
        <v>#NAME?</v>
      </c>
      <c r="D29" s="8" t="e">
        <f ca="1">[1]!b_issue_firstissue(B29)</f>
        <v>#NAME?</v>
      </c>
      <c r="E29" s="7" t="e">
        <f ca="1">[1]!b_info_repurchasedate(B29)</f>
        <v>#NAME?</v>
      </c>
      <c r="F29" s="8" t="e">
        <f ca="1">[1]!b_info_maturitydate(B29)</f>
        <v>#NAME?</v>
      </c>
      <c r="G29" s="7" t="e">
        <f ca="1">[1]!b_info_term2(B29)</f>
        <v>#NAME?</v>
      </c>
      <c r="H29" s="9" t="e">
        <f ca="1">[1]!b_issue_amountact(B29,1)</f>
        <v>#NAME?</v>
      </c>
      <c r="I29" s="9" t="e">
        <f ca="1">[1]!b_info_couponrate(B29)</f>
        <v>#NAME?</v>
      </c>
      <c r="J29" s="9" t="e">
        <f ca="1">[1]!b_info_outstandingbalance(B29,$O$1)</f>
        <v>#NAME?</v>
      </c>
      <c r="K29" s="9" t="e">
        <f ca="1">[1]!b_info_outstandingbalance(B29,$O$4)</f>
        <v>#NAME?</v>
      </c>
      <c r="L29" s="9" t="e">
        <f t="shared" ca="1" si="0"/>
        <v>#NAME?</v>
      </c>
    </row>
    <row r="30" spans="1:12" ht="13.15" x14ac:dyDescent="0.3">
      <c r="A30" s="6">
        <v>5</v>
      </c>
      <c r="B30" s="7" t="s">
        <v>1180</v>
      </c>
      <c r="C30" s="7" t="e">
        <f ca="1">[1]!b_info_name(B30)</f>
        <v>#NAME?</v>
      </c>
      <c r="D30" s="8" t="e">
        <f ca="1">[1]!b_issue_firstissue(B30)</f>
        <v>#NAME?</v>
      </c>
      <c r="E30" s="7" t="e">
        <f ca="1">[1]!b_info_repurchasedate(B30)</f>
        <v>#NAME?</v>
      </c>
      <c r="F30" s="8" t="e">
        <f ca="1">[1]!b_info_maturitydate(B30)</f>
        <v>#NAME?</v>
      </c>
      <c r="G30" s="7" t="e">
        <f ca="1">[1]!b_info_term2(B30)</f>
        <v>#NAME?</v>
      </c>
      <c r="H30" s="9" t="e">
        <f ca="1">[1]!b_issue_amountact(B30,1)</f>
        <v>#NAME?</v>
      </c>
      <c r="I30" s="9" t="e">
        <f ca="1">[1]!b_info_couponrate(B30)</f>
        <v>#NAME?</v>
      </c>
      <c r="J30" s="9" t="e">
        <f ca="1">[1]!b_info_outstandingbalance(B30,$O$1)</f>
        <v>#NAME?</v>
      </c>
      <c r="K30" s="9" t="e">
        <f ca="1">[1]!b_info_outstandingbalance(B30,$O$4)</f>
        <v>#NAME?</v>
      </c>
      <c r="L30" s="9" t="e">
        <f t="shared" ca="1" si="0"/>
        <v>#NAME?</v>
      </c>
    </row>
    <row r="31" spans="1:12" ht="13.15" hidden="1" x14ac:dyDescent="0.3">
      <c r="A31" s="6">
        <v>6</v>
      </c>
      <c r="B31" s="7" t="s">
        <v>1181</v>
      </c>
      <c r="C31" s="7" t="e">
        <f ca="1">[1]!b_info_name(B31)</f>
        <v>#NAME?</v>
      </c>
      <c r="D31" s="8" t="e">
        <f ca="1">[1]!b_issue_firstissue(B31)</f>
        <v>#NAME?</v>
      </c>
      <c r="E31" s="7" t="e">
        <f ca="1">[1]!b_info_repurchasedate(B31)</f>
        <v>#NAME?</v>
      </c>
      <c r="F31" s="8" t="e">
        <f ca="1">[1]!b_info_maturitydate(B31)</f>
        <v>#NAME?</v>
      </c>
      <c r="G31" s="7" t="e">
        <f ca="1">[1]!b_info_term2(B31)</f>
        <v>#NAME?</v>
      </c>
      <c r="H31" s="9" t="e">
        <f ca="1">[1]!b_issue_amountact(B31,1)</f>
        <v>#NAME?</v>
      </c>
      <c r="I31" s="9" t="e">
        <f ca="1">[1]!b_info_couponrate(B31)</f>
        <v>#NAME?</v>
      </c>
      <c r="J31" s="9" t="e">
        <f ca="1">[1]!b_info_outstandingbalance(B31,$O$1)</f>
        <v>#NAME?</v>
      </c>
      <c r="K31" s="9" t="e">
        <f ca="1">[1]!b_info_outstandingbalance(B31,$O$4)</f>
        <v>#NAME?</v>
      </c>
      <c r="L31" s="9" t="e">
        <f t="shared" ca="1" si="0"/>
        <v>#NAME?</v>
      </c>
    </row>
    <row r="32" spans="1:12" ht="13.15" hidden="1" x14ac:dyDescent="0.3">
      <c r="A32" s="6">
        <v>7</v>
      </c>
      <c r="B32" s="7" t="s">
        <v>1182</v>
      </c>
      <c r="C32" s="7" t="e">
        <f ca="1">[1]!b_info_name(B32)</f>
        <v>#NAME?</v>
      </c>
      <c r="D32" s="8" t="e">
        <f ca="1">[1]!b_issue_firstissue(B32)</f>
        <v>#NAME?</v>
      </c>
      <c r="E32" s="7" t="e">
        <f ca="1">[1]!b_info_repurchasedate(B32)</f>
        <v>#NAME?</v>
      </c>
      <c r="F32" s="8" t="e">
        <f ca="1">[1]!b_info_maturitydate(B32)</f>
        <v>#NAME?</v>
      </c>
      <c r="G32" s="7" t="e">
        <f ca="1">[1]!b_info_term2(B32)</f>
        <v>#NAME?</v>
      </c>
      <c r="H32" s="9" t="e">
        <f ca="1">[1]!b_issue_amountact(B32,1)</f>
        <v>#NAME?</v>
      </c>
      <c r="I32" s="9" t="e">
        <f ca="1">[1]!b_info_couponrate(B32)</f>
        <v>#NAME?</v>
      </c>
      <c r="J32" s="9" t="e">
        <f ca="1">[1]!b_info_outstandingbalance(B32,$O$1)</f>
        <v>#NAME?</v>
      </c>
      <c r="K32" s="9" t="e">
        <f ca="1">[1]!b_info_outstandingbalance(B32,$O$4)</f>
        <v>#NAME?</v>
      </c>
      <c r="L32" s="9" t="e">
        <f t="shared" ca="1" si="0"/>
        <v>#NAME?</v>
      </c>
    </row>
    <row r="33" spans="1:12" ht="13.15" x14ac:dyDescent="0.3">
      <c r="A33" s="6">
        <v>8</v>
      </c>
      <c r="B33" s="7" t="s">
        <v>1183</v>
      </c>
      <c r="C33" s="7" t="e">
        <f ca="1">[1]!b_info_name(B33)</f>
        <v>#NAME?</v>
      </c>
      <c r="D33" s="8" t="e">
        <f ca="1">[1]!b_issue_firstissue(B33)</f>
        <v>#NAME?</v>
      </c>
      <c r="E33" s="7" t="e">
        <f ca="1">[1]!b_info_repurchasedate(B33)</f>
        <v>#NAME?</v>
      </c>
      <c r="F33" s="8" t="e">
        <f ca="1">[1]!b_info_maturitydate(B33)</f>
        <v>#NAME?</v>
      </c>
      <c r="G33" s="7" t="e">
        <f ca="1">[1]!b_info_term2(B33)</f>
        <v>#NAME?</v>
      </c>
      <c r="H33" s="9" t="e">
        <f ca="1">[1]!b_issue_amountact(B33,1)</f>
        <v>#NAME?</v>
      </c>
      <c r="I33" s="9" t="e">
        <f ca="1">[1]!b_info_couponrate(B33)</f>
        <v>#NAME?</v>
      </c>
      <c r="J33" s="9" t="e">
        <f ca="1">[1]!b_info_outstandingbalance(B33,$O$1)</f>
        <v>#NAME?</v>
      </c>
      <c r="K33" s="9" t="e">
        <f ca="1">[1]!b_info_outstandingbalance(B33,$O$4)</f>
        <v>#NAME?</v>
      </c>
      <c r="L33" s="9" t="e">
        <f t="shared" ca="1" si="0"/>
        <v>#NAME?</v>
      </c>
    </row>
    <row r="34" spans="1:12" ht="13.15" hidden="1" x14ac:dyDescent="0.3">
      <c r="A34" s="6">
        <v>9</v>
      </c>
      <c r="B34" s="7" t="s">
        <v>1184</v>
      </c>
      <c r="C34" s="7" t="e">
        <f ca="1">[1]!b_info_name(B34)</f>
        <v>#NAME?</v>
      </c>
      <c r="D34" s="8" t="e">
        <f ca="1">[1]!b_issue_firstissue(B34)</f>
        <v>#NAME?</v>
      </c>
      <c r="E34" s="7" t="e">
        <f ca="1">[1]!b_info_repurchasedate(B34)</f>
        <v>#NAME?</v>
      </c>
      <c r="F34" s="8" t="e">
        <f ca="1">[1]!b_info_maturitydate(B34)</f>
        <v>#NAME?</v>
      </c>
      <c r="G34" s="7" t="e">
        <f ca="1">[1]!b_info_term2(B34)</f>
        <v>#NAME?</v>
      </c>
      <c r="H34" s="9" t="e">
        <f ca="1">[1]!b_issue_amountact(B34,1)</f>
        <v>#NAME?</v>
      </c>
      <c r="I34" s="9" t="e">
        <f ca="1">[1]!b_info_couponrate(B34)</f>
        <v>#NAME?</v>
      </c>
      <c r="J34" s="9" t="e">
        <f ca="1">[1]!b_info_outstandingbalance(B34,$O$1)</f>
        <v>#NAME?</v>
      </c>
      <c r="K34" s="9" t="e">
        <f ca="1">[1]!b_info_outstandingbalance(B34,$O$4)</f>
        <v>#NAME?</v>
      </c>
      <c r="L34" s="9" t="e">
        <f t="shared" ca="1" si="0"/>
        <v>#NAME?</v>
      </c>
    </row>
    <row r="35" spans="1:12" ht="13.15" x14ac:dyDescent="0.3">
      <c r="A35" s="6">
        <v>10</v>
      </c>
      <c r="B35" s="7" t="s">
        <v>1185</v>
      </c>
      <c r="C35" s="7" t="e">
        <f ca="1">[1]!b_info_name(B35)</f>
        <v>#NAME?</v>
      </c>
      <c r="D35" s="8" t="e">
        <f ca="1">[1]!b_issue_firstissue(B35)</f>
        <v>#NAME?</v>
      </c>
      <c r="E35" s="7" t="e">
        <f ca="1">[1]!b_info_repurchasedate(B35)</f>
        <v>#NAME?</v>
      </c>
      <c r="F35" s="8" t="e">
        <f ca="1">[1]!b_info_maturitydate(B35)</f>
        <v>#NAME?</v>
      </c>
      <c r="G35" s="7" t="e">
        <f ca="1">[1]!b_info_term2(B35)</f>
        <v>#NAME?</v>
      </c>
      <c r="H35" s="9" t="e">
        <f ca="1">[1]!b_issue_amountact(B35,1)</f>
        <v>#NAME?</v>
      </c>
      <c r="I35" s="9" t="e">
        <f ca="1">[1]!b_info_couponrate(B35)</f>
        <v>#NAME?</v>
      </c>
      <c r="J35" s="9" t="e">
        <f ca="1">[1]!b_info_outstandingbalance(B35,$O$1)</f>
        <v>#NAME?</v>
      </c>
      <c r="K35" s="9" t="e">
        <f ca="1">[1]!b_info_outstandingbalance(B35,$O$4)</f>
        <v>#NAME?</v>
      </c>
      <c r="L35" s="9" t="e">
        <f t="shared" ca="1" si="0"/>
        <v>#NAME?</v>
      </c>
    </row>
    <row r="36" spans="1:12" ht="13.15" hidden="1" x14ac:dyDescent="0.3">
      <c r="A36" s="6">
        <v>11</v>
      </c>
      <c r="B36" s="7" t="s">
        <v>1186</v>
      </c>
      <c r="C36" s="7" t="e">
        <f ca="1">[1]!b_info_name(B36)</f>
        <v>#NAME?</v>
      </c>
      <c r="D36" s="8" t="e">
        <f ca="1">[1]!b_issue_firstissue(B36)</f>
        <v>#NAME?</v>
      </c>
      <c r="E36" s="7" t="e">
        <f ca="1">[1]!b_info_repurchasedate(B36)</f>
        <v>#NAME?</v>
      </c>
      <c r="F36" s="8" t="e">
        <f ca="1">[1]!b_info_maturitydate(B36)</f>
        <v>#NAME?</v>
      </c>
      <c r="G36" s="7" t="e">
        <f ca="1">[1]!b_info_term2(B36)</f>
        <v>#NAME?</v>
      </c>
      <c r="H36" s="9" t="e">
        <f ca="1">[1]!b_issue_amountact(B36,1)</f>
        <v>#NAME?</v>
      </c>
      <c r="I36" s="9" t="e">
        <f ca="1">[1]!b_info_couponrate(B36)</f>
        <v>#NAME?</v>
      </c>
      <c r="J36" s="9" t="e">
        <f ca="1">[1]!b_info_outstandingbalance(B36,$O$1)</f>
        <v>#NAME?</v>
      </c>
      <c r="K36" s="9" t="e">
        <f ca="1">[1]!b_info_outstandingbalance(B36,$O$4)</f>
        <v>#NAME?</v>
      </c>
      <c r="L36" s="9" t="e">
        <f t="shared" ca="1" si="0"/>
        <v>#NAME?</v>
      </c>
    </row>
    <row r="37" spans="1:12" ht="13.15" x14ac:dyDescent="0.3">
      <c r="A37" s="6">
        <v>12</v>
      </c>
      <c r="B37" s="7" t="s">
        <v>1187</v>
      </c>
      <c r="C37" s="7" t="e">
        <f ca="1">[1]!b_info_name(B37)</f>
        <v>#NAME?</v>
      </c>
      <c r="D37" s="8" t="e">
        <f ca="1">[1]!b_issue_firstissue(B37)</f>
        <v>#NAME?</v>
      </c>
      <c r="E37" s="7" t="e">
        <f ca="1">[1]!b_info_repurchasedate(B37)</f>
        <v>#NAME?</v>
      </c>
      <c r="F37" s="8" t="e">
        <f ca="1">[1]!b_info_maturitydate(B37)</f>
        <v>#NAME?</v>
      </c>
      <c r="G37" s="7" t="e">
        <f ca="1">[1]!b_info_term2(B37)</f>
        <v>#NAME?</v>
      </c>
      <c r="H37" s="9" t="e">
        <f ca="1">[1]!b_issue_amountact(B37,1)</f>
        <v>#NAME?</v>
      </c>
      <c r="I37" s="9" t="e">
        <f ca="1">[1]!b_info_couponrate(B37)</f>
        <v>#NAME?</v>
      </c>
      <c r="J37" s="9" t="e">
        <f ca="1">[1]!b_info_outstandingbalance(B37,$O$1)</f>
        <v>#NAME?</v>
      </c>
      <c r="K37" s="9" t="e">
        <f ca="1">[1]!b_info_outstandingbalance(B37,$O$4)</f>
        <v>#NAME?</v>
      </c>
      <c r="L37" s="9" t="e">
        <f t="shared" ca="1" si="0"/>
        <v>#NAME?</v>
      </c>
    </row>
    <row r="38" spans="1:12" ht="13.15" x14ac:dyDescent="0.3">
      <c r="A38" s="6">
        <v>13</v>
      </c>
      <c r="B38" s="7" t="s">
        <v>1188</v>
      </c>
      <c r="C38" s="7" t="e">
        <f ca="1">[1]!b_info_name(B38)</f>
        <v>#NAME?</v>
      </c>
      <c r="D38" s="8" t="e">
        <f ca="1">[1]!b_issue_firstissue(B38)</f>
        <v>#NAME?</v>
      </c>
      <c r="E38" s="7" t="e">
        <f ca="1">[1]!b_info_repurchasedate(B38)</f>
        <v>#NAME?</v>
      </c>
      <c r="F38" s="8" t="e">
        <f ca="1">[1]!b_info_maturitydate(B38)</f>
        <v>#NAME?</v>
      </c>
      <c r="G38" s="7" t="e">
        <f ca="1">[1]!b_info_term2(B38)</f>
        <v>#NAME?</v>
      </c>
      <c r="H38" s="9" t="e">
        <f ca="1">[1]!b_issue_amountact(B38,1)</f>
        <v>#NAME?</v>
      </c>
      <c r="I38" s="9" t="e">
        <f ca="1">[1]!b_info_couponrate(B38)</f>
        <v>#NAME?</v>
      </c>
      <c r="J38" s="9" t="e">
        <f ca="1">[1]!b_info_outstandingbalance(B38,$O$1)</f>
        <v>#NAME?</v>
      </c>
      <c r="K38" s="9" t="e">
        <f ca="1">[1]!b_info_outstandingbalance(B38,$O$4)</f>
        <v>#NAME?</v>
      </c>
      <c r="L38" s="9" t="e">
        <f t="shared" ca="1" si="0"/>
        <v>#NAME?</v>
      </c>
    </row>
    <row r="39" spans="1:12" ht="13.15" x14ac:dyDescent="0.3">
      <c r="A39" s="6">
        <v>14</v>
      </c>
      <c r="B39" s="7" t="s">
        <v>1189</v>
      </c>
      <c r="C39" s="7" t="e">
        <f ca="1">[1]!b_info_name(B39)</f>
        <v>#NAME?</v>
      </c>
      <c r="D39" s="8" t="e">
        <f ca="1">[1]!b_issue_firstissue(B39)</f>
        <v>#NAME?</v>
      </c>
      <c r="E39" s="7" t="e">
        <f ca="1">[1]!b_info_repurchasedate(B39)</f>
        <v>#NAME?</v>
      </c>
      <c r="F39" s="8" t="e">
        <f ca="1">[1]!b_info_maturitydate(B39)</f>
        <v>#NAME?</v>
      </c>
      <c r="G39" s="7" t="e">
        <f ca="1">[1]!b_info_term2(B39)</f>
        <v>#NAME?</v>
      </c>
      <c r="H39" s="9" t="e">
        <f ca="1">[1]!b_issue_amountact(B39,1)</f>
        <v>#NAME?</v>
      </c>
      <c r="I39" s="9" t="e">
        <f ca="1">[1]!b_info_couponrate(B39)</f>
        <v>#NAME?</v>
      </c>
      <c r="J39" s="9" t="e">
        <f ca="1">[1]!b_info_outstandingbalance(B39,$O$1)</f>
        <v>#NAME?</v>
      </c>
      <c r="K39" s="9" t="e">
        <f ca="1">[1]!b_info_outstandingbalance(B39,$O$4)</f>
        <v>#NAME?</v>
      </c>
      <c r="L39" s="9" t="e">
        <f t="shared" ca="1" si="0"/>
        <v>#NAME?</v>
      </c>
    </row>
    <row r="40" spans="1:12" ht="13.15" x14ac:dyDescent="0.3">
      <c r="A40" s="6">
        <v>15</v>
      </c>
      <c r="B40" s="7" t="s">
        <v>1190</v>
      </c>
      <c r="C40" s="7" t="e">
        <f ca="1">[1]!b_info_name(B40)</f>
        <v>#NAME?</v>
      </c>
      <c r="D40" s="8" t="e">
        <f ca="1">[1]!b_issue_firstissue(B40)</f>
        <v>#NAME?</v>
      </c>
      <c r="E40" s="7" t="e">
        <f ca="1">[1]!b_info_repurchasedate(B40)</f>
        <v>#NAME?</v>
      </c>
      <c r="F40" s="8" t="e">
        <f ca="1">[1]!b_info_maturitydate(B40)</f>
        <v>#NAME?</v>
      </c>
      <c r="G40" s="7" t="e">
        <f ca="1">[1]!b_info_term2(B40)</f>
        <v>#NAME?</v>
      </c>
      <c r="H40" s="9" t="e">
        <f ca="1">[1]!b_issue_amountact(B40,1)</f>
        <v>#NAME?</v>
      </c>
      <c r="I40" s="9" t="e">
        <f ca="1">[1]!b_info_couponrate(B40)</f>
        <v>#NAME?</v>
      </c>
      <c r="J40" s="9" t="e">
        <f ca="1">[1]!b_info_outstandingbalance(B40,$O$1)</f>
        <v>#NAME?</v>
      </c>
      <c r="K40" s="9" t="e">
        <f ca="1">[1]!b_info_outstandingbalance(B40,$O$4)</f>
        <v>#NAME?</v>
      </c>
      <c r="L40" s="9" t="e">
        <f t="shared" ca="1" si="0"/>
        <v>#NAME?</v>
      </c>
    </row>
    <row r="41" spans="1:12" ht="13.15" hidden="1" x14ac:dyDescent="0.3">
      <c r="A41" s="6">
        <v>16</v>
      </c>
      <c r="B41" s="7" t="s">
        <v>1191</v>
      </c>
      <c r="C41" s="7" t="e">
        <f ca="1">[1]!b_info_name(B41)</f>
        <v>#NAME?</v>
      </c>
      <c r="D41" s="8" t="e">
        <f ca="1">[1]!b_issue_firstissue(B41)</f>
        <v>#NAME?</v>
      </c>
      <c r="E41" s="7" t="e">
        <f ca="1">[1]!b_info_repurchasedate(B41)</f>
        <v>#NAME?</v>
      </c>
      <c r="F41" s="8" t="e">
        <f ca="1">[1]!b_info_maturitydate(B41)</f>
        <v>#NAME?</v>
      </c>
      <c r="G41" s="7" t="e">
        <f ca="1">[1]!b_info_term2(B41)</f>
        <v>#NAME?</v>
      </c>
      <c r="H41" s="9" t="e">
        <f ca="1">[1]!b_issue_amountact(B41,1)</f>
        <v>#NAME?</v>
      </c>
      <c r="I41" s="9" t="e">
        <f ca="1">[1]!b_info_couponrate(B41)</f>
        <v>#NAME?</v>
      </c>
      <c r="J41" s="9" t="e">
        <f ca="1">[1]!b_info_outstandingbalance(B41,$O$1)</f>
        <v>#NAME?</v>
      </c>
      <c r="K41" s="9" t="e">
        <f ca="1">[1]!b_info_outstandingbalance(B41,$O$4)</f>
        <v>#NAME?</v>
      </c>
      <c r="L41" s="9" t="e">
        <f t="shared" ca="1" si="0"/>
        <v>#NAME?</v>
      </c>
    </row>
    <row r="42" spans="1:12" ht="13.15" x14ac:dyDescent="0.3">
      <c r="A42" s="6">
        <v>17</v>
      </c>
      <c r="B42" s="7" t="s">
        <v>1192</v>
      </c>
      <c r="C42" s="7" t="e">
        <f ca="1">[1]!b_info_name(B42)</f>
        <v>#NAME?</v>
      </c>
      <c r="D42" s="8" t="e">
        <f ca="1">[1]!b_issue_firstissue(B42)</f>
        <v>#NAME?</v>
      </c>
      <c r="E42" s="7" t="e">
        <f ca="1">[1]!b_info_repurchasedate(B42)</f>
        <v>#NAME?</v>
      </c>
      <c r="F42" s="8" t="e">
        <f ca="1">[1]!b_info_maturitydate(B42)</f>
        <v>#NAME?</v>
      </c>
      <c r="G42" s="7" t="e">
        <f ca="1">[1]!b_info_term2(B42)</f>
        <v>#NAME?</v>
      </c>
      <c r="H42" s="9" t="e">
        <f ca="1">[1]!b_issue_amountact(B42,1)</f>
        <v>#NAME?</v>
      </c>
      <c r="I42" s="9" t="e">
        <f ca="1">[1]!b_info_couponrate(B42)</f>
        <v>#NAME?</v>
      </c>
      <c r="J42" s="9" t="e">
        <f ca="1">[1]!b_info_outstandingbalance(B42,$O$1)</f>
        <v>#NAME?</v>
      </c>
      <c r="K42" s="9" t="e">
        <f ca="1">[1]!b_info_outstandingbalance(B42,$O$4)</f>
        <v>#NAME?</v>
      </c>
      <c r="L42" s="9" t="e">
        <f t="shared" ca="1" si="0"/>
        <v>#NAME?</v>
      </c>
    </row>
    <row r="43" spans="1:12" ht="13.15" hidden="1" x14ac:dyDescent="0.3">
      <c r="A43" s="6">
        <v>18</v>
      </c>
      <c r="B43" s="7" t="s">
        <v>1193</v>
      </c>
      <c r="C43" s="7" t="e">
        <f ca="1">[1]!b_info_name(B43)</f>
        <v>#NAME?</v>
      </c>
      <c r="D43" s="8" t="e">
        <f ca="1">[1]!b_issue_firstissue(B43)</f>
        <v>#NAME?</v>
      </c>
      <c r="E43" s="7" t="e">
        <f ca="1">[1]!b_info_repurchasedate(B43)</f>
        <v>#NAME?</v>
      </c>
      <c r="F43" s="8" t="e">
        <f ca="1">[1]!b_info_maturitydate(B43)</f>
        <v>#NAME?</v>
      </c>
      <c r="G43" s="7" t="e">
        <f ca="1">[1]!b_info_term2(B43)</f>
        <v>#NAME?</v>
      </c>
      <c r="H43" s="9" t="e">
        <f ca="1">[1]!b_issue_amountact(B43,1)</f>
        <v>#NAME?</v>
      </c>
      <c r="I43" s="9" t="e">
        <f ca="1">[1]!b_info_couponrate(B43)</f>
        <v>#NAME?</v>
      </c>
      <c r="J43" s="9" t="e">
        <f ca="1">[1]!b_info_outstandingbalance(B43,$O$1)</f>
        <v>#NAME?</v>
      </c>
      <c r="K43" s="9" t="e">
        <f ca="1">[1]!b_info_outstandingbalance(B43,$O$4)</f>
        <v>#NAME?</v>
      </c>
      <c r="L43" s="9" t="e">
        <f t="shared" ca="1" si="0"/>
        <v>#NAME?</v>
      </c>
    </row>
    <row r="44" spans="1:12" ht="13.15" x14ac:dyDescent="0.3">
      <c r="A44" s="6">
        <v>19</v>
      </c>
      <c r="B44" s="7" t="s">
        <v>1194</v>
      </c>
      <c r="C44" s="7" t="e">
        <f ca="1">[1]!b_info_name(B44)</f>
        <v>#NAME?</v>
      </c>
      <c r="D44" s="8" t="e">
        <f ca="1">[1]!b_issue_firstissue(B44)</f>
        <v>#NAME?</v>
      </c>
      <c r="E44" s="7" t="e">
        <f ca="1">[1]!b_info_repurchasedate(B44)</f>
        <v>#NAME?</v>
      </c>
      <c r="F44" s="8" t="e">
        <f ca="1">[1]!b_info_maturitydate(B44)</f>
        <v>#NAME?</v>
      </c>
      <c r="G44" s="7" t="e">
        <f ca="1">[1]!b_info_term2(B44)</f>
        <v>#NAME?</v>
      </c>
      <c r="H44" s="9" t="e">
        <f ca="1">[1]!b_issue_amountact(B44,1)</f>
        <v>#NAME?</v>
      </c>
      <c r="I44" s="9" t="e">
        <f ca="1">[1]!b_info_couponrate(B44)</f>
        <v>#NAME?</v>
      </c>
      <c r="J44" s="9" t="e">
        <f ca="1">[1]!b_info_outstandingbalance(B44,$O$1)</f>
        <v>#NAME?</v>
      </c>
      <c r="K44" s="9" t="e">
        <f ca="1">[1]!b_info_outstandingbalance(B44,$O$4)</f>
        <v>#NAME?</v>
      </c>
      <c r="L44" s="9" t="e">
        <f t="shared" ca="1" si="0"/>
        <v>#NAME?</v>
      </c>
    </row>
    <row r="45" spans="1:12" ht="13.15" hidden="1" x14ac:dyDescent="0.3">
      <c r="A45" s="6">
        <v>20</v>
      </c>
      <c r="B45" s="7" t="s">
        <v>1195</v>
      </c>
      <c r="C45" s="7" t="e">
        <f ca="1">[1]!b_info_name(B45)</f>
        <v>#NAME?</v>
      </c>
      <c r="D45" s="8" t="e">
        <f ca="1">[1]!b_issue_firstissue(B45)</f>
        <v>#NAME?</v>
      </c>
      <c r="E45" s="7" t="e">
        <f ca="1">[1]!b_info_repurchasedate(B45)</f>
        <v>#NAME?</v>
      </c>
      <c r="F45" s="8" t="e">
        <f ca="1">[1]!b_info_maturitydate(B45)</f>
        <v>#NAME?</v>
      </c>
      <c r="G45" s="7" t="e">
        <f ca="1">[1]!b_info_term2(B45)</f>
        <v>#NAME?</v>
      </c>
      <c r="H45" s="9" t="e">
        <f ca="1">[1]!b_issue_amountact(B45,1)</f>
        <v>#NAME?</v>
      </c>
      <c r="I45" s="9" t="e">
        <f ca="1">[1]!b_info_couponrate(B45)</f>
        <v>#NAME?</v>
      </c>
      <c r="J45" s="9" t="e">
        <f ca="1">[1]!b_info_outstandingbalance(B45,$O$1)</f>
        <v>#NAME?</v>
      </c>
      <c r="K45" s="9" t="e">
        <f ca="1">[1]!b_info_outstandingbalance(B45,$O$4)</f>
        <v>#NAME?</v>
      </c>
      <c r="L45" s="9" t="e">
        <f t="shared" ca="1" si="0"/>
        <v>#NAME?</v>
      </c>
    </row>
    <row r="46" spans="1:12" ht="13.15" hidden="1" x14ac:dyDescent="0.3">
      <c r="A46" s="6">
        <v>21</v>
      </c>
      <c r="B46" s="7" t="s">
        <v>1196</v>
      </c>
      <c r="C46" s="7" t="e">
        <f ca="1">[1]!b_info_name(B46)</f>
        <v>#NAME?</v>
      </c>
      <c r="D46" s="8" t="e">
        <f ca="1">[1]!b_issue_firstissue(B46)</f>
        <v>#NAME?</v>
      </c>
      <c r="E46" s="7" t="e">
        <f ca="1">[1]!b_info_repurchasedate(B46)</f>
        <v>#NAME?</v>
      </c>
      <c r="F46" s="8" t="e">
        <f ca="1">[1]!b_info_maturitydate(B46)</f>
        <v>#NAME?</v>
      </c>
      <c r="G46" s="7" t="e">
        <f ca="1">[1]!b_info_term2(B46)</f>
        <v>#NAME?</v>
      </c>
      <c r="H46" s="9" t="e">
        <f ca="1">[1]!b_issue_amountact(B46,1)</f>
        <v>#NAME?</v>
      </c>
      <c r="I46" s="9" t="e">
        <f ca="1">[1]!b_info_couponrate(B46)</f>
        <v>#NAME?</v>
      </c>
      <c r="J46" s="9" t="e">
        <f ca="1">[1]!b_info_outstandingbalance(B46,$O$1)</f>
        <v>#NAME?</v>
      </c>
      <c r="K46" s="9" t="e">
        <f ca="1">[1]!b_info_outstandingbalance(B46,$O$4)</f>
        <v>#NAME?</v>
      </c>
      <c r="L46" s="9" t="e">
        <f t="shared" ca="1" si="0"/>
        <v>#NAME?</v>
      </c>
    </row>
    <row r="47" spans="1:12" ht="13.15" hidden="1" x14ac:dyDescent="0.3">
      <c r="A47" s="6">
        <v>22</v>
      </c>
      <c r="B47" s="7" t="s">
        <v>1197</v>
      </c>
      <c r="C47" s="7" t="e">
        <f ca="1">[1]!b_info_name(B47)</f>
        <v>#NAME?</v>
      </c>
      <c r="D47" s="8" t="e">
        <f ca="1">[1]!b_issue_firstissue(B47)</f>
        <v>#NAME?</v>
      </c>
      <c r="E47" s="7" t="e">
        <f ca="1">[1]!b_info_repurchasedate(B47)</f>
        <v>#NAME?</v>
      </c>
      <c r="F47" s="8" t="e">
        <f ca="1">[1]!b_info_maturitydate(B47)</f>
        <v>#NAME?</v>
      </c>
      <c r="G47" s="7" t="e">
        <f ca="1">[1]!b_info_term2(B47)</f>
        <v>#NAME?</v>
      </c>
      <c r="H47" s="9" t="e">
        <f ca="1">[1]!b_issue_amountact(B47,1)</f>
        <v>#NAME?</v>
      </c>
      <c r="I47" s="9" t="e">
        <f ca="1">[1]!b_info_couponrate(B47)</f>
        <v>#NAME?</v>
      </c>
      <c r="J47" s="9" t="e">
        <f ca="1">[1]!b_info_outstandingbalance(B47,$O$1)</f>
        <v>#NAME?</v>
      </c>
      <c r="K47" s="9" t="e">
        <f ca="1">[1]!b_info_outstandingbalance(B47,$O$4)</f>
        <v>#NAME?</v>
      </c>
      <c r="L47" s="9" t="e">
        <f t="shared" ca="1" si="0"/>
        <v>#NAME?</v>
      </c>
    </row>
    <row r="48" spans="1:12" ht="13.15" hidden="1" x14ac:dyDescent="0.3">
      <c r="A48" s="6">
        <v>23</v>
      </c>
      <c r="B48" s="7" t="s">
        <v>1198</v>
      </c>
      <c r="C48" s="7" t="e">
        <f ca="1">[1]!b_info_name(B48)</f>
        <v>#NAME?</v>
      </c>
      <c r="D48" s="8" t="e">
        <f ca="1">[1]!b_issue_firstissue(B48)</f>
        <v>#NAME?</v>
      </c>
      <c r="E48" s="7" t="e">
        <f ca="1">[1]!b_info_repurchasedate(B48)</f>
        <v>#NAME?</v>
      </c>
      <c r="F48" s="8" t="e">
        <f ca="1">[1]!b_info_maturitydate(B48)</f>
        <v>#NAME?</v>
      </c>
      <c r="G48" s="7" t="e">
        <f ca="1">[1]!b_info_term2(B48)</f>
        <v>#NAME?</v>
      </c>
      <c r="H48" s="9" t="e">
        <f ca="1">[1]!b_issue_amountact(B48,1)</f>
        <v>#NAME?</v>
      </c>
      <c r="I48" s="9" t="e">
        <f ca="1">[1]!b_info_couponrate(B48)</f>
        <v>#NAME?</v>
      </c>
      <c r="J48" s="9" t="e">
        <f ca="1">[1]!b_info_outstandingbalance(B48,$O$1)</f>
        <v>#NAME?</v>
      </c>
      <c r="K48" s="9" t="e">
        <f ca="1">[1]!b_info_outstandingbalance(B48,$O$4)</f>
        <v>#NAME?</v>
      </c>
      <c r="L48" s="9" t="e">
        <f t="shared" ca="1" si="0"/>
        <v>#NAME?</v>
      </c>
    </row>
    <row r="49" spans="1:12" ht="13.15" hidden="1" x14ac:dyDescent="0.3">
      <c r="A49" s="6">
        <v>24</v>
      </c>
      <c r="B49" s="7" t="s">
        <v>1199</v>
      </c>
      <c r="C49" s="7" t="e">
        <f ca="1">[1]!b_info_name(B49)</f>
        <v>#NAME?</v>
      </c>
      <c r="D49" s="8" t="e">
        <f ca="1">[1]!b_issue_firstissue(B49)</f>
        <v>#NAME?</v>
      </c>
      <c r="E49" s="7" t="e">
        <f ca="1">[1]!b_info_repurchasedate(B49)</f>
        <v>#NAME?</v>
      </c>
      <c r="F49" s="8" t="e">
        <f ca="1">[1]!b_info_maturitydate(B49)</f>
        <v>#NAME?</v>
      </c>
      <c r="G49" s="7" t="e">
        <f ca="1">[1]!b_info_term2(B49)</f>
        <v>#NAME?</v>
      </c>
      <c r="H49" s="9" t="e">
        <f ca="1">[1]!b_issue_amountact(B49,1)</f>
        <v>#NAME?</v>
      </c>
      <c r="I49" s="9" t="e">
        <f ca="1">[1]!b_info_couponrate(B49)</f>
        <v>#NAME?</v>
      </c>
      <c r="J49" s="9" t="e">
        <f ca="1">[1]!b_info_outstandingbalance(B49,$O$1)</f>
        <v>#NAME?</v>
      </c>
      <c r="K49" s="9" t="e">
        <f ca="1">[1]!b_info_outstandingbalance(B49,$O$4)</f>
        <v>#NAME?</v>
      </c>
      <c r="L49" s="9" t="e">
        <f t="shared" ca="1" si="0"/>
        <v>#NAME?</v>
      </c>
    </row>
    <row r="50" spans="1:12" ht="13.15" hidden="1" x14ac:dyDescent="0.3">
      <c r="A50" s="6">
        <v>25</v>
      </c>
      <c r="B50" s="7" t="s">
        <v>1200</v>
      </c>
      <c r="C50" s="7" t="e">
        <f ca="1">[1]!b_info_name(B50)</f>
        <v>#NAME?</v>
      </c>
      <c r="D50" s="8" t="e">
        <f ca="1">[1]!b_issue_firstissue(B50)</f>
        <v>#NAME?</v>
      </c>
      <c r="E50" s="7" t="e">
        <f ca="1">[1]!b_info_repurchasedate(B50)</f>
        <v>#NAME?</v>
      </c>
      <c r="F50" s="8" t="e">
        <f ca="1">[1]!b_info_maturitydate(B50)</f>
        <v>#NAME?</v>
      </c>
      <c r="G50" s="7" t="e">
        <f ca="1">[1]!b_info_term2(B50)</f>
        <v>#NAME?</v>
      </c>
      <c r="H50" s="9" t="e">
        <f ca="1">[1]!b_issue_amountact(B50,1)</f>
        <v>#NAME?</v>
      </c>
      <c r="I50" s="9" t="e">
        <f ca="1">[1]!b_info_couponrate(B50)</f>
        <v>#NAME?</v>
      </c>
      <c r="J50" s="9" t="e">
        <f ca="1">[1]!b_info_outstandingbalance(B50,$O$1)</f>
        <v>#NAME?</v>
      </c>
      <c r="K50" s="9" t="e">
        <f ca="1">[1]!b_info_outstandingbalance(B50,$O$4)</f>
        <v>#NAME?</v>
      </c>
      <c r="L50" s="9" t="e">
        <f t="shared" ca="1" si="0"/>
        <v>#NAME?</v>
      </c>
    </row>
    <row r="51" spans="1:12" ht="13.15" hidden="1" x14ac:dyDescent="0.3">
      <c r="A51" s="6">
        <v>26</v>
      </c>
      <c r="B51" s="7" t="s">
        <v>1201</v>
      </c>
      <c r="C51" s="7" t="e">
        <f ca="1">[1]!b_info_name(B51)</f>
        <v>#NAME?</v>
      </c>
      <c r="D51" s="8" t="e">
        <f ca="1">[1]!b_issue_firstissue(B51)</f>
        <v>#NAME?</v>
      </c>
      <c r="E51" s="7" t="e">
        <f ca="1">[1]!b_info_repurchasedate(B51)</f>
        <v>#NAME?</v>
      </c>
      <c r="F51" s="8" t="e">
        <f ca="1">[1]!b_info_maturitydate(B51)</f>
        <v>#NAME?</v>
      </c>
      <c r="G51" s="7" t="e">
        <f ca="1">[1]!b_info_term2(B51)</f>
        <v>#NAME?</v>
      </c>
      <c r="H51" s="9" t="e">
        <f ca="1">[1]!b_issue_amountact(B51,1)</f>
        <v>#NAME?</v>
      </c>
      <c r="I51" s="9" t="e">
        <f ca="1">[1]!b_info_couponrate(B51)</f>
        <v>#NAME?</v>
      </c>
      <c r="J51" s="9" t="e">
        <f ca="1">[1]!b_info_outstandingbalance(B51,$O$1)</f>
        <v>#NAME?</v>
      </c>
      <c r="K51" s="9" t="e">
        <f ca="1">[1]!b_info_outstandingbalance(B51,$O$4)</f>
        <v>#NAME?</v>
      </c>
      <c r="L51" s="9" t="e">
        <f t="shared" ca="1" si="0"/>
        <v>#NAME?</v>
      </c>
    </row>
    <row r="52" spans="1:12" ht="13.15" hidden="1" x14ac:dyDescent="0.3">
      <c r="A52" s="6">
        <v>27</v>
      </c>
      <c r="B52" s="7" t="s">
        <v>1202</v>
      </c>
      <c r="C52" s="7" t="e">
        <f ca="1">[1]!b_info_name(B52)</f>
        <v>#NAME?</v>
      </c>
      <c r="D52" s="8" t="e">
        <f ca="1">[1]!b_issue_firstissue(B52)</f>
        <v>#NAME?</v>
      </c>
      <c r="E52" s="7" t="e">
        <f ca="1">[1]!b_info_repurchasedate(B52)</f>
        <v>#NAME?</v>
      </c>
      <c r="F52" s="8" t="e">
        <f ca="1">[1]!b_info_maturitydate(B52)</f>
        <v>#NAME?</v>
      </c>
      <c r="G52" s="7" t="e">
        <f ca="1">[1]!b_info_term2(B52)</f>
        <v>#NAME?</v>
      </c>
      <c r="H52" s="9" t="e">
        <f ca="1">[1]!b_issue_amountact(B52,1)</f>
        <v>#NAME?</v>
      </c>
      <c r="I52" s="9" t="e">
        <f ca="1">[1]!b_info_couponrate(B52)</f>
        <v>#NAME?</v>
      </c>
      <c r="J52" s="9" t="e">
        <f ca="1">[1]!b_info_outstandingbalance(B52,$O$1)</f>
        <v>#NAME?</v>
      </c>
      <c r="K52" s="9" t="e">
        <f ca="1">[1]!b_info_outstandingbalance(B52,$O$4)</f>
        <v>#NAME?</v>
      </c>
      <c r="L52" s="9" t="e">
        <f t="shared" ca="1" si="0"/>
        <v>#NAME?</v>
      </c>
    </row>
    <row r="53" spans="1:12" ht="13.15" hidden="1" x14ac:dyDescent="0.3">
      <c r="A53" s="6">
        <v>28</v>
      </c>
      <c r="B53" s="7" t="s">
        <v>1203</v>
      </c>
      <c r="C53" s="7" t="e">
        <f ca="1">[1]!b_info_name(B53)</f>
        <v>#NAME?</v>
      </c>
      <c r="D53" s="8" t="e">
        <f ca="1">[1]!b_issue_firstissue(B53)</f>
        <v>#NAME?</v>
      </c>
      <c r="E53" s="7" t="e">
        <f ca="1">[1]!b_info_repurchasedate(B53)</f>
        <v>#NAME?</v>
      </c>
      <c r="F53" s="8" t="e">
        <f ca="1">[1]!b_info_maturitydate(B53)</f>
        <v>#NAME?</v>
      </c>
      <c r="G53" s="7" t="e">
        <f ca="1">[1]!b_info_term2(B53)</f>
        <v>#NAME?</v>
      </c>
      <c r="H53" s="9" t="e">
        <f ca="1">[1]!b_issue_amountact(B53,1)</f>
        <v>#NAME?</v>
      </c>
      <c r="I53" s="9" t="e">
        <f ca="1">[1]!b_info_couponrate(B53)</f>
        <v>#NAME?</v>
      </c>
      <c r="J53" s="9" t="e">
        <f ca="1">[1]!b_info_outstandingbalance(B53,$O$1)</f>
        <v>#NAME?</v>
      </c>
      <c r="K53" s="9" t="e">
        <f ca="1">[1]!b_info_outstandingbalance(B53,$O$4)</f>
        <v>#NAME?</v>
      </c>
      <c r="L53" s="9" t="e">
        <f t="shared" ca="1" si="0"/>
        <v>#NAME?</v>
      </c>
    </row>
    <row r="54" spans="1:12" ht="13.15" hidden="1" x14ac:dyDescent="0.3">
      <c r="A54" s="6">
        <v>29</v>
      </c>
      <c r="B54" s="7" t="s">
        <v>1204</v>
      </c>
      <c r="C54" s="7" t="e">
        <f ca="1">[1]!b_info_name(B54)</f>
        <v>#NAME?</v>
      </c>
      <c r="D54" s="8" t="e">
        <f ca="1">[1]!b_issue_firstissue(B54)</f>
        <v>#NAME?</v>
      </c>
      <c r="E54" s="7" t="e">
        <f ca="1">[1]!b_info_repurchasedate(B54)</f>
        <v>#NAME?</v>
      </c>
      <c r="F54" s="8" t="e">
        <f ca="1">[1]!b_info_maturitydate(B54)</f>
        <v>#NAME?</v>
      </c>
      <c r="G54" s="7" t="e">
        <f ca="1">[1]!b_info_term2(B54)</f>
        <v>#NAME?</v>
      </c>
      <c r="H54" s="9" t="e">
        <f ca="1">[1]!b_issue_amountact(B54,1)</f>
        <v>#NAME?</v>
      </c>
      <c r="I54" s="9" t="e">
        <f ca="1">[1]!b_info_couponrate(B54)</f>
        <v>#NAME?</v>
      </c>
      <c r="J54" s="9" t="e">
        <f ca="1">[1]!b_info_outstandingbalance(B54,$O$1)</f>
        <v>#NAME?</v>
      </c>
      <c r="K54" s="9" t="e">
        <f ca="1">[1]!b_info_outstandingbalance(B54,$O$4)</f>
        <v>#NAME?</v>
      </c>
      <c r="L54" s="9" t="e">
        <f t="shared" ca="1" si="0"/>
        <v>#NAME?</v>
      </c>
    </row>
    <row r="55" spans="1:12" ht="13.15" hidden="1" x14ac:dyDescent="0.3">
      <c r="A55" s="6">
        <v>30</v>
      </c>
      <c r="B55" s="7" t="s">
        <v>1205</v>
      </c>
      <c r="C55" s="7" t="e">
        <f ca="1">[1]!b_info_name(B55)</f>
        <v>#NAME?</v>
      </c>
      <c r="D55" s="8" t="e">
        <f ca="1">[1]!b_issue_firstissue(B55)</f>
        <v>#NAME?</v>
      </c>
      <c r="E55" s="7" t="e">
        <f ca="1">[1]!b_info_repurchasedate(B55)</f>
        <v>#NAME?</v>
      </c>
      <c r="F55" s="8" t="e">
        <f ca="1">[1]!b_info_maturitydate(B55)</f>
        <v>#NAME?</v>
      </c>
      <c r="G55" s="7" t="e">
        <f ca="1">[1]!b_info_term2(B55)</f>
        <v>#NAME?</v>
      </c>
      <c r="H55" s="9" t="e">
        <f ca="1">[1]!b_issue_amountact(B55,1)</f>
        <v>#NAME?</v>
      </c>
      <c r="I55" s="9" t="e">
        <f ca="1">[1]!b_info_couponrate(B55)</f>
        <v>#NAME?</v>
      </c>
      <c r="J55" s="9" t="e">
        <f ca="1">[1]!b_info_outstandingbalance(B55,$O$1)</f>
        <v>#NAME?</v>
      </c>
      <c r="K55" s="9" t="e">
        <f ca="1">[1]!b_info_outstandingbalance(B55,$O$4)</f>
        <v>#NAME?</v>
      </c>
      <c r="L55" s="9" t="e">
        <f t="shared" ca="1" si="0"/>
        <v>#NAME?</v>
      </c>
    </row>
    <row r="56" spans="1:12" ht="13.15" hidden="1" x14ac:dyDescent="0.3">
      <c r="A56" s="6">
        <v>31</v>
      </c>
      <c r="B56" s="7" t="s">
        <v>1206</v>
      </c>
      <c r="C56" s="7" t="e">
        <f ca="1">[1]!b_info_name(B56)</f>
        <v>#NAME?</v>
      </c>
      <c r="D56" s="8" t="e">
        <f ca="1">[1]!b_issue_firstissue(B56)</f>
        <v>#NAME?</v>
      </c>
      <c r="E56" s="7" t="e">
        <f ca="1">[1]!b_info_repurchasedate(B56)</f>
        <v>#NAME?</v>
      </c>
      <c r="F56" s="8" t="e">
        <f ca="1">[1]!b_info_maturitydate(B56)</f>
        <v>#NAME?</v>
      </c>
      <c r="G56" s="7" t="e">
        <f ca="1">[1]!b_info_term2(B56)</f>
        <v>#NAME?</v>
      </c>
      <c r="H56" s="9" t="e">
        <f ca="1">[1]!b_issue_amountact(B56,1)</f>
        <v>#NAME?</v>
      </c>
      <c r="I56" s="9" t="e">
        <f ca="1">[1]!b_info_couponrate(B56)</f>
        <v>#NAME?</v>
      </c>
      <c r="J56" s="9" t="e">
        <f ca="1">[1]!b_info_outstandingbalance(B56,$O$1)</f>
        <v>#NAME?</v>
      </c>
      <c r="K56" s="9" t="e">
        <f ca="1">[1]!b_info_outstandingbalance(B56,$O$4)</f>
        <v>#NAME?</v>
      </c>
      <c r="L56" s="9" t="e">
        <f t="shared" ca="1" si="0"/>
        <v>#NAME?</v>
      </c>
    </row>
    <row r="57" spans="1:12" ht="13.15" hidden="1" x14ac:dyDescent="0.3">
      <c r="A57" s="6">
        <v>32</v>
      </c>
      <c r="B57" s="7" t="s">
        <v>1207</v>
      </c>
      <c r="C57" s="7" t="e">
        <f ca="1">[1]!b_info_name(B57)</f>
        <v>#NAME?</v>
      </c>
      <c r="D57" s="8" t="e">
        <f ca="1">[1]!b_issue_firstissue(B57)</f>
        <v>#NAME?</v>
      </c>
      <c r="E57" s="7" t="e">
        <f ca="1">[1]!b_info_repurchasedate(B57)</f>
        <v>#NAME?</v>
      </c>
      <c r="F57" s="8" t="e">
        <f ca="1">[1]!b_info_maturitydate(B57)</f>
        <v>#NAME?</v>
      </c>
      <c r="G57" s="7" t="e">
        <f ca="1">[1]!b_info_term2(B57)</f>
        <v>#NAME?</v>
      </c>
      <c r="H57" s="9" t="e">
        <f ca="1">[1]!b_issue_amountact(B57,1)</f>
        <v>#NAME?</v>
      </c>
      <c r="I57" s="9" t="e">
        <f ca="1">[1]!b_info_couponrate(B57)</f>
        <v>#NAME?</v>
      </c>
      <c r="J57" s="9" t="e">
        <f ca="1">[1]!b_info_outstandingbalance(B57,$O$1)</f>
        <v>#NAME?</v>
      </c>
      <c r="K57" s="9" t="e">
        <f ca="1">[1]!b_info_outstandingbalance(B57,$O$4)</f>
        <v>#NAME?</v>
      </c>
      <c r="L57" s="9" t="e">
        <f t="shared" ca="1" si="0"/>
        <v>#NAME?</v>
      </c>
    </row>
    <row r="58" spans="1:12" ht="13.15" hidden="1" x14ac:dyDescent="0.3">
      <c r="A58" s="6">
        <v>33</v>
      </c>
      <c r="B58" s="7" t="s">
        <v>1208</v>
      </c>
      <c r="C58" s="7" t="e">
        <f ca="1">[1]!b_info_name(B58)</f>
        <v>#NAME?</v>
      </c>
      <c r="D58" s="8" t="e">
        <f ca="1">[1]!b_issue_firstissue(B58)</f>
        <v>#NAME?</v>
      </c>
      <c r="E58" s="7" t="e">
        <f ca="1">[1]!b_info_repurchasedate(B58)</f>
        <v>#NAME?</v>
      </c>
      <c r="F58" s="8" t="e">
        <f ca="1">[1]!b_info_maturitydate(B58)</f>
        <v>#NAME?</v>
      </c>
      <c r="G58" s="7" t="e">
        <f ca="1">[1]!b_info_term2(B58)</f>
        <v>#NAME?</v>
      </c>
      <c r="H58" s="9" t="e">
        <f ca="1">[1]!b_issue_amountact(B58,1)</f>
        <v>#NAME?</v>
      </c>
      <c r="I58" s="9" t="e">
        <f ca="1">[1]!b_info_couponrate(B58)</f>
        <v>#NAME?</v>
      </c>
      <c r="J58" s="9" t="e">
        <f ca="1">[1]!b_info_outstandingbalance(B58,$O$1)</f>
        <v>#NAME?</v>
      </c>
      <c r="K58" s="9" t="e">
        <f ca="1">[1]!b_info_outstandingbalance(B58,$O$4)</f>
        <v>#NAME?</v>
      </c>
      <c r="L58" s="9" t="e">
        <f t="shared" ca="1" si="0"/>
        <v>#NAME?</v>
      </c>
    </row>
    <row r="59" spans="1:12" ht="13.15" hidden="1" x14ac:dyDescent="0.3">
      <c r="A59" s="6">
        <v>34</v>
      </c>
      <c r="B59" s="7" t="s">
        <v>1209</v>
      </c>
      <c r="C59" s="7" t="e">
        <f ca="1">[1]!b_info_name(B59)</f>
        <v>#NAME?</v>
      </c>
      <c r="D59" s="8" t="e">
        <f ca="1">[1]!b_issue_firstissue(B59)</f>
        <v>#NAME?</v>
      </c>
      <c r="E59" s="7" t="e">
        <f ca="1">[1]!b_info_repurchasedate(B59)</f>
        <v>#NAME?</v>
      </c>
      <c r="F59" s="8" t="e">
        <f ca="1">[1]!b_info_maturitydate(B59)</f>
        <v>#NAME?</v>
      </c>
      <c r="G59" s="7" t="e">
        <f ca="1">[1]!b_info_term2(B59)</f>
        <v>#NAME?</v>
      </c>
      <c r="H59" s="9" t="e">
        <f ca="1">[1]!b_issue_amountact(B59,1)</f>
        <v>#NAME?</v>
      </c>
      <c r="I59" s="9" t="e">
        <f ca="1">[1]!b_info_couponrate(B59)</f>
        <v>#NAME?</v>
      </c>
      <c r="J59" s="9" t="e">
        <f ca="1">[1]!b_info_outstandingbalance(B59,$O$1)</f>
        <v>#NAME?</v>
      </c>
      <c r="K59" s="9" t="e">
        <f ca="1">[1]!b_info_outstandingbalance(B59,$O$4)</f>
        <v>#NAME?</v>
      </c>
      <c r="L59" s="9" t="e">
        <f t="shared" ca="1" si="0"/>
        <v>#NAME?</v>
      </c>
    </row>
    <row r="60" spans="1:12" ht="13.15" hidden="1" x14ac:dyDescent="0.3">
      <c r="A60" s="6">
        <v>35</v>
      </c>
      <c r="B60" s="7" t="s">
        <v>1210</v>
      </c>
      <c r="C60" s="7" t="e">
        <f ca="1">[1]!b_info_name(B60)</f>
        <v>#NAME?</v>
      </c>
      <c r="D60" s="8" t="e">
        <f ca="1">[1]!b_issue_firstissue(B60)</f>
        <v>#NAME?</v>
      </c>
      <c r="E60" s="7" t="e">
        <f ca="1">[1]!b_info_repurchasedate(B60)</f>
        <v>#NAME?</v>
      </c>
      <c r="F60" s="8" t="e">
        <f ca="1">[1]!b_info_maturitydate(B60)</f>
        <v>#NAME?</v>
      </c>
      <c r="G60" s="7" t="e">
        <f ca="1">[1]!b_info_term2(B60)</f>
        <v>#NAME?</v>
      </c>
      <c r="H60" s="9" t="e">
        <f ca="1">[1]!b_issue_amountact(B60,1)</f>
        <v>#NAME?</v>
      </c>
      <c r="I60" s="9" t="e">
        <f ca="1">[1]!b_info_couponrate(B60)</f>
        <v>#NAME?</v>
      </c>
      <c r="J60" s="9" t="e">
        <f ca="1">[1]!b_info_outstandingbalance(B60,$O$1)</f>
        <v>#NAME?</v>
      </c>
      <c r="K60" s="9" t="e">
        <f ca="1">[1]!b_info_outstandingbalance(B60,$O$4)</f>
        <v>#NAME?</v>
      </c>
      <c r="L60" s="9" t="e">
        <f t="shared" ca="1" si="0"/>
        <v>#NAME?</v>
      </c>
    </row>
    <row r="61" spans="1:12" ht="13.15" hidden="1" x14ac:dyDescent="0.3">
      <c r="A61" s="6">
        <v>36</v>
      </c>
      <c r="B61" s="7" t="s">
        <v>1211</v>
      </c>
      <c r="C61" s="7" t="e">
        <f ca="1">[1]!b_info_name(B61)</f>
        <v>#NAME?</v>
      </c>
      <c r="D61" s="8" t="e">
        <f ca="1">[1]!b_issue_firstissue(B61)</f>
        <v>#NAME?</v>
      </c>
      <c r="E61" s="7" t="e">
        <f ca="1">[1]!b_info_repurchasedate(B61)</f>
        <v>#NAME?</v>
      </c>
      <c r="F61" s="8" t="e">
        <f ca="1">[1]!b_info_maturitydate(B61)</f>
        <v>#NAME?</v>
      </c>
      <c r="G61" s="7" t="e">
        <f ca="1">[1]!b_info_term2(B61)</f>
        <v>#NAME?</v>
      </c>
      <c r="H61" s="9" t="e">
        <f ca="1">[1]!b_issue_amountact(B61,1)</f>
        <v>#NAME?</v>
      </c>
      <c r="I61" s="9" t="e">
        <f ca="1">[1]!b_info_couponrate(B61)</f>
        <v>#NAME?</v>
      </c>
      <c r="J61" s="9" t="e">
        <f ca="1">[1]!b_info_outstandingbalance(B61,$O$1)</f>
        <v>#NAME?</v>
      </c>
      <c r="K61" s="9" t="e">
        <f ca="1">[1]!b_info_outstandingbalance(B61,$O$4)</f>
        <v>#NAME?</v>
      </c>
      <c r="L61" s="9" t="e">
        <f t="shared" ca="1" si="0"/>
        <v>#NAME?</v>
      </c>
    </row>
    <row r="62" spans="1:12" ht="13.15" hidden="1" x14ac:dyDescent="0.3">
      <c r="A62" s="6">
        <v>37</v>
      </c>
      <c r="B62" s="7" t="s">
        <v>1212</v>
      </c>
      <c r="C62" s="7" t="e">
        <f ca="1">[1]!b_info_name(B62)</f>
        <v>#NAME?</v>
      </c>
      <c r="D62" s="8" t="e">
        <f ca="1">[1]!b_issue_firstissue(B62)</f>
        <v>#NAME?</v>
      </c>
      <c r="E62" s="7" t="e">
        <f ca="1">[1]!b_info_repurchasedate(B62)</f>
        <v>#NAME?</v>
      </c>
      <c r="F62" s="8" t="e">
        <f ca="1">[1]!b_info_maturitydate(B62)</f>
        <v>#NAME?</v>
      </c>
      <c r="G62" s="7" t="e">
        <f ca="1">[1]!b_info_term2(B62)</f>
        <v>#NAME?</v>
      </c>
      <c r="H62" s="9" t="e">
        <f ca="1">[1]!b_issue_amountact(B62,1)</f>
        <v>#NAME?</v>
      </c>
      <c r="I62" s="9" t="e">
        <f ca="1">[1]!b_info_couponrate(B62)</f>
        <v>#NAME?</v>
      </c>
      <c r="J62" s="9" t="e">
        <f ca="1">[1]!b_info_outstandingbalance(B62,$O$1)</f>
        <v>#NAME?</v>
      </c>
      <c r="K62" s="9" t="e">
        <f ca="1">[1]!b_info_outstandingbalance(B62,$O$4)</f>
        <v>#NAME?</v>
      </c>
      <c r="L62" s="9" t="e">
        <f t="shared" ca="1" si="0"/>
        <v>#NAME?</v>
      </c>
    </row>
    <row r="63" spans="1:12" ht="13.15" hidden="1" x14ac:dyDescent="0.3">
      <c r="A63" s="6">
        <v>38</v>
      </c>
      <c r="B63" s="7" t="s">
        <v>1213</v>
      </c>
      <c r="C63" s="7" t="e">
        <f ca="1">[1]!b_info_name(B63)</f>
        <v>#NAME?</v>
      </c>
      <c r="D63" s="8" t="e">
        <f ca="1">[1]!b_issue_firstissue(B63)</f>
        <v>#NAME?</v>
      </c>
      <c r="E63" s="7" t="e">
        <f ca="1">[1]!b_info_repurchasedate(B63)</f>
        <v>#NAME?</v>
      </c>
      <c r="F63" s="8" t="e">
        <f ca="1">[1]!b_info_maturitydate(B63)</f>
        <v>#NAME?</v>
      </c>
      <c r="G63" s="7" t="e">
        <f ca="1">[1]!b_info_term2(B63)</f>
        <v>#NAME?</v>
      </c>
      <c r="H63" s="9" t="e">
        <f ca="1">[1]!b_issue_amountact(B63,1)</f>
        <v>#NAME?</v>
      </c>
      <c r="I63" s="9" t="e">
        <f ca="1">[1]!b_info_couponrate(B63)</f>
        <v>#NAME?</v>
      </c>
      <c r="J63" s="9" t="e">
        <f ca="1">[1]!b_info_outstandingbalance(B63,$O$1)</f>
        <v>#NAME?</v>
      </c>
      <c r="K63" s="9" t="e">
        <f ca="1">[1]!b_info_outstandingbalance(B63,$O$4)</f>
        <v>#NAME?</v>
      </c>
      <c r="L63" s="9" t="e">
        <f t="shared" ca="1" si="0"/>
        <v>#NAME?</v>
      </c>
    </row>
    <row r="64" spans="1:12" ht="13.15" hidden="1" x14ac:dyDescent="0.3">
      <c r="A64" s="6">
        <v>39</v>
      </c>
      <c r="B64" s="7" t="s">
        <v>1214</v>
      </c>
      <c r="C64" s="7" t="e">
        <f ca="1">[1]!b_info_name(B64)</f>
        <v>#NAME?</v>
      </c>
      <c r="D64" s="8" t="e">
        <f ca="1">[1]!b_issue_firstissue(B64)</f>
        <v>#NAME?</v>
      </c>
      <c r="E64" s="7" t="e">
        <f ca="1">[1]!b_info_repurchasedate(B64)</f>
        <v>#NAME?</v>
      </c>
      <c r="F64" s="8" t="e">
        <f ca="1">[1]!b_info_maturitydate(B64)</f>
        <v>#NAME?</v>
      </c>
      <c r="G64" s="7" t="e">
        <f ca="1">[1]!b_info_term2(B64)</f>
        <v>#NAME?</v>
      </c>
      <c r="H64" s="9" t="e">
        <f ca="1">[1]!b_issue_amountact(B64,1)</f>
        <v>#NAME?</v>
      </c>
      <c r="I64" s="9" t="e">
        <f ca="1">[1]!b_info_couponrate(B64)</f>
        <v>#NAME?</v>
      </c>
      <c r="J64" s="9" t="e">
        <f ca="1">[1]!b_info_outstandingbalance(B64,$O$1)</f>
        <v>#NAME?</v>
      </c>
      <c r="K64" s="9" t="e">
        <f ca="1">[1]!b_info_outstandingbalance(B64,$O$4)</f>
        <v>#NAME?</v>
      </c>
      <c r="L64" s="9" t="e">
        <f t="shared" ca="1" si="0"/>
        <v>#NAME?</v>
      </c>
    </row>
    <row r="65" spans="1:12" ht="13.15" hidden="1" x14ac:dyDescent="0.3">
      <c r="A65" s="6">
        <v>40</v>
      </c>
      <c r="B65" s="7" t="s">
        <v>1215</v>
      </c>
      <c r="C65" s="7" t="e">
        <f ca="1">[1]!b_info_name(B65)</f>
        <v>#NAME?</v>
      </c>
      <c r="D65" s="8" t="e">
        <f ca="1">[1]!b_issue_firstissue(B65)</f>
        <v>#NAME?</v>
      </c>
      <c r="E65" s="7" t="e">
        <f ca="1">[1]!b_info_repurchasedate(B65)</f>
        <v>#NAME?</v>
      </c>
      <c r="F65" s="8" t="e">
        <f ca="1">[1]!b_info_maturitydate(B65)</f>
        <v>#NAME?</v>
      </c>
      <c r="G65" s="7" t="e">
        <f ca="1">[1]!b_info_term2(B65)</f>
        <v>#NAME?</v>
      </c>
      <c r="H65" s="9" t="e">
        <f ca="1">[1]!b_issue_amountact(B65,1)</f>
        <v>#NAME?</v>
      </c>
      <c r="I65" s="9" t="e">
        <f ca="1">[1]!b_info_couponrate(B65)</f>
        <v>#NAME?</v>
      </c>
      <c r="J65" s="9" t="e">
        <f ca="1">[1]!b_info_outstandingbalance(B65,$O$1)</f>
        <v>#NAME?</v>
      </c>
      <c r="K65" s="9" t="e">
        <f ca="1">[1]!b_info_outstandingbalance(B65,$O$4)</f>
        <v>#NAME?</v>
      </c>
      <c r="L65" s="9" t="e">
        <f t="shared" ca="1" si="0"/>
        <v>#NAME?</v>
      </c>
    </row>
    <row r="66" spans="1:12" ht="13.15" hidden="1" x14ac:dyDescent="0.3">
      <c r="A66" s="6">
        <v>41</v>
      </c>
      <c r="B66" s="7" t="s">
        <v>1216</v>
      </c>
      <c r="C66" s="7" t="e">
        <f ca="1">[1]!b_info_name(B66)</f>
        <v>#NAME?</v>
      </c>
      <c r="D66" s="8" t="e">
        <f ca="1">[1]!b_issue_firstissue(B66)</f>
        <v>#NAME?</v>
      </c>
      <c r="E66" s="7" t="e">
        <f ca="1">[1]!b_info_repurchasedate(B66)</f>
        <v>#NAME?</v>
      </c>
      <c r="F66" s="8" t="e">
        <f ca="1">[1]!b_info_maturitydate(B66)</f>
        <v>#NAME?</v>
      </c>
      <c r="G66" s="7" t="e">
        <f ca="1">[1]!b_info_term2(B66)</f>
        <v>#NAME?</v>
      </c>
      <c r="H66" s="9" t="e">
        <f ca="1">[1]!b_issue_amountact(B66,1)</f>
        <v>#NAME?</v>
      </c>
      <c r="I66" s="9" t="e">
        <f ca="1">[1]!b_info_couponrate(B66)</f>
        <v>#NAME?</v>
      </c>
      <c r="J66" s="9" t="e">
        <f ca="1">[1]!b_info_outstandingbalance(B66,$O$1)</f>
        <v>#NAME?</v>
      </c>
      <c r="K66" s="9" t="e">
        <f ca="1">[1]!b_info_outstandingbalance(B66,$O$4)</f>
        <v>#NAME?</v>
      </c>
      <c r="L66" s="9" t="e">
        <f t="shared" ca="1" si="0"/>
        <v>#NAME?</v>
      </c>
    </row>
    <row r="67" spans="1:12" ht="13.15" hidden="1" x14ac:dyDescent="0.3">
      <c r="A67" s="6">
        <v>42</v>
      </c>
      <c r="B67" s="7" t="s">
        <v>1217</v>
      </c>
      <c r="C67" s="7" t="e">
        <f ca="1">[1]!b_info_name(B67)</f>
        <v>#NAME?</v>
      </c>
      <c r="D67" s="8" t="e">
        <f ca="1">[1]!b_issue_firstissue(B67)</f>
        <v>#NAME?</v>
      </c>
      <c r="E67" s="7" t="e">
        <f ca="1">[1]!b_info_repurchasedate(B67)</f>
        <v>#NAME?</v>
      </c>
      <c r="F67" s="8" t="e">
        <f ca="1">[1]!b_info_maturitydate(B67)</f>
        <v>#NAME?</v>
      </c>
      <c r="G67" s="7" t="e">
        <f ca="1">[1]!b_info_term2(B67)</f>
        <v>#NAME?</v>
      </c>
      <c r="H67" s="9" t="e">
        <f ca="1">[1]!b_issue_amountact(B67,1)</f>
        <v>#NAME?</v>
      </c>
      <c r="I67" s="9" t="e">
        <f ca="1">[1]!b_info_couponrate(B67)</f>
        <v>#NAME?</v>
      </c>
      <c r="J67" s="9" t="e">
        <f ca="1">[1]!b_info_outstandingbalance(B67,$O$1)</f>
        <v>#NAME?</v>
      </c>
      <c r="K67" s="9" t="e">
        <f ca="1">[1]!b_info_outstandingbalance(B67,$O$4)</f>
        <v>#NAME?</v>
      </c>
      <c r="L67" s="9" t="e">
        <f t="shared" ca="1" si="0"/>
        <v>#NAME?</v>
      </c>
    </row>
    <row r="68" spans="1:12" ht="13.15" hidden="1" x14ac:dyDescent="0.3">
      <c r="A68" s="6">
        <v>43</v>
      </c>
      <c r="B68" s="7" t="s">
        <v>1218</v>
      </c>
      <c r="C68" s="7" t="e">
        <f ca="1">[1]!b_info_name(B68)</f>
        <v>#NAME?</v>
      </c>
      <c r="D68" s="8" t="e">
        <f ca="1">[1]!b_issue_firstissue(B68)</f>
        <v>#NAME?</v>
      </c>
      <c r="E68" s="7" t="e">
        <f ca="1">[1]!b_info_repurchasedate(B68)</f>
        <v>#NAME?</v>
      </c>
      <c r="F68" s="8" t="e">
        <f ca="1">[1]!b_info_maturitydate(B68)</f>
        <v>#NAME?</v>
      </c>
      <c r="G68" s="7" t="e">
        <f ca="1">[1]!b_info_term2(B68)</f>
        <v>#NAME?</v>
      </c>
      <c r="H68" s="9" t="e">
        <f ca="1">[1]!b_issue_amountact(B68,1)</f>
        <v>#NAME?</v>
      </c>
      <c r="I68" s="9" t="e">
        <f ca="1">[1]!b_info_couponrate(B68)</f>
        <v>#NAME?</v>
      </c>
      <c r="J68" s="9" t="e">
        <f ca="1">[1]!b_info_outstandingbalance(B68,$O$1)</f>
        <v>#NAME?</v>
      </c>
      <c r="K68" s="9" t="e">
        <f ca="1">[1]!b_info_outstandingbalance(B68,$O$4)</f>
        <v>#NAME?</v>
      </c>
      <c r="L68" s="9" t="e">
        <f t="shared" ca="1" si="0"/>
        <v>#NAME?</v>
      </c>
    </row>
    <row r="69" spans="1:12" s="1" customFormat="1" x14ac:dyDescent="0.3">
      <c r="A69" s="477" t="s">
        <v>1007</v>
      </c>
      <c r="B69" s="477"/>
      <c r="C69" s="11"/>
      <c r="D69" s="12"/>
      <c r="E69" s="13"/>
      <c r="F69" s="12"/>
      <c r="G69" s="13"/>
      <c r="H69" s="10" t="e">
        <f ca="1">SUBTOTAL(9,H26:H68)</f>
        <v>#NAME?</v>
      </c>
      <c r="I69" s="10"/>
      <c r="J69" s="10" t="e">
        <f t="shared" ref="J69" ca="1" si="4">SUBTOTAL(9,J26:J68)</f>
        <v>#NAME?</v>
      </c>
      <c r="K69" s="10"/>
      <c r="L69" s="10"/>
    </row>
    <row r="70" spans="1:12" ht="13.15" x14ac:dyDescent="0.3">
      <c r="A70" s="7">
        <v>63</v>
      </c>
      <c r="B70" s="7" t="s">
        <v>1219</v>
      </c>
      <c r="C70" s="7" t="e">
        <f ca="1">[1]!b_info_name(B70)</f>
        <v>#NAME?</v>
      </c>
      <c r="D70" s="8" t="e">
        <f ca="1">[1]!b_issue_firstissue(B70)</f>
        <v>#NAME?</v>
      </c>
      <c r="E70" s="7" t="e">
        <f ca="1">[1]!b_info_repurchasedate(B70)</f>
        <v>#NAME?</v>
      </c>
      <c r="F70" s="8" t="e">
        <f ca="1">[1]!b_info_maturitydate(B70)</f>
        <v>#NAME?</v>
      </c>
      <c r="G70" s="7" t="e">
        <f ca="1">[1]!b_info_term2(B70)</f>
        <v>#NAME?</v>
      </c>
      <c r="H70" s="9" t="e">
        <f ca="1">[1]!b_issue_amountact(B70,1)</f>
        <v>#NAME?</v>
      </c>
      <c r="I70" s="9" t="e">
        <f ca="1">[1]!b_info_couponrate(B70)</f>
        <v>#NAME?</v>
      </c>
      <c r="J70" s="9" t="e">
        <f ca="1">[1]!b_info_outstandingbalance(B70,$O$1)</f>
        <v>#NAME?</v>
      </c>
      <c r="K70" s="9" t="e">
        <f ca="1">[1]!b_info_outstandingbalance(B70,$O$4)</f>
        <v>#NAME?</v>
      </c>
      <c r="L70" s="9" t="e">
        <f t="shared" ca="1" si="0"/>
        <v>#NAME?</v>
      </c>
    </row>
    <row r="71" spans="1:12" ht="13.15" x14ac:dyDescent="0.3">
      <c r="A71" s="6">
        <v>64</v>
      </c>
      <c r="B71" s="6" t="s">
        <v>1220</v>
      </c>
      <c r="C71" s="7" t="e">
        <f ca="1">[1]!b_info_name(B71)</f>
        <v>#NAME?</v>
      </c>
      <c r="D71" s="8" t="e">
        <f ca="1">[1]!b_issue_firstissue(B71)</f>
        <v>#NAME?</v>
      </c>
      <c r="E71" s="7" t="e">
        <f ca="1">[1]!b_info_repurchasedate(B71)</f>
        <v>#NAME?</v>
      </c>
      <c r="F71" s="8" t="e">
        <f ca="1">[1]!b_info_maturitydate(B71)</f>
        <v>#NAME?</v>
      </c>
      <c r="G71" s="7" t="e">
        <f ca="1">[1]!b_info_term2(B71)</f>
        <v>#NAME?</v>
      </c>
      <c r="H71" s="9" t="e">
        <f ca="1">[1]!b_issue_amountact(B71,1)</f>
        <v>#NAME?</v>
      </c>
      <c r="I71" s="9" t="e">
        <f ca="1">[1]!b_info_couponrate(B71)</f>
        <v>#NAME?</v>
      </c>
      <c r="J71" s="9" t="e">
        <f ca="1">[1]!b_info_outstandingbalance(B71,$O$1)</f>
        <v>#NAME?</v>
      </c>
      <c r="K71" s="9" t="e">
        <f ca="1">[1]!b_info_outstandingbalance(B71,$O$4)</f>
        <v>#NAME?</v>
      </c>
      <c r="L71" s="9" t="e">
        <f t="shared" ref="L71:L73" ca="1" si="5">K71-J71</f>
        <v>#NAME?</v>
      </c>
    </row>
    <row r="72" spans="1:12" ht="13.15" hidden="1" x14ac:dyDescent="0.3">
      <c r="A72" s="7">
        <v>65</v>
      </c>
      <c r="B72" s="6" t="s">
        <v>1221</v>
      </c>
      <c r="C72" s="7" t="e">
        <f ca="1">[1]!b_info_name(B72)</f>
        <v>#NAME?</v>
      </c>
      <c r="D72" s="8" t="e">
        <f ca="1">[1]!b_issue_firstissue(B72)</f>
        <v>#NAME?</v>
      </c>
      <c r="E72" s="7" t="e">
        <f ca="1">[1]!b_info_repurchasedate(B72)</f>
        <v>#NAME?</v>
      </c>
      <c r="F72" s="8" t="e">
        <f ca="1">[1]!b_info_maturitydate(B72)</f>
        <v>#NAME?</v>
      </c>
      <c r="G72" s="7" t="e">
        <f ca="1">[1]!b_info_term2(B72)</f>
        <v>#NAME?</v>
      </c>
      <c r="H72" s="9" t="e">
        <f ca="1">[1]!b_issue_amountact(B72,1)</f>
        <v>#NAME?</v>
      </c>
      <c r="I72" s="9" t="e">
        <f ca="1">[1]!b_info_couponrate(B72)</f>
        <v>#NAME?</v>
      </c>
      <c r="J72" s="9" t="e">
        <f ca="1">[1]!b_info_outstandingbalance(B72,$O$1)</f>
        <v>#NAME?</v>
      </c>
      <c r="K72" s="9" t="e">
        <f ca="1">[1]!b_info_outstandingbalance(B72,$O$4)</f>
        <v>#NAME?</v>
      </c>
      <c r="L72" s="9" t="e">
        <f t="shared" ca="1" si="5"/>
        <v>#NAME?</v>
      </c>
    </row>
    <row r="73" spans="1:12" ht="13.15" hidden="1" x14ac:dyDescent="0.3">
      <c r="A73" s="6">
        <v>66</v>
      </c>
      <c r="B73" s="6" t="s">
        <v>1222</v>
      </c>
      <c r="C73" s="7" t="e">
        <f ca="1">[1]!b_info_name(B73)</f>
        <v>#NAME?</v>
      </c>
      <c r="D73" s="8" t="e">
        <f ca="1">[1]!b_issue_firstissue(B73)</f>
        <v>#NAME?</v>
      </c>
      <c r="E73" s="7" t="e">
        <f ca="1">[1]!b_info_repurchasedate(B73)</f>
        <v>#NAME?</v>
      </c>
      <c r="F73" s="8" t="e">
        <f ca="1">[1]!b_info_maturitydate(B73)</f>
        <v>#NAME?</v>
      </c>
      <c r="G73" s="7" t="e">
        <f ca="1">[1]!b_info_term2(B73)</f>
        <v>#NAME?</v>
      </c>
      <c r="H73" s="9" t="e">
        <f ca="1">[1]!b_issue_amountact(B73,1)</f>
        <v>#NAME?</v>
      </c>
      <c r="I73" s="9" t="e">
        <f ca="1">[1]!b_info_couponrate(B73)</f>
        <v>#NAME?</v>
      </c>
      <c r="J73" s="9" t="e">
        <f ca="1">[1]!b_info_outstandingbalance(B73,$O$1)</f>
        <v>#NAME?</v>
      </c>
      <c r="K73" s="9" t="e">
        <f ca="1">[1]!b_info_outstandingbalance(B73,$O$4)</f>
        <v>#NAME?</v>
      </c>
      <c r="L73" s="9" t="e">
        <f t="shared" ca="1" si="5"/>
        <v>#NAME?</v>
      </c>
    </row>
    <row r="74" spans="1:12" s="1" customFormat="1" ht="13.15" x14ac:dyDescent="0.3">
      <c r="A74" s="477" t="s">
        <v>1008</v>
      </c>
      <c r="B74" s="477"/>
      <c r="C74" s="11"/>
      <c r="D74" s="12"/>
      <c r="E74" s="13"/>
      <c r="F74" s="12"/>
      <c r="G74" s="13"/>
      <c r="H74" s="10" t="e">
        <f ca="1">SUBTOTAL(9,H70:H73)</f>
        <v>#NAME?</v>
      </c>
      <c r="I74" s="10"/>
      <c r="J74" s="10" t="e">
        <f t="shared" ref="J74:K74" ca="1" si="6">SUBTOTAL(9,J70:J73)</f>
        <v>#NAME?</v>
      </c>
      <c r="K74" s="10" t="e">
        <f t="shared" ca="1" si="6"/>
        <v>#NAME?</v>
      </c>
      <c r="L74" s="9"/>
    </row>
    <row r="75" spans="1:12" s="1" customFormat="1" ht="13.15" x14ac:dyDescent="0.3">
      <c r="D75" s="14"/>
      <c r="F75" s="14"/>
      <c r="H75" s="15" t="e">
        <f ca="1">H25+H69+H74</f>
        <v>#NAME?</v>
      </c>
      <c r="I75" s="15"/>
      <c r="J75" s="15" t="e">
        <f ca="1">J25+J69+J74</f>
        <v>#NAME?</v>
      </c>
      <c r="K75" s="15" t="e">
        <f ca="1">K25+K69+K74</f>
        <v>#NAME?</v>
      </c>
      <c r="L75" s="9"/>
    </row>
    <row r="77" spans="1:12" x14ac:dyDescent="0.3">
      <c r="J77" s="16"/>
    </row>
  </sheetData>
  <autoFilter ref="A1:O75" xr:uid="{00000000-0009-0000-0000-000021000000}">
    <filterColumn colId="9">
      <filters>
        <filter val="0.70"/>
        <filter val="1.60"/>
        <filter val="10.00"/>
        <filter val="122.74"/>
        <filter val="2.00"/>
        <filter val="2.30"/>
        <filter val="3.00"/>
        <filter val="3.05"/>
        <filter val="3.45"/>
        <filter val="3.90"/>
        <filter val="4.10"/>
        <filter val="4.50"/>
        <filter val="4.89"/>
        <filter val="4.90"/>
        <filter val="5.00"/>
        <filter val="5.20"/>
        <filter val="5.45"/>
        <filter val="54.24"/>
        <filter val="59.30"/>
        <filter val="6.00"/>
        <filter val="6.60"/>
        <filter val="7.05"/>
        <filter val="7.60"/>
        <filter val="8.75"/>
        <filter val="9.20"/>
      </filters>
    </filterColumn>
  </autoFilter>
  <mergeCells count="3">
    <mergeCell ref="A25:B25"/>
    <mergeCell ref="A69:B69"/>
    <mergeCell ref="A74:B74"/>
  </mergeCells>
  <phoneticPr fontId="4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113"/>
  <sheetViews>
    <sheetView topLeftCell="A67" zoomScale="85" zoomScaleNormal="85" workbookViewId="0">
      <pane xSplit="1" topLeftCell="G1" activePane="topRight" state="frozen"/>
      <selection pane="topRight" activeCell="H70" sqref="H70"/>
    </sheetView>
  </sheetViews>
  <sheetFormatPr defaultColWidth="9" defaultRowHeight="19.5" customHeight="1" x14ac:dyDescent="0.3"/>
  <cols>
    <col min="1" max="1" width="52" style="306" customWidth="1"/>
    <col min="2" max="2" width="14" style="307" customWidth="1"/>
    <col min="3" max="3" width="16.59765625" style="307" customWidth="1"/>
    <col min="4" max="5" width="16.59765625" style="306" customWidth="1"/>
    <col min="6" max="6" width="15.86328125" style="306" customWidth="1"/>
    <col min="7" max="7" width="14.1328125" style="306" customWidth="1"/>
    <col min="8" max="8" width="19.3984375" style="308" customWidth="1"/>
    <col min="9" max="11" width="18.9296875" style="308" customWidth="1"/>
    <col min="12" max="12" width="18.46484375" style="308" customWidth="1"/>
    <col min="13" max="13" width="10.06640625" style="306" bestFit="1" customWidth="1"/>
    <col min="14" max="14" width="8.19921875" style="306" bestFit="1" customWidth="1"/>
    <col min="15" max="16384" width="9" style="306"/>
  </cols>
  <sheetData>
    <row r="1" spans="1:14" ht="19.5" customHeight="1" x14ac:dyDescent="0.3">
      <c r="A1" s="306">
        <v>10000</v>
      </c>
      <c r="B1" s="422" t="s">
        <v>12</v>
      </c>
      <c r="C1" s="422"/>
      <c r="D1" s="422"/>
      <c r="E1" s="422"/>
      <c r="F1" s="422"/>
      <c r="H1" s="418" t="s">
        <v>13</v>
      </c>
      <c r="I1" s="418"/>
      <c r="J1" s="418"/>
      <c r="K1" s="418"/>
      <c r="L1" s="418"/>
    </row>
    <row r="2" spans="1:14" ht="19.5" customHeight="1" x14ac:dyDescent="0.3">
      <c r="A2" s="279" t="s">
        <v>108</v>
      </c>
      <c r="B2" s="280" t="str">
        <f>首页!C3</f>
        <v>2024年1-9月</v>
      </c>
      <c r="C2" s="280" t="str">
        <f>首页!D3</f>
        <v>2023年度</v>
      </c>
      <c r="D2" s="280" t="str">
        <f>首页!E3</f>
        <v>2022年度</v>
      </c>
      <c r="E2" s="280" t="str">
        <f>首页!F3</f>
        <v>2021年度</v>
      </c>
      <c r="F2" s="280" t="str">
        <f>首页!G3</f>
        <v>2020年度</v>
      </c>
      <c r="G2" s="309" t="s">
        <v>15</v>
      </c>
      <c r="H2" s="281" t="str">
        <f>首页!C3</f>
        <v>2024年1-9月</v>
      </c>
      <c r="I2" s="281" t="str">
        <f>首页!D3</f>
        <v>2023年度</v>
      </c>
      <c r="J2" s="281" t="str">
        <f>首页!E3</f>
        <v>2022年度</v>
      </c>
      <c r="K2" s="281" t="str">
        <f>首页!F3</f>
        <v>2021年度</v>
      </c>
      <c r="L2" s="281" t="str">
        <f>首页!G3</f>
        <v>2020年度</v>
      </c>
    </row>
    <row r="3" spans="1:14" ht="19.5" customHeight="1" x14ac:dyDescent="0.3">
      <c r="A3" s="310" t="s">
        <v>109</v>
      </c>
      <c r="B3" s="311">
        <f>SUM(B4:B7)</f>
        <v>105582.91987300001</v>
      </c>
      <c r="C3" s="311">
        <f t="shared" ref="C3:F3" si="0">SUM(C4:C7)</f>
        <v>304366.00656999997</v>
      </c>
      <c r="D3" s="311">
        <f t="shared" si="0"/>
        <v>362387.85451199999</v>
      </c>
      <c r="E3" s="311">
        <f t="shared" si="0"/>
        <v>253550.623742</v>
      </c>
      <c r="F3" s="311">
        <f t="shared" si="0"/>
        <v>246396.00719800001</v>
      </c>
      <c r="G3" s="312">
        <f>SUM(B3:E3)</f>
        <v>1025887.4046969999</v>
      </c>
      <c r="H3" s="333">
        <v>1055829198.73</v>
      </c>
      <c r="I3" s="335">
        <v>3043660065.6999998</v>
      </c>
      <c r="J3" s="335">
        <v>3623878545.1199999</v>
      </c>
      <c r="K3" s="335">
        <v>2535506237.4200001</v>
      </c>
      <c r="L3" s="337">
        <v>2463960071.98</v>
      </c>
    </row>
    <row r="4" spans="1:14" ht="19.5" customHeight="1" x14ac:dyDescent="0.3">
      <c r="A4" s="314" t="s">
        <v>110</v>
      </c>
      <c r="B4" s="315">
        <f>H4/$A$1</f>
        <v>105582.91987300001</v>
      </c>
      <c r="C4" s="315">
        <f t="shared" ref="C4:F4" si="1">I4/$A$1</f>
        <v>304366.00656999997</v>
      </c>
      <c r="D4" s="315">
        <f t="shared" si="1"/>
        <v>362387.85451199999</v>
      </c>
      <c r="E4" s="315">
        <f t="shared" si="1"/>
        <v>253550.623742</v>
      </c>
      <c r="F4" s="315">
        <f t="shared" si="1"/>
        <v>246396.00719800001</v>
      </c>
      <c r="G4" s="312">
        <f>SUM(B4:E4)</f>
        <v>1025887.4046969999</v>
      </c>
      <c r="H4" s="333">
        <v>1055829198.73</v>
      </c>
      <c r="I4" s="335">
        <v>3043660065.6999998</v>
      </c>
      <c r="J4" s="333">
        <v>3623878545.1199999</v>
      </c>
      <c r="K4" s="333">
        <v>2535506237.4200001</v>
      </c>
      <c r="L4" s="333">
        <v>2463960071.98</v>
      </c>
      <c r="M4" s="339"/>
      <c r="N4" s="339"/>
    </row>
    <row r="5" spans="1:14" ht="19.5" customHeight="1" x14ac:dyDescent="0.3">
      <c r="A5" s="314" t="s">
        <v>111</v>
      </c>
      <c r="B5" s="315">
        <f t="shared" ref="B5:B6" si="2">H5/$A$1</f>
        <v>0</v>
      </c>
      <c r="C5" s="315">
        <f t="shared" ref="C5:C6" si="3">I5/$A$1</f>
        <v>0</v>
      </c>
      <c r="D5" s="315">
        <f t="shared" ref="D5:D6" si="4">J5/$A$1</f>
        <v>0</v>
      </c>
      <c r="E5" s="315">
        <f t="shared" ref="E5:E6" si="5">K5/$A$1</f>
        <v>0</v>
      </c>
      <c r="F5" s="315">
        <f t="shared" ref="F5:F6" si="6">L5/$A$1</f>
        <v>0</v>
      </c>
      <c r="G5" s="312">
        <f t="shared" ref="G5:G68" si="7">SUM(B5:E5)</f>
        <v>0</v>
      </c>
      <c r="H5" s="333"/>
      <c r="I5" s="334"/>
      <c r="J5" s="334"/>
      <c r="K5" s="334"/>
      <c r="L5" s="334"/>
      <c r="M5" s="340"/>
      <c r="N5" s="340"/>
    </row>
    <row r="6" spans="1:14" ht="19.5" customHeight="1" x14ac:dyDescent="0.3">
      <c r="A6" s="314" t="s">
        <v>112</v>
      </c>
      <c r="B6" s="315">
        <f t="shared" si="2"/>
        <v>0</v>
      </c>
      <c r="C6" s="315">
        <f t="shared" si="3"/>
        <v>0</v>
      </c>
      <c r="D6" s="315">
        <f t="shared" si="4"/>
        <v>0</v>
      </c>
      <c r="E6" s="315">
        <f t="shared" si="5"/>
        <v>0</v>
      </c>
      <c r="F6" s="315">
        <f t="shared" si="6"/>
        <v>0</v>
      </c>
      <c r="G6" s="312">
        <f t="shared" si="7"/>
        <v>0</v>
      </c>
      <c r="H6" s="333"/>
      <c r="I6" s="334"/>
      <c r="J6" s="334"/>
      <c r="K6" s="334"/>
      <c r="L6" s="334"/>
    </row>
    <row r="7" spans="1:14" ht="19.5" customHeight="1" x14ac:dyDescent="0.3">
      <c r="A7" s="314" t="s">
        <v>113</v>
      </c>
      <c r="B7" s="315">
        <f>H7/$A$1</f>
        <v>0</v>
      </c>
      <c r="C7" s="315">
        <f t="shared" ref="C7" si="8">I7/$A$1</f>
        <v>0</v>
      </c>
      <c r="D7" s="315">
        <f t="shared" ref="D7" si="9">J7/$A$1</f>
        <v>0</v>
      </c>
      <c r="E7" s="315">
        <f t="shared" ref="E7" si="10">K7/$A$1</f>
        <v>0</v>
      </c>
      <c r="F7" s="315">
        <f t="shared" ref="F7" si="11">L7/$A$1</f>
        <v>0</v>
      </c>
      <c r="G7" s="312">
        <f t="shared" si="7"/>
        <v>0</v>
      </c>
      <c r="H7" s="333"/>
      <c r="I7" s="334"/>
      <c r="J7" s="334"/>
      <c r="K7" s="334"/>
      <c r="L7" s="334"/>
    </row>
    <row r="8" spans="1:14" ht="19.5" customHeight="1" x14ac:dyDescent="0.3">
      <c r="A8" s="310" t="s">
        <v>114</v>
      </c>
      <c r="B8" s="311">
        <f>SUM(B9:B21)+SUM(B25)</f>
        <v>208073.96853399999</v>
      </c>
      <c r="C8" s="311">
        <f>SUM(C9:C21)+SUM(C25)</f>
        <v>425492.92187000002</v>
      </c>
      <c r="D8" s="311">
        <f>SUM(D9:D21)+SUM(D25)</f>
        <v>483297.054642</v>
      </c>
      <c r="E8" s="311">
        <f>SUM(E9:E21)+SUM(E25)</f>
        <v>367081.18645400001</v>
      </c>
      <c r="F8" s="311">
        <f>SUM(F9:F21)+SUM(F25)</f>
        <v>304675.19953399996</v>
      </c>
      <c r="G8" s="312">
        <f t="shared" si="7"/>
        <v>1483945.1314999999</v>
      </c>
      <c r="H8" s="333">
        <v>2080739685.3399999</v>
      </c>
      <c r="I8" s="335">
        <v>4254929218.6999998</v>
      </c>
      <c r="J8" s="335">
        <v>4832970546.4200001</v>
      </c>
      <c r="K8" s="335">
        <v>3670811864.54</v>
      </c>
      <c r="L8" s="335">
        <v>3046751995.3400002</v>
      </c>
      <c r="M8" s="326"/>
      <c r="N8" s="326"/>
    </row>
    <row r="9" spans="1:14" ht="19.5" customHeight="1" x14ac:dyDescent="0.3">
      <c r="A9" s="314" t="s">
        <v>115</v>
      </c>
      <c r="B9" s="315">
        <f>H9/$A$1</f>
        <v>113023.02680599999</v>
      </c>
      <c r="C9" s="315">
        <f t="shared" ref="C9:F9" si="12">I9/$A$1</f>
        <v>299435.49200799997</v>
      </c>
      <c r="D9" s="315">
        <f t="shared" si="12"/>
        <v>353920.19931699999</v>
      </c>
      <c r="E9" s="315">
        <f t="shared" si="12"/>
        <v>246074.90552299999</v>
      </c>
      <c r="F9" s="315">
        <f t="shared" si="12"/>
        <v>196704.03995499999</v>
      </c>
      <c r="G9" s="312">
        <f t="shared" si="7"/>
        <v>1012453.623654</v>
      </c>
      <c r="H9" s="333">
        <v>1130230268.0599999</v>
      </c>
      <c r="I9" s="335">
        <v>2994354920.0799999</v>
      </c>
      <c r="J9" s="333">
        <v>3539201993.1700001</v>
      </c>
      <c r="K9" s="333">
        <v>2460749055.23</v>
      </c>
      <c r="L9" s="333">
        <v>1967040399.55</v>
      </c>
      <c r="N9" s="340"/>
    </row>
    <row r="10" spans="1:14" ht="19.5" customHeight="1" x14ac:dyDescent="0.3">
      <c r="A10" s="314" t="s">
        <v>116</v>
      </c>
      <c r="B10" s="315">
        <f t="shared" ref="B10:B25" si="13">H10/$A$1</f>
        <v>0</v>
      </c>
      <c r="C10" s="315">
        <f t="shared" ref="C10:C25" si="14">I10/$A$1</f>
        <v>0</v>
      </c>
      <c r="D10" s="315">
        <f t="shared" ref="D10:E25" si="15">J10/$A$1</f>
        <v>0</v>
      </c>
      <c r="E10" s="315">
        <f t="shared" ref="E10:E24" si="16">K10/$A$1</f>
        <v>0</v>
      </c>
      <c r="F10" s="315">
        <f t="shared" ref="F10:F25" si="17">L10/$A$1</f>
        <v>0</v>
      </c>
      <c r="G10" s="312">
        <f t="shared" si="7"/>
        <v>0</v>
      </c>
      <c r="H10" s="333"/>
      <c r="I10" s="335"/>
      <c r="J10" s="334"/>
      <c r="K10" s="334"/>
      <c r="L10" s="334"/>
    </row>
    <row r="11" spans="1:14" ht="19.5" customHeight="1" x14ac:dyDescent="0.3">
      <c r="A11" s="314" t="s">
        <v>117</v>
      </c>
      <c r="B11" s="315">
        <f t="shared" si="13"/>
        <v>0</v>
      </c>
      <c r="C11" s="315">
        <f t="shared" si="14"/>
        <v>0</v>
      </c>
      <c r="D11" s="315">
        <f t="shared" si="15"/>
        <v>0</v>
      </c>
      <c r="E11" s="315">
        <f t="shared" si="16"/>
        <v>0</v>
      </c>
      <c r="F11" s="315">
        <f t="shared" si="17"/>
        <v>0</v>
      </c>
      <c r="G11" s="312">
        <f t="shared" si="7"/>
        <v>0</v>
      </c>
      <c r="H11" s="333"/>
      <c r="I11" s="334"/>
      <c r="J11" s="334"/>
      <c r="K11" s="334"/>
      <c r="L11" s="334"/>
    </row>
    <row r="12" spans="1:14" ht="19.5" customHeight="1" x14ac:dyDescent="0.3">
      <c r="A12" s="314" t="s">
        <v>118</v>
      </c>
      <c r="B12" s="315">
        <f t="shared" si="13"/>
        <v>0</v>
      </c>
      <c r="C12" s="315">
        <f t="shared" si="14"/>
        <v>0</v>
      </c>
      <c r="D12" s="315">
        <f t="shared" si="15"/>
        <v>0</v>
      </c>
      <c r="E12" s="315">
        <f t="shared" si="16"/>
        <v>0</v>
      </c>
      <c r="F12" s="315">
        <f t="shared" si="17"/>
        <v>0</v>
      </c>
      <c r="G12" s="312">
        <f t="shared" si="7"/>
        <v>0</v>
      </c>
      <c r="H12" s="333"/>
      <c r="I12" s="334"/>
      <c r="J12" s="334"/>
      <c r="K12" s="334"/>
      <c r="L12" s="334"/>
    </row>
    <row r="13" spans="1:14" ht="19.5" customHeight="1" x14ac:dyDescent="0.3">
      <c r="A13" s="314" t="s">
        <v>119</v>
      </c>
      <c r="B13" s="315">
        <f t="shared" si="13"/>
        <v>0</v>
      </c>
      <c r="C13" s="315">
        <f t="shared" si="14"/>
        <v>0</v>
      </c>
      <c r="D13" s="315">
        <f t="shared" si="15"/>
        <v>0</v>
      </c>
      <c r="E13" s="315">
        <f t="shared" si="16"/>
        <v>0</v>
      </c>
      <c r="F13" s="315">
        <f t="shared" si="17"/>
        <v>0</v>
      </c>
      <c r="G13" s="312">
        <f t="shared" si="7"/>
        <v>0</v>
      </c>
      <c r="H13" s="333"/>
      <c r="I13" s="334"/>
      <c r="J13" s="334"/>
      <c r="K13" s="334"/>
      <c r="L13" s="334"/>
    </row>
    <row r="14" spans="1:14" ht="19.5" customHeight="1" x14ac:dyDescent="0.3">
      <c r="A14" s="314" t="s">
        <v>120</v>
      </c>
      <c r="B14" s="315">
        <f t="shared" si="13"/>
        <v>0</v>
      </c>
      <c r="C14" s="315">
        <f t="shared" si="14"/>
        <v>0</v>
      </c>
      <c r="D14" s="315">
        <f t="shared" si="15"/>
        <v>0</v>
      </c>
      <c r="E14" s="315">
        <f t="shared" si="16"/>
        <v>0</v>
      </c>
      <c r="F14" s="315">
        <f t="shared" si="17"/>
        <v>0</v>
      </c>
      <c r="G14" s="312">
        <f t="shared" si="7"/>
        <v>0</v>
      </c>
      <c r="H14" s="333"/>
      <c r="I14" s="334"/>
      <c r="J14" s="334"/>
      <c r="K14" s="334"/>
      <c r="L14" s="334"/>
    </row>
    <row r="15" spans="1:14" ht="19.5" customHeight="1" x14ac:dyDescent="0.3">
      <c r="A15" s="314" t="s">
        <v>121</v>
      </c>
      <c r="B15" s="315">
        <f t="shared" si="13"/>
        <v>0</v>
      </c>
      <c r="C15" s="315">
        <f t="shared" si="14"/>
        <v>0</v>
      </c>
      <c r="D15" s="315">
        <f t="shared" si="15"/>
        <v>0</v>
      </c>
      <c r="E15" s="315">
        <f t="shared" si="16"/>
        <v>0</v>
      </c>
      <c r="F15" s="315">
        <f t="shared" si="17"/>
        <v>0</v>
      </c>
      <c r="G15" s="312">
        <f t="shared" si="7"/>
        <v>0</v>
      </c>
      <c r="H15" s="333"/>
      <c r="I15" s="334"/>
      <c r="J15" s="334"/>
      <c r="K15" s="334"/>
      <c r="L15" s="334"/>
    </row>
    <row r="16" spans="1:14" ht="19.5" customHeight="1" x14ac:dyDescent="0.3">
      <c r="A16" s="314" t="s">
        <v>122</v>
      </c>
      <c r="B16" s="315">
        <f t="shared" si="13"/>
        <v>0</v>
      </c>
      <c r="C16" s="315">
        <f t="shared" si="14"/>
        <v>0</v>
      </c>
      <c r="D16" s="315">
        <f t="shared" si="15"/>
        <v>0</v>
      </c>
      <c r="E16" s="315">
        <f t="shared" si="16"/>
        <v>0</v>
      </c>
      <c r="F16" s="315">
        <f t="shared" si="17"/>
        <v>0</v>
      </c>
      <c r="G16" s="312">
        <f t="shared" si="7"/>
        <v>0</v>
      </c>
      <c r="H16" s="333"/>
      <c r="I16" s="334"/>
      <c r="J16" s="334"/>
      <c r="K16" s="334"/>
      <c r="L16" s="334"/>
    </row>
    <row r="17" spans="1:14" ht="19.5" customHeight="1" x14ac:dyDescent="0.3">
      <c r="A17" s="314" t="s">
        <v>123</v>
      </c>
      <c r="B17" s="315">
        <f t="shared" si="13"/>
        <v>7202.2298959999989</v>
      </c>
      <c r="C17" s="315">
        <f t="shared" si="14"/>
        <v>5646.8317560000005</v>
      </c>
      <c r="D17" s="315">
        <f t="shared" si="15"/>
        <v>5459.5963750000001</v>
      </c>
      <c r="E17" s="315">
        <f t="shared" si="16"/>
        <v>2866.6924210000002</v>
      </c>
      <c r="F17" s="315">
        <f t="shared" si="17"/>
        <v>2092.3476300000002</v>
      </c>
      <c r="G17" s="312">
        <f t="shared" si="7"/>
        <v>21175.350448000001</v>
      </c>
      <c r="H17" s="333">
        <v>72022298.959999993</v>
      </c>
      <c r="I17" s="333">
        <v>56468317.560000002</v>
      </c>
      <c r="J17" s="333">
        <v>54595963.75</v>
      </c>
      <c r="K17" s="333">
        <v>28666924.210000001</v>
      </c>
      <c r="L17" s="333">
        <v>20923476.300000001</v>
      </c>
    </row>
    <row r="18" spans="1:14" ht="19.5" customHeight="1" x14ac:dyDescent="0.3">
      <c r="A18" s="314" t="s">
        <v>124</v>
      </c>
      <c r="B18" s="315">
        <f>H18/$A$1</f>
        <v>2743.6167110000001</v>
      </c>
      <c r="C18" s="315">
        <f t="shared" si="14"/>
        <v>3536.7898149999996</v>
      </c>
      <c r="D18" s="315">
        <f t="shared" si="15"/>
        <v>4147.0101789999999</v>
      </c>
      <c r="E18" s="315">
        <f t="shared" si="16"/>
        <v>3635.1323429999998</v>
      </c>
      <c r="F18" s="315">
        <f t="shared" si="17"/>
        <v>5401.221998</v>
      </c>
      <c r="G18" s="312">
        <f t="shared" si="7"/>
        <v>14062.549047999999</v>
      </c>
      <c r="H18" s="333">
        <v>27436167.109999999</v>
      </c>
      <c r="I18" s="333">
        <v>35367898.149999999</v>
      </c>
      <c r="J18" s="333">
        <v>41470101.789999999</v>
      </c>
      <c r="K18" s="333">
        <v>36351323.43</v>
      </c>
      <c r="L18" s="333">
        <v>54012219.979999997</v>
      </c>
    </row>
    <row r="19" spans="1:14" ht="19.5" customHeight="1" x14ac:dyDescent="0.3">
      <c r="A19" s="314" t="s">
        <v>125</v>
      </c>
      <c r="B19" s="315">
        <f t="shared" si="13"/>
        <v>11887.710231999999</v>
      </c>
      <c r="C19" s="315">
        <f t="shared" si="14"/>
        <v>13208.526551999999</v>
      </c>
      <c r="D19" s="315">
        <f t="shared" si="15"/>
        <v>11920.238559000001</v>
      </c>
      <c r="E19" s="315">
        <f t="shared" si="16"/>
        <v>14068.047861000001</v>
      </c>
      <c r="F19" s="315">
        <f t="shared" si="17"/>
        <v>9211.910926999999</v>
      </c>
      <c r="G19" s="312">
        <f t="shared" si="7"/>
        <v>51084.523203999997</v>
      </c>
      <c r="H19" s="333">
        <v>118877102.31999999</v>
      </c>
      <c r="I19" s="333">
        <v>132085265.52</v>
      </c>
      <c r="J19" s="333">
        <v>119202385.59</v>
      </c>
      <c r="K19" s="333">
        <v>140680478.61000001</v>
      </c>
      <c r="L19" s="333">
        <v>92119109.269999996</v>
      </c>
    </row>
    <row r="20" spans="1:14" ht="19.5" customHeight="1" x14ac:dyDescent="0.3">
      <c r="A20" s="314" t="s">
        <v>126</v>
      </c>
      <c r="B20" s="315">
        <f t="shared" si="13"/>
        <v>0</v>
      </c>
      <c r="C20" s="315">
        <f t="shared" si="14"/>
        <v>0</v>
      </c>
      <c r="D20" s="315">
        <f t="shared" si="15"/>
        <v>0</v>
      </c>
      <c r="E20" s="315">
        <f t="shared" si="16"/>
        <v>0</v>
      </c>
      <c r="F20" s="315">
        <f t="shared" si="17"/>
        <v>0</v>
      </c>
      <c r="G20" s="312">
        <f t="shared" si="7"/>
        <v>0</v>
      </c>
      <c r="H20" s="334"/>
      <c r="I20" s="341"/>
      <c r="J20" s="342"/>
      <c r="K20" s="342"/>
      <c r="L20" s="342"/>
    </row>
    <row r="21" spans="1:14" ht="19.5" customHeight="1" x14ac:dyDescent="0.3">
      <c r="A21" s="314" t="s">
        <v>127</v>
      </c>
      <c r="B21" s="315">
        <f>H21/$A$1</f>
        <v>73217.384888999994</v>
      </c>
      <c r="C21" s="315">
        <f t="shared" si="14"/>
        <v>103665.281739</v>
      </c>
      <c r="D21" s="315">
        <f t="shared" si="15"/>
        <v>107850.01021199999</v>
      </c>
      <c r="E21" s="315">
        <f t="shared" si="16"/>
        <v>100436.408306</v>
      </c>
      <c r="F21" s="315">
        <f t="shared" si="17"/>
        <v>91265.679023999997</v>
      </c>
      <c r="G21" s="312">
        <f t="shared" si="7"/>
        <v>385169.08514599997</v>
      </c>
      <c r="H21" s="333">
        <v>732173848.88999999</v>
      </c>
      <c r="I21" s="333">
        <v>1036652817.39</v>
      </c>
      <c r="J21" s="333">
        <v>1078500102.1199999</v>
      </c>
      <c r="K21" s="336">
        <v>1004364083.0599999</v>
      </c>
      <c r="L21" s="336">
        <v>912656790.24000001</v>
      </c>
    </row>
    <row r="22" spans="1:14" ht="19.5" customHeight="1" x14ac:dyDescent="0.3">
      <c r="A22" s="316" t="s">
        <v>128</v>
      </c>
      <c r="B22" s="315">
        <f t="shared" si="13"/>
        <v>0</v>
      </c>
      <c r="C22" s="315">
        <f t="shared" si="14"/>
        <v>114035.889056</v>
      </c>
      <c r="D22" s="315">
        <f t="shared" si="15"/>
        <v>126103.376603</v>
      </c>
      <c r="E22" s="315">
        <f t="shared" si="16"/>
        <v>119170.577255</v>
      </c>
      <c r="F22" s="315">
        <f t="shared" si="17"/>
        <v>102772.46719299999</v>
      </c>
      <c r="G22" s="312">
        <f t="shared" si="7"/>
        <v>359309.84291399998</v>
      </c>
      <c r="H22" s="335"/>
      <c r="I22" s="333">
        <v>1140358890.5599999</v>
      </c>
      <c r="J22" s="333">
        <v>1261033766.03</v>
      </c>
      <c r="K22" s="336">
        <v>1191705772.55</v>
      </c>
      <c r="L22" s="336">
        <v>1027724671.9299999</v>
      </c>
    </row>
    <row r="23" spans="1:14" ht="19.5" customHeight="1" x14ac:dyDescent="0.3">
      <c r="A23" s="316" t="s">
        <v>129</v>
      </c>
      <c r="B23" s="315">
        <f t="shared" si="13"/>
        <v>0</v>
      </c>
      <c r="C23" s="315">
        <f t="shared" si="14"/>
        <v>10394.889884999999</v>
      </c>
      <c r="D23" s="315">
        <f t="shared" si="15"/>
        <v>18321.76209</v>
      </c>
      <c r="E23" s="315">
        <f t="shared" si="16"/>
        <v>19109.277007000001</v>
      </c>
      <c r="F23" s="315">
        <f t="shared" si="17"/>
        <v>11652.724320000001</v>
      </c>
      <c r="G23" s="312">
        <f t="shared" si="7"/>
        <v>47825.928981999998</v>
      </c>
      <c r="H23" s="335"/>
      <c r="I23" s="333">
        <v>103948898.84999999</v>
      </c>
      <c r="J23" s="333">
        <v>183217620.90000001</v>
      </c>
      <c r="K23" s="336">
        <v>191092770.06999999</v>
      </c>
      <c r="L23" s="336">
        <v>116527243.2</v>
      </c>
    </row>
    <row r="24" spans="1:14" ht="19.5" customHeight="1" x14ac:dyDescent="0.3">
      <c r="A24" s="317" t="s">
        <v>130</v>
      </c>
      <c r="B24" s="315">
        <f t="shared" si="13"/>
        <v>0</v>
      </c>
      <c r="C24" s="315">
        <f t="shared" si="14"/>
        <v>0</v>
      </c>
      <c r="D24" s="315">
        <f t="shared" si="15"/>
        <v>0</v>
      </c>
      <c r="E24" s="315">
        <f t="shared" si="16"/>
        <v>0</v>
      </c>
      <c r="F24" s="315">
        <f t="shared" si="17"/>
        <v>0</v>
      </c>
      <c r="G24" s="312">
        <f t="shared" si="7"/>
        <v>0</v>
      </c>
      <c r="H24" s="334"/>
      <c r="I24" s="334"/>
      <c r="J24" s="334"/>
      <c r="K24" s="334"/>
      <c r="L24" s="334"/>
    </row>
    <row r="25" spans="1:14" ht="19.5" customHeight="1" x14ac:dyDescent="0.3">
      <c r="A25" s="316" t="s">
        <v>131</v>
      </c>
      <c r="B25" s="315">
        <f t="shared" si="13"/>
        <v>0</v>
      </c>
      <c r="C25" s="315">
        <f t="shared" si="14"/>
        <v>0</v>
      </c>
      <c r="D25" s="315">
        <f t="shared" si="15"/>
        <v>0</v>
      </c>
      <c r="E25" s="315">
        <f t="shared" si="15"/>
        <v>0</v>
      </c>
      <c r="F25" s="315">
        <f t="shared" si="17"/>
        <v>0</v>
      </c>
      <c r="G25" s="312">
        <f t="shared" si="7"/>
        <v>0</v>
      </c>
      <c r="H25" s="334"/>
      <c r="I25" s="334"/>
      <c r="J25" s="334"/>
      <c r="K25" s="334"/>
      <c r="L25" s="334"/>
    </row>
    <row r="26" spans="1:14" ht="19.5" customHeight="1" x14ac:dyDescent="0.3">
      <c r="A26" s="316" t="s">
        <v>132</v>
      </c>
      <c r="B26" s="315">
        <f>H26/$A$1</f>
        <v>73120.712677000003</v>
      </c>
      <c r="C26" s="315">
        <f t="shared" ref="C26" si="18">I26/$A$1</f>
        <v>110122.738543</v>
      </c>
      <c r="D26" s="315">
        <f t="shared" ref="D26:E26" si="19">J26/$A$1</f>
        <v>104311.07100499999</v>
      </c>
      <c r="E26" s="315">
        <f t="shared" si="19"/>
        <v>106899.244792</v>
      </c>
      <c r="F26" s="315">
        <f t="shared" ref="F26" si="20">L26/$A$1</f>
        <v>89217.205549999999</v>
      </c>
      <c r="G26" s="312">
        <f t="shared" si="7"/>
        <v>394453.76701699995</v>
      </c>
      <c r="H26" s="335">
        <v>731207126.76999998</v>
      </c>
      <c r="I26" s="336">
        <v>1101227385.4300001</v>
      </c>
      <c r="J26" s="336">
        <v>1043110710.05</v>
      </c>
      <c r="K26" s="334">
        <v>1068992447.92</v>
      </c>
      <c r="L26" s="333">
        <v>892172055.5</v>
      </c>
      <c r="M26" s="340"/>
      <c r="N26" s="340"/>
    </row>
    <row r="27" spans="1:14" ht="19.5" customHeight="1" x14ac:dyDescent="0.3">
      <c r="A27" s="314" t="s">
        <v>133</v>
      </c>
      <c r="B27" s="315">
        <f t="shared" ref="B27:B35" si="21">H27/$A$1</f>
        <v>34266.250577999999</v>
      </c>
      <c r="C27" s="315">
        <f t="shared" ref="C27:C33" si="22">I27/$A$1</f>
        <v>53579.242633999995</v>
      </c>
      <c r="D27" s="315">
        <f t="shared" ref="D27:E33" si="23">J27/$A$1</f>
        <v>49615.806565999999</v>
      </c>
      <c r="E27" s="315">
        <f t="shared" si="23"/>
        <v>42082.783252000001</v>
      </c>
      <c r="F27" s="315">
        <f t="shared" ref="F27:F35" si="24">L27/$A$1</f>
        <v>-5.2679510000000001</v>
      </c>
      <c r="G27" s="312">
        <f t="shared" si="7"/>
        <v>179544.08302999998</v>
      </c>
      <c r="H27" s="336">
        <v>342662505.77999997</v>
      </c>
      <c r="I27" s="336">
        <v>535792426.33999997</v>
      </c>
      <c r="J27" s="336">
        <v>496158065.66000003</v>
      </c>
      <c r="K27" s="333">
        <v>420827832.51999998</v>
      </c>
      <c r="L27" s="333">
        <v>-52679.51</v>
      </c>
      <c r="M27" s="328"/>
      <c r="N27" s="328"/>
    </row>
    <row r="28" spans="1:14" ht="19.5" customHeight="1" x14ac:dyDescent="0.3">
      <c r="A28" s="317" t="s">
        <v>134</v>
      </c>
      <c r="B28" s="315">
        <f t="shared" si="21"/>
        <v>0</v>
      </c>
      <c r="C28" s="315">
        <f t="shared" si="22"/>
        <v>1689.812664</v>
      </c>
      <c r="D28" s="315">
        <f t="shared" si="23"/>
        <v>1238.2798359999999</v>
      </c>
      <c r="E28" s="315">
        <f t="shared" si="23"/>
        <v>-312.09769900000003</v>
      </c>
      <c r="F28" s="315">
        <f t="shared" si="24"/>
        <v>-5.2679510000000001</v>
      </c>
      <c r="G28" s="312">
        <f t="shared" si="7"/>
        <v>2615.9948009999998</v>
      </c>
      <c r="H28" s="334"/>
      <c r="I28" s="336">
        <v>16898126.640000001</v>
      </c>
      <c r="J28" s="334">
        <v>12382798.359999999</v>
      </c>
      <c r="K28" s="333">
        <v>-3120976.99</v>
      </c>
      <c r="L28" s="337">
        <v>-52679.51</v>
      </c>
      <c r="M28" s="340"/>
      <c r="N28" s="340"/>
    </row>
    <row r="29" spans="1:14" ht="19.5" customHeight="1" x14ac:dyDescent="0.3">
      <c r="A29" s="317" t="s">
        <v>135</v>
      </c>
      <c r="B29" s="315">
        <f t="shared" si="21"/>
        <v>0</v>
      </c>
      <c r="C29" s="315">
        <f t="shared" si="22"/>
        <v>0</v>
      </c>
      <c r="D29" s="315">
        <f t="shared" si="23"/>
        <v>0</v>
      </c>
      <c r="E29" s="315">
        <f>K30/$A$1</f>
        <v>0</v>
      </c>
      <c r="F29" s="315">
        <f t="shared" si="24"/>
        <v>0</v>
      </c>
      <c r="G29" s="312">
        <f t="shared" si="7"/>
        <v>0</v>
      </c>
      <c r="H29" s="334"/>
      <c r="I29" s="334"/>
      <c r="J29" s="334"/>
      <c r="K29" s="334"/>
      <c r="L29" s="337"/>
    </row>
    <row r="30" spans="1:14" ht="19.5" customHeight="1" x14ac:dyDescent="0.3">
      <c r="A30" s="317" t="s">
        <v>136</v>
      </c>
      <c r="B30" s="315">
        <f t="shared" si="21"/>
        <v>0</v>
      </c>
      <c r="C30" s="315">
        <f t="shared" si="22"/>
        <v>0</v>
      </c>
      <c r="D30" s="315">
        <f t="shared" si="23"/>
        <v>0</v>
      </c>
      <c r="E30" s="315">
        <f>K31/$A$1</f>
        <v>0</v>
      </c>
      <c r="F30" s="315">
        <f t="shared" si="24"/>
        <v>0</v>
      </c>
      <c r="G30" s="312">
        <f t="shared" si="7"/>
        <v>0</v>
      </c>
      <c r="H30" s="334"/>
      <c r="I30" s="334"/>
      <c r="J30" s="334"/>
      <c r="K30" s="334"/>
      <c r="L30" s="337"/>
    </row>
    <row r="31" spans="1:14" ht="19.5" customHeight="1" x14ac:dyDescent="0.3">
      <c r="A31" s="317" t="s">
        <v>137</v>
      </c>
      <c r="B31" s="315">
        <f t="shared" si="21"/>
        <v>0</v>
      </c>
      <c r="C31" s="315">
        <f t="shared" si="22"/>
        <v>0</v>
      </c>
      <c r="D31" s="315">
        <f t="shared" si="23"/>
        <v>0</v>
      </c>
      <c r="E31" s="315">
        <f>K32/$A$1</f>
        <v>0</v>
      </c>
      <c r="F31" s="315">
        <f t="shared" si="24"/>
        <v>0</v>
      </c>
      <c r="G31" s="312">
        <f t="shared" si="7"/>
        <v>0</v>
      </c>
      <c r="H31" s="334"/>
      <c r="I31" s="334"/>
      <c r="J31" s="334"/>
      <c r="K31" s="334"/>
      <c r="L31" s="337"/>
    </row>
    <row r="32" spans="1:14" ht="19.5" customHeight="1" x14ac:dyDescent="0.3">
      <c r="A32" s="314" t="s">
        <v>138</v>
      </c>
      <c r="B32" s="315">
        <f t="shared" si="21"/>
        <v>0</v>
      </c>
      <c r="C32" s="315">
        <f>I32/$A$1</f>
        <v>-10437.959999999999</v>
      </c>
      <c r="D32" s="315">
        <f t="shared" si="23"/>
        <v>111.60838600000001</v>
      </c>
      <c r="E32" s="315">
        <f>K33/$A$1</f>
        <v>-3981.059604</v>
      </c>
      <c r="F32" s="315">
        <f t="shared" si="24"/>
        <v>0</v>
      </c>
      <c r="G32" s="312">
        <f t="shared" si="7"/>
        <v>-14307.411217999999</v>
      </c>
      <c r="H32" s="334"/>
      <c r="I32" s="338">
        <v>-104379600</v>
      </c>
      <c r="J32" s="338">
        <v>1116083.8600000001</v>
      </c>
      <c r="K32" s="334"/>
      <c r="L32" s="335"/>
    </row>
    <row r="33" spans="1:16" ht="19.5" customHeight="1" x14ac:dyDescent="0.3">
      <c r="A33" s="314" t="s">
        <v>139</v>
      </c>
      <c r="B33" s="315">
        <f t="shared" si="21"/>
        <v>-4538.5396869999995</v>
      </c>
      <c r="C33" s="315">
        <f t="shared" si="22"/>
        <v>-2265.5968469999998</v>
      </c>
      <c r="D33" s="315">
        <f t="shared" si="23"/>
        <v>230.48809399999999</v>
      </c>
      <c r="E33" s="315">
        <f>K34/$A$1</f>
        <v>0</v>
      </c>
      <c r="F33" s="315">
        <f t="shared" si="24"/>
        <v>0</v>
      </c>
      <c r="G33" s="312">
        <f t="shared" si="7"/>
        <v>-6573.648439999999</v>
      </c>
      <c r="H33" s="334">
        <v>-45385396.869999997</v>
      </c>
      <c r="I33" s="336">
        <v>-22655968.469999999</v>
      </c>
      <c r="J33" s="336">
        <v>2304880.94</v>
      </c>
      <c r="K33" s="335">
        <v>-39810596.039999999</v>
      </c>
      <c r="L33" s="333"/>
    </row>
    <row r="34" spans="1:16" ht="19.5" customHeight="1" x14ac:dyDescent="0.3">
      <c r="A34" s="314" t="s">
        <v>140</v>
      </c>
      <c r="B34" s="315">
        <f t="shared" si="21"/>
        <v>0</v>
      </c>
      <c r="C34" s="315">
        <f t="shared" ref="C34:E35" si="25">I34/$A$1</f>
        <v>0</v>
      </c>
      <c r="D34" s="315">
        <f t="shared" si="25"/>
        <v>0</v>
      </c>
      <c r="E34" s="315">
        <f t="shared" si="25"/>
        <v>0</v>
      </c>
      <c r="F34" s="315">
        <f t="shared" si="24"/>
        <v>-2119.6538930000002</v>
      </c>
      <c r="G34" s="312">
        <f t="shared" si="7"/>
        <v>0</v>
      </c>
      <c r="H34" s="334"/>
      <c r="I34" s="343"/>
      <c r="J34" s="336"/>
      <c r="K34" s="333"/>
      <c r="L34" s="333">
        <v>-21196538.93</v>
      </c>
    </row>
    <row r="35" spans="1:16" ht="19.5" customHeight="1" x14ac:dyDescent="0.3">
      <c r="A35" s="317" t="s">
        <v>141</v>
      </c>
      <c r="B35" s="315">
        <f t="shared" si="21"/>
        <v>0</v>
      </c>
      <c r="C35" s="315">
        <f t="shared" si="25"/>
        <v>0</v>
      </c>
      <c r="D35" s="315">
        <f t="shared" si="25"/>
        <v>-4.803077</v>
      </c>
      <c r="E35" s="315">
        <f t="shared" si="25"/>
        <v>7.9854380000000003</v>
      </c>
      <c r="F35" s="315">
        <f t="shared" si="24"/>
        <v>0</v>
      </c>
      <c r="G35" s="312">
        <f t="shared" si="7"/>
        <v>3.1823610000000002</v>
      </c>
      <c r="H35" s="334"/>
      <c r="I35" s="343"/>
      <c r="J35" s="336">
        <v>-48030.77</v>
      </c>
      <c r="K35" s="333">
        <v>79854.38</v>
      </c>
      <c r="L35" s="342"/>
    </row>
    <row r="36" spans="1:16" ht="19.5" customHeight="1" x14ac:dyDescent="0.3">
      <c r="A36" s="310" t="s">
        <v>142</v>
      </c>
      <c r="B36" s="318">
        <f>B3-B8+SUM(B26:B27)+SUM(B30:B35)</f>
        <v>357.37490700003127</v>
      </c>
      <c r="C36" s="318">
        <f>C3-C8+SUM(C26:C27)+SUM(C30:C35)</f>
        <v>29871.509029999928</v>
      </c>
      <c r="D36" s="318">
        <f t="shared" ref="D36:E36" si="26">D3-D8+SUM(D26:D27)+SUM(D30:D35)</f>
        <v>33354.970843999981</v>
      </c>
      <c r="E36" s="318">
        <f t="shared" si="26"/>
        <v>31478.391165999994</v>
      </c>
      <c r="F36" s="318">
        <f t="shared" ref="F36" si="27">F3-F8+SUM(F26:F27)+SUM(F30:F35)</f>
        <v>28813.091370000049</v>
      </c>
      <c r="G36" s="312">
        <f t="shared" si="7"/>
        <v>95062.24594699993</v>
      </c>
      <c r="H36" s="335">
        <v>3573749.09</v>
      </c>
      <c r="I36" s="336">
        <v>298715090.30000001</v>
      </c>
      <c r="J36" s="335">
        <v>333549708.44</v>
      </c>
      <c r="K36" s="333">
        <v>314783911.66000003</v>
      </c>
      <c r="L36" s="344">
        <v>288130913.69999999</v>
      </c>
      <c r="N36" s="328"/>
    </row>
    <row r="37" spans="1:16" ht="19.5" customHeight="1" x14ac:dyDescent="0.3">
      <c r="A37" s="314" t="s">
        <v>143</v>
      </c>
      <c r="B37" s="315">
        <f>H37/$A$1</f>
        <v>288.15706600000004</v>
      </c>
      <c r="C37" s="315">
        <f t="shared" ref="C37:F37" si="28">I37/$A$1</f>
        <v>62.620649999999998</v>
      </c>
      <c r="D37" s="315">
        <f t="shared" si="28"/>
        <v>127.13368</v>
      </c>
      <c r="E37" s="315">
        <f t="shared" si="28"/>
        <v>1281.922847</v>
      </c>
      <c r="F37" s="315">
        <f t="shared" si="28"/>
        <v>97.668756999999999</v>
      </c>
      <c r="G37" s="312">
        <f t="shared" si="7"/>
        <v>1759.8342430000002</v>
      </c>
      <c r="H37" s="335">
        <v>2881570.66</v>
      </c>
      <c r="I37" s="336">
        <v>626206.5</v>
      </c>
      <c r="J37" s="333">
        <v>1271336.8</v>
      </c>
      <c r="K37" s="335">
        <v>12819228.470000001</v>
      </c>
      <c r="L37" s="333">
        <v>976687.57</v>
      </c>
    </row>
    <row r="38" spans="1:16" ht="19.5" customHeight="1" x14ac:dyDescent="0.3">
      <c r="A38" s="314" t="s">
        <v>144</v>
      </c>
      <c r="B38" s="315">
        <f>H38/$A$1</f>
        <v>354.65096199999999</v>
      </c>
      <c r="C38" s="315">
        <f t="shared" ref="C38" si="29">I38/$A$1</f>
        <v>6942.3363549999995</v>
      </c>
      <c r="D38" s="315">
        <f t="shared" ref="D38:E38" si="30">J38/$A$1</f>
        <v>522.83862999999997</v>
      </c>
      <c r="E38" s="315">
        <f t="shared" si="30"/>
        <v>893.10178000000008</v>
      </c>
      <c r="F38" s="315">
        <f t="shared" ref="F38" si="31">L38/$A$1</f>
        <v>336.78455299999996</v>
      </c>
      <c r="G38" s="312">
        <f t="shared" si="7"/>
        <v>8712.9277270000002</v>
      </c>
      <c r="H38" s="335">
        <v>3546509.62</v>
      </c>
      <c r="I38" s="336">
        <v>69423363.549999997</v>
      </c>
      <c r="J38" s="333">
        <v>5228386.3</v>
      </c>
      <c r="K38" s="336">
        <v>8931017.8000000007</v>
      </c>
      <c r="L38" s="333">
        <v>3367845.53</v>
      </c>
    </row>
    <row r="39" spans="1:16" ht="19.5" customHeight="1" x14ac:dyDescent="0.3">
      <c r="A39" s="310" t="s">
        <v>145</v>
      </c>
      <c r="B39" s="318">
        <f>B36+B37-B38</f>
        <v>290.88101100003126</v>
      </c>
      <c r="C39" s="318">
        <f t="shared" ref="C39:F39" si="32">C36+C37-C38</f>
        <v>22991.79332499993</v>
      </c>
      <c r="D39" s="318">
        <f t="shared" si="32"/>
        <v>32959.265893999982</v>
      </c>
      <c r="E39" s="318">
        <f t="shared" ref="E39" si="33">E36+E37-E38</f>
        <v>31867.212232999995</v>
      </c>
      <c r="F39" s="318">
        <f t="shared" si="32"/>
        <v>28573.975574000047</v>
      </c>
      <c r="G39" s="312">
        <f t="shared" si="7"/>
        <v>88109.152462999933</v>
      </c>
      <c r="H39" s="335">
        <v>2908810.11</v>
      </c>
      <c r="I39" s="336">
        <v>229917933.25</v>
      </c>
      <c r="J39" s="335" t="s">
        <v>146</v>
      </c>
      <c r="K39" s="336">
        <v>318672122.32999998</v>
      </c>
      <c r="L39" s="335">
        <v>285739755.74000001</v>
      </c>
    </row>
    <row r="40" spans="1:16" ht="19.5" customHeight="1" x14ac:dyDescent="0.3">
      <c r="A40" s="314" t="s">
        <v>147</v>
      </c>
      <c r="B40" s="315">
        <f>H40/$A$1</f>
        <v>55.272321999999996</v>
      </c>
      <c r="C40" s="315">
        <f t="shared" ref="C40:F40" si="34">I40/$A$1</f>
        <v>-2264.9261609999999</v>
      </c>
      <c r="D40" s="315">
        <f t="shared" si="34"/>
        <v>-0.14918800000000002</v>
      </c>
      <c r="E40" s="315">
        <f t="shared" si="34"/>
        <v>4286.1926240000003</v>
      </c>
      <c r="F40" s="315">
        <f t="shared" si="34"/>
        <v>1531.8998470000001</v>
      </c>
      <c r="G40" s="312">
        <f t="shared" si="7"/>
        <v>2076.3895970000003</v>
      </c>
      <c r="H40" s="335">
        <v>552723.22</v>
      </c>
      <c r="I40" s="335">
        <v>-22649261.609999999</v>
      </c>
      <c r="J40" s="333">
        <v>-1491.88</v>
      </c>
      <c r="K40" s="335">
        <v>42861926.240000002</v>
      </c>
      <c r="L40" s="333">
        <v>15318998.470000001</v>
      </c>
    </row>
    <row r="41" spans="1:16" ht="19.5" customHeight="1" x14ac:dyDescent="0.3">
      <c r="A41" s="310" t="s">
        <v>148</v>
      </c>
      <c r="B41" s="318">
        <f>B39-B40</f>
        <v>235.60868900003126</v>
      </c>
      <c r="C41" s="318">
        <f t="shared" ref="C41:F41" si="35">C39-C40</f>
        <v>25256.719485999929</v>
      </c>
      <c r="D41" s="318">
        <f t="shared" si="35"/>
        <v>32959.415081999985</v>
      </c>
      <c r="E41" s="318">
        <f t="shared" ref="E41" si="36">E39-E40</f>
        <v>27581.019608999995</v>
      </c>
      <c r="F41" s="318">
        <f t="shared" si="35"/>
        <v>27042.075727000047</v>
      </c>
      <c r="G41" s="312">
        <f t="shared" si="7"/>
        <v>86032.762865999946</v>
      </c>
      <c r="H41" s="335">
        <v>2356086.89</v>
      </c>
      <c r="I41" s="335">
        <v>252567194.86000001</v>
      </c>
      <c r="J41" s="335">
        <v>329594150.81999999</v>
      </c>
      <c r="K41" s="336">
        <v>275810196.08999997</v>
      </c>
      <c r="L41" s="335">
        <v>270420757.26999998</v>
      </c>
      <c r="M41" s="340">
        <f>B26/B41</f>
        <v>310.34811571397648</v>
      </c>
      <c r="N41" s="340">
        <f t="shared" ref="N41:P41" si="37">C26/C41</f>
        <v>4.3601362640956687</v>
      </c>
      <c r="O41" s="340">
        <f t="shared" si="37"/>
        <v>3.1648338038003305</v>
      </c>
      <c r="P41" s="340">
        <f t="shared" si="37"/>
        <v>3.8758264309096671</v>
      </c>
    </row>
    <row r="42" spans="1:16" ht="19.5" customHeight="1" x14ac:dyDescent="0.3">
      <c r="A42" s="314" t="s">
        <v>149</v>
      </c>
      <c r="B42" s="319"/>
      <c r="C42" s="319"/>
      <c r="D42" s="320"/>
      <c r="E42" s="320"/>
      <c r="F42" s="320"/>
      <c r="G42" s="312">
        <f t="shared" si="7"/>
        <v>0</v>
      </c>
      <c r="H42" s="337"/>
      <c r="I42" s="337"/>
      <c r="J42" s="338"/>
      <c r="K42" s="335"/>
      <c r="L42" s="337"/>
    </row>
    <row r="43" spans="1:16" ht="19.5" customHeight="1" x14ac:dyDescent="0.3">
      <c r="A43" s="321" t="s">
        <v>150</v>
      </c>
      <c r="B43" s="319">
        <f>H43/$A$1</f>
        <v>235.60868900000003</v>
      </c>
      <c r="C43" s="319">
        <f t="shared" ref="C43:F44" si="38">I43/$A$1</f>
        <v>25256.719486000002</v>
      </c>
      <c r="D43" s="319">
        <f t="shared" si="38"/>
        <v>32959.415082</v>
      </c>
      <c r="E43" s="319">
        <f t="shared" si="38"/>
        <v>27581.019608999999</v>
      </c>
      <c r="F43" s="319">
        <f t="shared" si="38"/>
        <v>27042.075726999999</v>
      </c>
      <c r="G43" s="312">
        <f t="shared" si="7"/>
        <v>86032.762866000005</v>
      </c>
      <c r="H43" s="335">
        <v>2356086.89</v>
      </c>
      <c r="I43" s="338">
        <v>252567194.86000001</v>
      </c>
      <c r="J43" s="338">
        <v>329594150.81999999</v>
      </c>
      <c r="K43" s="338">
        <v>275810196.08999997</v>
      </c>
      <c r="L43" s="335">
        <v>270420757.26999998</v>
      </c>
    </row>
    <row r="44" spans="1:16" ht="19.5" customHeight="1" x14ac:dyDescent="0.3">
      <c r="A44" s="321" t="s">
        <v>151</v>
      </c>
      <c r="B44" s="319">
        <f>H44/$A$1</f>
        <v>0</v>
      </c>
      <c r="C44" s="319">
        <f t="shared" si="38"/>
        <v>0</v>
      </c>
      <c r="D44" s="319">
        <f t="shared" si="38"/>
        <v>0</v>
      </c>
      <c r="E44" s="319">
        <f t="shared" si="38"/>
        <v>0</v>
      </c>
      <c r="F44" s="319">
        <f t="shared" si="38"/>
        <v>0</v>
      </c>
      <c r="G44" s="312">
        <f t="shared" si="7"/>
        <v>0</v>
      </c>
      <c r="H44" s="337"/>
      <c r="I44" s="337"/>
      <c r="J44" s="337"/>
      <c r="K44" s="338"/>
      <c r="L44" s="337"/>
    </row>
    <row r="45" spans="1:16" ht="19.5" customHeight="1" x14ac:dyDescent="0.3">
      <c r="A45" s="314" t="s">
        <v>152</v>
      </c>
      <c r="B45" s="322"/>
      <c r="C45" s="322"/>
      <c r="D45" s="320"/>
      <c r="E45" s="320"/>
      <c r="F45" s="320"/>
      <c r="G45" s="312">
        <f t="shared" si="7"/>
        <v>0</v>
      </c>
      <c r="H45" s="337"/>
      <c r="I45" s="337"/>
      <c r="J45" s="337"/>
      <c r="K45" s="335"/>
      <c r="L45" s="337"/>
    </row>
    <row r="46" spans="1:16" ht="19.5" customHeight="1" x14ac:dyDescent="0.3">
      <c r="A46" s="323" t="s">
        <v>153</v>
      </c>
      <c r="B46" s="319">
        <f>B41-B47</f>
        <v>330.29036900003126</v>
      </c>
      <c r="C46" s="319">
        <f t="shared" ref="C46:F46" si="39">C41-C47</f>
        <v>25861.496166999928</v>
      </c>
      <c r="D46" s="319">
        <f t="shared" si="39"/>
        <v>32853.324181999982</v>
      </c>
      <c r="E46" s="319">
        <f t="shared" ref="E46" si="40">E41-E47</f>
        <v>27585.889314999997</v>
      </c>
      <c r="F46" s="319">
        <f t="shared" si="39"/>
        <v>27080.568864000048</v>
      </c>
      <c r="G46" s="312">
        <f t="shared" si="7"/>
        <v>86631.000032999931</v>
      </c>
      <c r="H46" s="338">
        <v>3302903.69</v>
      </c>
      <c r="I46" s="338">
        <v>258614961.66999999</v>
      </c>
      <c r="J46" s="338" t="s">
        <v>154</v>
      </c>
      <c r="K46" s="337">
        <v>275858893.14999998</v>
      </c>
      <c r="L46" s="337">
        <v>270805688.63999999</v>
      </c>
    </row>
    <row r="47" spans="1:16" ht="19.5" customHeight="1" x14ac:dyDescent="0.3">
      <c r="A47" s="324" t="s">
        <v>155</v>
      </c>
      <c r="B47" s="319">
        <f>H47/$A$1</f>
        <v>-94.68168</v>
      </c>
      <c r="C47" s="319">
        <f t="shared" ref="C47:F47" si="41">I47/$A$1</f>
        <v>-604.77668099999994</v>
      </c>
      <c r="D47" s="319">
        <f t="shared" si="41"/>
        <v>106.0909</v>
      </c>
      <c r="E47" s="319">
        <f t="shared" si="41"/>
        <v>-4.8697059999999999</v>
      </c>
      <c r="F47" s="319">
        <f t="shared" si="41"/>
        <v>-38.493136999999997</v>
      </c>
      <c r="G47" s="312">
        <f t="shared" si="7"/>
        <v>-598.23716699999989</v>
      </c>
      <c r="H47" s="338">
        <v>-946816.8</v>
      </c>
      <c r="I47" s="338">
        <v>-6047766.8099999996</v>
      </c>
      <c r="J47" s="336">
        <v>1060909</v>
      </c>
      <c r="K47" s="338">
        <v>-48697.06</v>
      </c>
      <c r="L47" s="335">
        <v>-384931.37</v>
      </c>
    </row>
    <row r="48" spans="1:16" ht="19.5" customHeight="1" x14ac:dyDescent="0.3">
      <c r="A48" s="310" t="s">
        <v>156</v>
      </c>
      <c r="B48" s="318">
        <f>B49+B66</f>
        <v>0</v>
      </c>
      <c r="C48" s="318">
        <f>C49+C66</f>
        <v>-233.37691600000002</v>
      </c>
      <c r="D48" s="318">
        <f>D49+D66</f>
        <v>54525.35689000001</v>
      </c>
      <c r="E48" s="318">
        <f t="shared" ref="E48" si="42">E49+E66</f>
        <v>0</v>
      </c>
      <c r="F48" s="318">
        <f t="shared" ref="F48" si="43">F49+F66</f>
        <v>0</v>
      </c>
      <c r="G48" s="312">
        <f t="shared" si="7"/>
        <v>54291.979974000009</v>
      </c>
      <c r="H48" s="337"/>
      <c r="I48" s="337">
        <v>-2333769.16</v>
      </c>
      <c r="J48" s="337">
        <v>545253568.89999998</v>
      </c>
      <c r="K48" s="336"/>
      <c r="L48" s="337"/>
    </row>
    <row r="49" spans="1:12" ht="19.5" customHeight="1" x14ac:dyDescent="0.3">
      <c r="A49" s="324" t="s">
        <v>157</v>
      </c>
      <c r="B49" s="319">
        <f>H49/$A$1</f>
        <v>0</v>
      </c>
      <c r="C49" s="319">
        <f>C50+C56</f>
        <v>-233.37691600000002</v>
      </c>
      <c r="D49" s="319">
        <f t="shared" ref="D49:E49" si="44">D50+D56</f>
        <v>54525.35689000001</v>
      </c>
      <c r="E49" s="319">
        <f t="shared" si="44"/>
        <v>0</v>
      </c>
      <c r="F49" s="319">
        <f t="shared" ref="D49:F50" si="45">L49/$A$1</f>
        <v>0</v>
      </c>
      <c r="G49" s="312">
        <f t="shared" si="7"/>
        <v>54291.979974000009</v>
      </c>
      <c r="H49" s="335"/>
      <c r="I49" s="337">
        <v>-2333769.16</v>
      </c>
      <c r="J49" s="335">
        <v>545253668.89999998</v>
      </c>
      <c r="K49" s="337"/>
      <c r="L49" s="335"/>
    </row>
    <row r="50" spans="1:12" ht="19.5" customHeight="1" x14ac:dyDescent="0.3">
      <c r="A50" s="324" t="s">
        <v>158</v>
      </c>
      <c r="B50" s="319">
        <f>H50/$A$1</f>
        <v>0</v>
      </c>
      <c r="C50" s="319">
        <f>I50/$A$1</f>
        <v>-233.37691600000002</v>
      </c>
      <c r="D50" s="319">
        <f t="shared" si="45"/>
        <v>-409.35425499999997</v>
      </c>
      <c r="E50" s="319">
        <f t="shared" si="45"/>
        <v>0</v>
      </c>
      <c r="F50" s="319">
        <f t="shared" si="45"/>
        <v>0</v>
      </c>
      <c r="G50" s="312">
        <f t="shared" si="7"/>
        <v>-642.73117100000002</v>
      </c>
      <c r="H50" s="337"/>
      <c r="I50" s="337">
        <v>-2333769.16</v>
      </c>
      <c r="J50" s="337">
        <v>-4093542.55</v>
      </c>
      <c r="K50" s="335"/>
      <c r="L50" s="337"/>
    </row>
    <row r="51" spans="1:12" ht="19.5" customHeight="1" x14ac:dyDescent="0.3">
      <c r="A51" s="324" t="s">
        <v>159</v>
      </c>
      <c r="B51" s="319">
        <f t="shared" ref="B51:B55" si="46">H51/$A$1</f>
        <v>0</v>
      </c>
      <c r="C51" s="319">
        <f t="shared" ref="C51:C55" si="47">I51/$A$1</f>
        <v>0</v>
      </c>
      <c r="D51" s="319">
        <f t="shared" ref="D51:E55" si="48">J51/$A$1</f>
        <v>0</v>
      </c>
      <c r="E51" s="319">
        <f t="shared" si="48"/>
        <v>0</v>
      </c>
      <c r="F51" s="319">
        <f t="shared" ref="F51:F55" si="49">L51/$A$1</f>
        <v>0</v>
      </c>
      <c r="G51" s="312">
        <f t="shared" si="7"/>
        <v>0</v>
      </c>
      <c r="H51" s="337"/>
      <c r="I51" s="337"/>
      <c r="J51" s="337"/>
      <c r="K51" s="337"/>
      <c r="L51" s="337"/>
    </row>
    <row r="52" spans="1:12" ht="19.5" customHeight="1" x14ac:dyDescent="0.3">
      <c r="A52" s="324" t="s">
        <v>160</v>
      </c>
      <c r="B52" s="319">
        <f t="shared" si="46"/>
        <v>0</v>
      </c>
      <c r="C52" s="319">
        <f t="shared" si="47"/>
        <v>0</v>
      </c>
      <c r="D52" s="319">
        <f t="shared" si="48"/>
        <v>0</v>
      </c>
      <c r="E52" s="319">
        <f t="shared" si="48"/>
        <v>0</v>
      </c>
      <c r="F52" s="319">
        <f t="shared" si="49"/>
        <v>0</v>
      </c>
      <c r="G52" s="312">
        <f t="shared" si="7"/>
        <v>0</v>
      </c>
      <c r="H52" s="337"/>
      <c r="I52" s="337"/>
      <c r="J52" s="337"/>
      <c r="K52" s="337"/>
      <c r="L52" s="337"/>
    </row>
    <row r="53" spans="1:12" ht="19.5" customHeight="1" x14ac:dyDescent="0.3">
      <c r="A53" s="324" t="s">
        <v>161</v>
      </c>
      <c r="B53" s="319">
        <f t="shared" si="46"/>
        <v>0</v>
      </c>
      <c r="C53" s="319">
        <f t="shared" si="47"/>
        <v>-233.37691600000002</v>
      </c>
      <c r="D53" s="319">
        <f t="shared" si="48"/>
        <v>-409.35425499999997</v>
      </c>
      <c r="E53" s="319">
        <f t="shared" si="48"/>
        <v>0</v>
      </c>
      <c r="F53" s="319">
        <f t="shared" si="49"/>
        <v>0</v>
      </c>
      <c r="G53" s="312">
        <f t="shared" si="7"/>
        <v>-642.73117100000002</v>
      </c>
      <c r="H53" s="337"/>
      <c r="I53" s="337">
        <v>-2333769.16</v>
      </c>
      <c r="J53" s="337">
        <v>-4093542.55</v>
      </c>
      <c r="K53" s="337"/>
      <c r="L53" s="337"/>
    </row>
    <row r="54" spans="1:12" ht="19.5" customHeight="1" x14ac:dyDescent="0.3">
      <c r="A54" s="324" t="s">
        <v>162</v>
      </c>
      <c r="B54" s="319">
        <f t="shared" si="46"/>
        <v>0</v>
      </c>
      <c r="C54" s="319">
        <f t="shared" si="47"/>
        <v>0</v>
      </c>
      <c r="D54" s="319">
        <f t="shared" si="48"/>
        <v>0</v>
      </c>
      <c r="E54" s="319">
        <f t="shared" si="48"/>
        <v>0</v>
      </c>
      <c r="F54" s="319">
        <f t="shared" si="49"/>
        <v>0</v>
      </c>
      <c r="G54" s="312">
        <f t="shared" si="7"/>
        <v>0</v>
      </c>
      <c r="H54" s="337"/>
      <c r="I54" s="337"/>
      <c r="J54" s="337"/>
      <c r="K54" s="337"/>
      <c r="L54" s="337"/>
    </row>
    <row r="55" spans="1:12" ht="19.5" customHeight="1" x14ac:dyDescent="0.3">
      <c r="A55" s="324" t="s">
        <v>163</v>
      </c>
      <c r="B55" s="319">
        <f t="shared" si="46"/>
        <v>0</v>
      </c>
      <c r="C55" s="319">
        <f t="shared" si="47"/>
        <v>0</v>
      </c>
      <c r="D55" s="319">
        <f t="shared" si="48"/>
        <v>0</v>
      </c>
      <c r="E55" s="319">
        <f t="shared" si="48"/>
        <v>0</v>
      </c>
      <c r="F55" s="319">
        <f t="shared" si="49"/>
        <v>0</v>
      </c>
      <c r="G55" s="312">
        <f t="shared" si="7"/>
        <v>0</v>
      </c>
      <c r="H55" s="337"/>
      <c r="I55" s="337"/>
      <c r="J55" s="337"/>
      <c r="K55" s="337"/>
      <c r="L55" s="337"/>
    </row>
    <row r="56" spans="1:12" ht="19.5" customHeight="1" x14ac:dyDescent="0.3">
      <c r="A56" s="324" t="s">
        <v>164</v>
      </c>
      <c r="B56" s="319">
        <f>H56/$A$1</f>
        <v>0</v>
      </c>
      <c r="C56" s="319">
        <f t="shared" ref="C56:F57" si="50">I56/$A$1</f>
        <v>0</v>
      </c>
      <c r="D56" s="319">
        <f t="shared" si="50"/>
        <v>54934.711145000008</v>
      </c>
      <c r="E56" s="319">
        <f t="shared" si="50"/>
        <v>0</v>
      </c>
      <c r="F56" s="319">
        <f t="shared" si="50"/>
        <v>0</v>
      </c>
      <c r="G56" s="312">
        <f t="shared" si="7"/>
        <v>54934.711145000008</v>
      </c>
      <c r="H56" s="337"/>
      <c r="I56" s="337"/>
      <c r="J56" s="337">
        <v>549347111.45000005</v>
      </c>
      <c r="K56" s="337"/>
      <c r="L56" s="337"/>
    </row>
    <row r="57" spans="1:12" ht="19.5" customHeight="1" x14ac:dyDescent="0.3">
      <c r="A57" s="324" t="s">
        <v>165</v>
      </c>
      <c r="B57" s="322">
        <f>H57/$A$1</f>
        <v>0</v>
      </c>
      <c r="C57" s="322">
        <f t="shared" si="50"/>
        <v>0</v>
      </c>
      <c r="D57" s="322">
        <f t="shared" si="50"/>
        <v>0</v>
      </c>
      <c r="E57" s="322">
        <f t="shared" si="50"/>
        <v>0</v>
      </c>
      <c r="F57" s="322">
        <f t="shared" si="50"/>
        <v>0</v>
      </c>
      <c r="G57" s="312">
        <f t="shared" si="7"/>
        <v>0</v>
      </c>
      <c r="H57" s="337"/>
      <c r="I57" s="337"/>
      <c r="J57" s="337"/>
      <c r="K57" s="337"/>
      <c r="L57" s="337"/>
    </row>
    <row r="58" spans="1:12" ht="19.5" customHeight="1" x14ac:dyDescent="0.3">
      <c r="A58" s="324" t="s">
        <v>166</v>
      </c>
      <c r="B58" s="322">
        <f t="shared" ref="B58:B65" si="51">H58/$A$1</f>
        <v>0</v>
      </c>
      <c r="C58" s="322">
        <f t="shared" ref="C58:C65" si="52">I58/$A$1</f>
        <v>0</v>
      </c>
      <c r="D58" s="322">
        <f t="shared" ref="D58:E65" si="53">J58/$A$1</f>
        <v>0</v>
      </c>
      <c r="E58" s="322">
        <f t="shared" si="53"/>
        <v>0</v>
      </c>
      <c r="F58" s="322">
        <f t="shared" ref="F58:F65" si="54">L58/$A$1</f>
        <v>0</v>
      </c>
      <c r="G58" s="312">
        <f t="shared" si="7"/>
        <v>0</v>
      </c>
      <c r="H58" s="337"/>
      <c r="I58" s="337"/>
      <c r="J58" s="337"/>
      <c r="K58" s="337"/>
      <c r="L58" s="337"/>
    </row>
    <row r="59" spans="1:12" ht="19.5" customHeight="1" x14ac:dyDescent="0.3">
      <c r="A59" s="324" t="s">
        <v>167</v>
      </c>
      <c r="B59" s="322">
        <f t="shared" si="51"/>
        <v>0</v>
      </c>
      <c r="C59" s="322">
        <f t="shared" si="52"/>
        <v>0</v>
      </c>
      <c r="D59" s="322">
        <f t="shared" si="53"/>
        <v>0</v>
      </c>
      <c r="E59" s="322">
        <f t="shared" si="53"/>
        <v>0</v>
      </c>
      <c r="F59" s="322">
        <f t="shared" si="54"/>
        <v>0</v>
      </c>
      <c r="G59" s="312">
        <f t="shared" si="7"/>
        <v>0</v>
      </c>
      <c r="H59" s="337"/>
      <c r="I59" s="337"/>
      <c r="J59" s="337"/>
      <c r="K59" s="337"/>
      <c r="L59" s="337"/>
    </row>
    <row r="60" spans="1:12" ht="19.5" customHeight="1" x14ac:dyDescent="0.3">
      <c r="A60" s="324" t="s">
        <v>168</v>
      </c>
      <c r="B60" s="322">
        <f t="shared" si="51"/>
        <v>0</v>
      </c>
      <c r="C60" s="322">
        <f t="shared" si="52"/>
        <v>0</v>
      </c>
      <c r="D60" s="322">
        <f t="shared" si="53"/>
        <v>0</v>
      </c>
      <c r="E60" s="322">
        <f t="shared" si="53"/>
        <v>0</v>
      </c>
      <c r="F60" s="322">
        <f t="shared" si="54"/>
        <v>0</v>
      </c>
      <c r="G60" s="312">
        <f t="shared" si="7"/>
        <v>0</v>
      </c>
      <c r="H60" s="337"/>
      <c r="I60" s="337"/>
      <c r="J60" s="337"/>
      <c r="K60" s="337"/>
      <c r="L60" s="337"/>
    </row>
    <row r="61" spans="1:12" ht="19.5" customHeight="1" x14ac:dyDescent="0.3">
      <c r="A61" s="324" t="s">
        <v>169</v>
      </c>
      <c r="B61" s="322">
        <f t="shared" si="51"/>
        <v>0</v>
      </c>
      <c r="C61" s="322">
        <f t="shared" si="52"/>
        <v>0</v>
      </c>
      <c r="D61" s="322">
        <f t="shared" si="53"/>
        <v>0</v>
      </c>
      <c r="E61" s="322">
        <f t="shared" si="53"/>
        <v>0</v>
      </c>
      <c r="F61" s="322">
        <f t="shared" si="54"/>
        <v>0</v>
      </c>
      <c r="G61" s="312">
        <f t="shared" si="7"/>
        <v>0</v>
      </c>
      <c r="H61" s="337"/>
      <c r="I61" s="337"/>
      <c r="J61" s="337"/>
      <c r="K61" s="337"/>
      <c r="L61" s="337"/>
    </row>
    <row r="62" spans="1:12" ht="19.5" customHeight="1" x14ac:dyDescent="0.3">
      <c r="A62" s="324" t="s">
        <v>170</v>
      </c>
      <c r="B62" s="322">
        <f t="shared" si="51"/>
        <v>0</v>
      </c>
      <c r="C62" s="322">
        <f t="shared" si="52"/>
        <v>0</v>
      </c>
      <c r="D62" s="322">
        <f t="shared" si="53"/>
        <v>0</v>
      </c>
      <c r="E62" s="322">
        <f t="shared" si="53"/>
        <v>0</v>
      </c>
      <c r="F62" s="322">
        <f t="shared" si="54"/>
        <v>0</v>
      </c>
      <c r="G62" s="312">
        <f t="shared" si="7"/>
        <v>0</v>
      </c>
      <c r="H62" s="337"/>
      <c r="I62" s="337"/>
      <c r="J62" s="337"/>
      <c r="K62" s="337"/>
      <c r="L62" s="337"/>
    </row>
    <row r="63" spans="1:12" ht="19.5" customHeight="1" x14ac:dyDescent="0.3">
      <c r="A63" s="324" t="s">
        <v>171</v>
      </c>
      <c r="B63" s="322">
        <f t="shared" si="51"/>
        <v>0</v>
      </c>
      <c r="C63" s="322">
        <f t="shared" si="52"/>
        <v>0</v>
      </c>
      <c r="D63" s="322">
        <f t="shared" si="53"/>
        <v>0</v>
      </c>
      <c r="E63" s="322">
        <f t="shared" si="53"/>
        <v>0</v>
      </c>
      <c r="F63" s="322">
        <f t="shared" si="54"/>
        <v>0</v>
      </c>
      <c r="G63" s="312">
        <f t="shared" si="7"/>
        <v>0</v>
      </c>
      <c r="H63" s="337"/>
      <c r="I63" s="337"/>
      <c r="J63" s="337"/>
      <c r="K63" s="337"/>
      <c r="L63" s="337"/>
    </row>
    <row r="64" spans="1:12" ht="19.5" customHeight="1" x14ac:dyDescent="0.3">
      <c r="A64" s="324" t="s">
        <v>172</v>
      </c>
      <c r="B64" s="322">
        <f t="shared" si="51"/>
        <v>0</v>
      </c>
      <c r="C64" s="322">
        <f t="shared" si="52"/>
        <v>0</v>
      </c>
      <c r="D64" s="322">
        <f t="shared" si="53"/>
        <v>0</v>
      </c>
      <c r="E64" s="322">
        <f t="shared" si="53"/>
        <v>0</v>
      </c>
      <c r="F64" s="322">
        <f t="shared" si="54"/>
        <v>0</v>
      </c>
      <c r="G64" s="312">
        <f t="shared" si="7"/>
        <v>0</v>
      </c>
      <c r="H64" s="337"/>
      <c r="I64" s="337"/>
      <c r="J64" s="337"/>
      <c r="K64" s="337"/>
      <c r="L64" s="337"/>
    </row>
    <row r="65" spans="1:12" ht="19.5" customHeight="1" x14ac:dyDescent="0.3">
      <c r="A65" s="324" t="s">
        <v>173</v>
      </c>
      <c r="B65" s="322">
        <f t="shared" si="51"/>
        <v>0</v>
      </c>
      <c r="C65" s="322">
        <f t="shared" si="52"/>
        <v>0</v>
      </c>
      <c r="D65" s="322">
        <f t="shared" si="53"/>
        <v>54934.711145000008</v>
      </c>
      <c r="E65" s="322">
        <f t="shared" si="53"/>
        <v>0</v>
      </c>
      <c r="F65" s="322">
        <f t="shared" si="54"/>
        <v>0</v>
      </c>
      <c r="G65" s="312">
        <f t="shared" si="7"/>
        <v>54934.711145000008</v>
      </c>
      <c r="H65" s="337"/>
      <c r="I65" s="337"/>
      <c r="J65" s="337">
        <v>549347111.45000005</v>
      </c>
      <c r="K65" s="337"/>
      <c r="L65" s="337"/>
    </row>
    <row r="66" spans="1:12" ht="19.5" customHeight="1" x14ac:dyDescent="0.3">
      <c r="A66" s="314" t="s">
        <v>174</v>
      </c>
      <c r="B66" s="322">
        <f>H66/$A$1</f>
        <v>0</v>
      </c>
      <c r="C66" s="322">
        <f t="shared" ref="C66:F66" si="55">I66/$A$1</f>
        <v>0</v>
      </c>
      <c r="D66" s="322">
        <f t="shared" si="55"/>
        <v>0</v>
      </c>
      <c r="E66" s="322">
        <f t="shared" si="55"/>
        <v>0</v>
      </c>
      <c r="F66" s="322">
        <f t="shared" si="55"/>
        <v>0</v>
      </c>
      <c r="G66" s="312">
        <f t="shared" si="7"/>
        <v>0</v>
      </c>
      <c r="H66" s="337"/>
      <c r="I66" s="337"/>
      <c r="J66" s="337"/>
      <c r="K66" s="337"/>
      <c r="L66" s="337"/>
    </row>
    <row r="67" spans="1:12" ht="19.5" customHeight="1" x14ac:dyDescent="0.3">
      <c r="A67" s="310" t="s">
        <v>175</v>
      </c>
      <c r="B67" s="318">
        <f>B41+B48</f>
        <v>235.60868900003126</v>
      </c>
      <c r="C67" s="318">
        <f t="shared" ref="C67:F67" si="56">C41+C48</f>
        <v>25023.342569999928</v>
      </c>
      <c r="D67" s="318">
        <f t="shared" si="56"/>
        <v>87484.771971999988</v>
      </c>
      <c r="E67" s="318">
        <f t="shared" ref="E67" si="57">E41+E48</f>
        <v>27581.019608999995</v>
      </c>
      <c r="F67" s="318">
        <f t="shared" si="56"/>
        <v>27042.075727000047</v>
      </c>
      <c r="G67" s="312">
        <f t="shared" si="7"/>
        <v>140324.74283999996</v>
      </c>
      <c r="H67" s="337">
        <v>2356086.89</v>
      </c>
      <c r="I67" s="337">
        <v>250233425.69999999</v>
      </c>
      <c r="J67" s="337">
        <v>874847719.72000003</v>
      </c>
      <c r="K67" s="337">
        <v>275810196.08999997</v>
      </c>
      <c r="L67" s="337">
        <v>270420757.26999998</v>
      </c>
    </row>
    <row r="68" spans="1:12" ht="19.5" customHeight="1" x14ac:dyDescent="0.3">
      <c r="A68" s="314" t="s">
        <v>176</v>
      </c>
      <c r="B68" s="322">
        <f>B46+B49</f>
        <v>330.29036900003126</v>
      </c>
      <c r="C68" s="322">
        <f>C46+C49</f>
        <v>25628.119250999927</v>
      </c>
      <c r="D68" s="322">
        <f t="shared" ref="D68:F68" si="58">D46+D49</f>
        <v>87378.681071999992</v>
      </c>
      <c r="E68" s="322">
        <f t="shared" ref="E68" si="59">E46+E49</f>
        <v>27585.889314999997</v>
      </c>
      <c r="F68" s="322">
        <f t="shared" si="58"/>
        <v>27080.568864000048</v>
      </c>
      <c r="G68" s="312">
        <f t="shared" si="7"/>
        <v>140922.98000699995</v>
      </c>
      <c r="H68" s="337">
        <v>3302903.69</v>
      </c>
      <c r="I68" s="337">
        <v>256281192.50999999</v>
      </c>
      <c r="J68" s="337" t="s">
        <v>177</v>
      </c>
      <c r="K68" s="337">
        <v>275858893.14999998</v>
      </c>
      <c r="L68" s="336">
        <v>270805688.63999999</v>
      </c>
    </row>
    <row r="69" spans="1:12" ht="19.5" customHeight="1" x14ac:dyDescent="0.3">
      <c r="A69" s="314" t="s">
        <v>178</v>
      </c>
      <c r="B69" s="322">
        <f>B66+B47</f>
        <v>-94.68168</v>
      </c>
      <c r="C69" s="322">
        <f t="shared" ref="C69:F69" si="60">C66+C47</f>
        <v>-604.77668099999994</v>
      </c>
      <c r="D69" s="322">
        <f t="shared" si="60"/>
        <v>106.0909</v>
      </c>
      <c r="E69" s="322">
        <f t="shared" ref="E69" si="61">E66+E47</f>
        <v>-4.8697059999999999</v>
      </c>
      <c r="F69" s="322">
        <f t="shared" si="60"/>
        <v>-38.493136999999997</v>
      </c>
      <c r="G69" s="312">
        <f t="shared" ref="G69:G72" si="62">SUM(B69:E69)</f>
        <v>-598.23716699999989</v>
      </c>
      <c r="H69" s="338">
        <v>-946816.8</v>
      </c>
      <c r="I69" s="337">
        <v>-6047766.8099999996</v>
      </c>
      <c r="J69" s="336" t="s">
        <v>179</v>
      </c>
      <c r="K69" s="336">
        <v>-48697.06</v>
      </c>
      <c r="L69" s="336">
        <v>-384931.37</v>
      </c>
    </row>
    <row r="70" spans="1:12" ht="19.5" customHeight="1" x14ac:dyDescent="0.3">
      <c r="A70" s="310" t="s">
        <v>180</v>
      </c>
      <c r="B70" s="318"/>
      <c r="C70" s="318"/>
      <c r="D70" s="320"/>
      <c r="E70" s="320"/>
      <c r="F70" s="320"/>
      <c r="G70" s="312">
        <f t="shared" si="62"/>
        <v>0</v>
      </c>
      <c r="H70" s="337"/>
      <c r="I70" s="337"/>
      <c r="J70" s="337"/>
      <c r="K70" s="336"/>
      <c r="L70" s="337"/>
    </row>
    <row r="71" spans="1:12" ht="19.5" customHeight="1" x14ac:dyDescent="0.3">
      <c r="A71" s="314" t="s">
        <v>181</v>
      </c>
      <c r="B71" s="322"/>
      <c r="C71" s="322"/>
      <c r="D71" s="320"/>
      <c r="E71" s="320"/>
      <c r="F71" s="320"/>
      <c r="G71" s="312">
        <f t="shared" si="62"/>
        <v>0</v>
      </c>
      <c r="H71" s="337"/>
      <c r="I71" s="337"/>
      <c r="J71" s="337"/>
      <c r="K71" s="337"/>
      <c r="L71" s="337"/>
    </row>
    <row r="72" spans="1:12" ht="19.5" customHeight="1" x14ac:dyDescent="0.3">
      <c r="A72" s="314" t="s">
        <v>182</v>
      </c>
      <c r="B72" s="322"/>
      <c r="C72" s="322"/>
      <c r="D72" s="320"/>
      <c r="E72" s="320"/>
      <c r="F72" s="320"/>
      <c r="G72" s="312">
        <f t="shared" si="62"/>
        <v>0</v>
      </c>
      <c r="H72" s="337"/>
      <c r="I72" s="337"/>
      <c r="J72" s="337"/>
      <c r="K72" s="337"/>
      <c r="L72" s="337"/>
    </row>
    <row r="73" spans="1:12" ht="19.5" customHeight="1" x14ac:dyDescent="0.3">
      <c r="A73" s="419" t="s">
        <v>183</v>
      </c>
      <c r="B73" s="420"/>
      <c r="C73" s="420"/>
      <c r="D73" s="420"/>
      <c r="E73" s="420"/>
      <c r="F73" s="421"/>
      <c r="G73" s="312"/>
      <c r="H73" s="337"/>
      <c r="I73" s="337"/>
      <c r="J73" s="337"/>
      <c r="K73" s="337"/>
      <c r="L73" s="337"/>
    </row>
    <row r="74" spans="1:12" ht="19.5" customHeight="1" x14ac:dyDescent="0.3">
      <c r="A74" s="329"/>
    </row>
    <row r="75" spans="1:12" ht="19.5" customHeight="1" x14ac:dyDescent="0.3">
      <c r="A75" s="329"/>
    </row>
    <row r="76" spans="1:12" ht="19.5" customHeight="1" x14ac:dyDescent="0.3">
      <c r="B76" s="345"/>
      <c r="C76" s="345"/>
      <c r="D76" s="345"/>
      <c r="E76" s="345"/>
      <c r="F76" s="345"/>
    </row>
    <row r="77" spans="1:12" ht="19.5" customHeight="1" x14ac:dyDescent="0.3">
      <c r="B77" s="346"/>
      <c r="C77" s="332"/>
    </row>
    <row r="85" spans="8:12" s="306" customFormat="1" ht="19.5" customHeight="1" x14ac:dyDescent="0.3">
      <c r="H85" s="308"/>
      <c r="I85" s="308"/>
      <c r="J85" s="308"/>
      <c r="K85" s="308"/>
      <c r="L85" s="308"/>
    </row>
    <row r="97" spans="3:6" ht="19.5" customHeight="1" x14ac:dyDescent="0.3">
      <c r="C97" s="413"/>
    </row>
    <row r="99" spans="3:6" ht="19.5" customHeight="1" x14ac:dyDescent="0.3">
      <c r="D99" s="307"/>
      <c r="E99" s="307"/>
      <c r="F99" s="307"/>
    </row>
    <row r="100" spans="3:6" ht="19.5" customHeight="1" x14ac:dyDescent="0.3">
      <c r="D100" s="307"/>
      <c r="E100" s="307"/>
      <c r="F100" s="307"/>
    </row>
    <row r="101" spans="3:6" ht="19.5" customHeight="1" x14ac:dyDescent="0.3">
      <c r="D101" s="307"/>
      <c r="E101" s="307"/>
      <c r="F101" s="307"/>
    </row>
    <row r="102" spans="3:6" ht="19.5" customHeight="1" x14ac:dyDescent="0.3">
      <c r="D102" s="307"/>
      <c r="E102" s="307"/>
      <c r="F102" s="307"/>
    </row>
    <row r="103" spans="3:6" ht="19.5" customHeight="1" x14ac:dyDescent="0.3">
      <c r="D103" s="307"/>
      <c r="E103" s="307"/>
      <c r="F103" s="307"/>
    </row>
    <row r="104" spans="3:6" ht="19.5" customHeight="1" x14ac:dyDescent="0.3">
      <c r="D104" s="307"/>
      <c r="E104" s="307"/>
      <c r="F104" s="307"/>
    </row>
    <row r="105" spans="3:6" ht="19.5" customHeight="1" x14ac:dyDescent="0.3">
      <c r="D105" s="307"/>
      <c r="E105" s="307"/>
      <c r="F105" s="307"/>
    </row>
    <row r="106" spans="3:6" ht="19.5" customHeight="1" x14ac:dyDescent="0.3">
      <c r="D106" s="307"/>
      <c r="E106" s="307"/>
      <c r="F106" s="307"/>
    </row>
    <row r="107" spans="3:6" ht="19.5" customHeight="1" x14ac:dyDescent="0.3">
      <c r="D107" s="307"/>
      <c r="E107" s="307"/>
      <c r="F107" s="307"/>
    </row>
    <row r="108" spans="3:6" ht="19.5" customHeight="1" x14ac:dyDescent="0.3">
      <c r="D108" s="307"/>
      <c r="E108" s="307"/>
      <c r="F108" s="307"/>
    </row>
    <row r="109" spans="3:6" ht="19.5" customHeight="1" x14ac:dyDescent="0.3">
      <c r="D109" s="307"/>
      <c r="E109" s="307"/>
      <c r="F109" s="307"/>
    </row>
    <row r="110" spans="3:6" ht="19.5" customHeight="1" x14ac:dyDescent="0.3">
      <c r="D110" s="307"/>
      <c r="E110" s="307"/>
      <c r="F110" s="307"/>
    </row>
    <row r="111" spans="3:6" ht="19.5" customHeight="1" x14ac:dyDescent="0.3">
      <c r="D111" s="307"/>
      <c r="E111" s="307"/>
      <c r="F111" s="307"/>
    </row>
    <row r="112" spans="3:6" ht="19.5" customHeight="1" x14ac:dyDescent="0.3">
      <c r="D112" s="307"/>
      <c r="E112" s="307"/>
      <c r="F112" s="307"/>
    </row>
    <row r="113" spans="4:6" ht="19.5" customHeight="1" x14ac:dyDescent="0.3">
      <c r="D113" s="307"/>
      <c r="E113" s="307"/>
      <c r="F113" s="307"/>
    </row>
  </sheetData>
  <mergeCells count="3">
    <mergeCell ref="B1:F1"/>
    <mergeCell ref="H1:L1"/>
    <mergeCell ref="A73:F73"/>
  </mergeCells>
  <phoneticPr fontId="41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85"/>
  <sheetViews>
    <sheetView topLeftCell="A66" zoomScale="85" zoomScaleNormal="80" workbookViewId="0">
      <pane xSplit="1" topLeftCell="G1" activePane="topRight" state="frozen"/>
      <selection pane="topRight" activeCell="H68" sqref="H68"/>
    </sheetView>
  </sheetViews>
  <sheetFormatPr defaultColWidth="9" defaultRowHeight="19.5" customHeight="1" x14ac:dyDescent="0.3"/>
  <cols>
    <col min="1" max="1" width="52" style="306" customWidth="1"/>
    <col min="2" max="2" width="14" style="307" customWidth="1"/>
    <col min="3" max="3" width="16.59765625" style="307" customWidth="1"/>
    <col min="4" max="5" width="16.59765625" style="306" customWidth="1"/>
    <col min="6" max="6" width="13.06640625" style="306" customWidth="1"/>
    <col min="7" max="7" width="14.1328125" style="306" customWidth="1"/>
    <col min="8" max="8" width="20.46484375" style="308" customWidth="1"/>
    <col min="9" max="11" width="18.9296875" style="308" customWidth="1"/>
    <col min="12" max="12" width="16.86328125" style="308" customWidth="1"/>
    <col min="13" max="13" width="17.86328125" style="306" customWidth="1"/>
    <col min="14" max="14" width="20.86328125" style="306" customWidth="1"/>
    <col min="15" max="15" width="22.1328125" style="306" customWidth="1"/>
    <col min="16" max="16" width="22.3984375" style="306" customWidth="1"/>
    <col min="17" max="16384" width="9" style="306"/>
  </cols>
  <sheetData>
    <row r="1" spans="1:16" ht="19.5" customHeight="1" x14ac:dyDescent="0.3">
      <c r="A1" s="306">
        <v>10000</v>
      </c>
      <c r="B1" s="422" t="s">
        <v>12</v>
      </c>
      <c r="C1" s="422"/>
      <c r="D1" s="422"/>
      <c r="E1" s="422"/>
      <c r="F1" s="422"/>
      <c r="H1" s="418" t="s">
        <v>13</v>
      </c>
      <c r="I1" s="418"/>
      <c r="J1" s="418"/>
      <c r="K1" s="418"/>
      <c r="L1" s="418"/>
    </row>
    <row r="2" spans="1:16" ht="19.5" customHeight="1" x14ac:dyDescent="0.3">
      <c r="A2" s="279" t="s">
        <v>108</v>
      </c>
      <c r="B2" s="280" t="str">
        <f>首页!C3</f>
        <v>2024年1-9月</v>
      </c>
      <c r="C2" s="280" t="str">
        <f>首页!D3</f>
        <v>2023年度</v>
      </c>
      <c r="D2" s="280" t="str">
        <f>首页!E3</f>
        <v>2022年度</v>
      </c>
      <c r="E2" s="280" t="str">
        <f>首页!F3</f>
        <v>2021年度</v>
      </c>
      <c r="F2" s="280" t="str">
        <f>首页!G3</f>
        <v>2020年度</v>
      </c>
      <c r="G2" s="309" t="s">
        <v>15</v>
      </c>
      <c r="H2" s="281" t="str">
        <f>首页!C3</f>
        <v>2024年1-9月</v>
      </c>
      <c r="I2" s="281" t="str">
        <f>首页!D3</f>
        <v>2023年度</v>
      </c>
      <c r="J2" s="281" t="str">
        <f>首页!E3</f>
        <v>2022年度</v>
      </c>
      <c r="K2" s="281" t="str">
        <f>首页!F3</f>
        <v>2021年度</v>
      </c>
      <c r="L2" s="281" t="str">
        <f>首页!G3</f>
        <v>2020年度</v>
      </c>
    </row>
    <row r="3" spans="1:16" ht="19.5" customHeight="1" x14ac:dyDescent="0.3">
      <c r="A3" s="310" t="s">
        <v>109</v>
      </c>
      <c r="B3" s="311">
        <f>SUM(B4:B7)</f>
        <v>1196.043856</v>
      </c>
      <c r="C3" s="311">
        <f t="shared" ref="C3:F3" si="0">SUM(C4:C7)</f>
        <v>30380.978264999998</v>
      </c>
      <c r="D3" s="311">
        <f t="shared" si="0"/>
        <v>85067.953666999994</v>
      </c>
      <c r="E3" s="311">
        <f t="shared" si="0"/>
        <v>434.15331799999996</v>
      </c>
      <c r="F3" s="311">
        <f t="shared" si="0"/>
        <v>47063.951237000001</v>
      </c>
      <c r="G3" s="312">
        <f>SUM(B3:E3)</f>
        <v>117079.12910599999</v>
      </c>
      <c r="H3" s="313">
        <v>11960438.560000001</v>
      </c>
      <c r="I3" s="313">
        <v>303809782.64999998</v>
      </c>
      <c r="J3" s="313">
        <v>850679536.66999996</v>
      </c>
      <c r="K3" s="313">
        <v>4341533.18</v>
      </c>
      <c r="L3" s="325">
        <v>470639512.37</v>
      </c>
    </row>
    <row r="4" spans="1:16" ht="19.5" customHeight="1" x14ac:dyDescent="0.3">
      <c r="A4" s="314" t="s">
        <v>110</v>
      </c>
      <c r="B4" s="315">
        <f>H4/$A$1</f>
        <v>1196.043856</v>
      </c>
      <c r="C4" s="315">
        <f t="shared" ref="C4:F7" si="1">I4/$A$1</f>
        <v>30380.978264999998</v>
      </c>
      <c r="D4" s="315">
        <f t="shared" si="1"/>
        <v>85067.953666999994</v>
      </c>
      <c r="E4" s="315">
        <f t="shared" si="1"/>
        <v>434.15331799999996</v>
      </c>
      <c r="F4" s="315">
        <f t="shared" si="1"/>
        <v>47063.951237000001</v>
      </c>
      <c r="G4" s="312">
        <f>SUM(B4:E4)</f>
        <v>117079.12910599999</v>
      </c>
      <c r="H4" s="313">
        <v>11960438.560000001</v>
      </c>
      <c r="I4" s="313">
        <v>303809782.64999998</v>
      </c>
      <c r="J4" s="313">
        <v>850679536.66999996</v>
      </c>
      <c r="K4" s="313">
        <v>4341533.18</v>
      </c>
      <c r="L4" s="206">
        <v>470639512.37</v>
      </c>
    </row>
    <row r="5" spans="1:16" ht="19.5" customHeight="1" x14ac:dyDescent="0.3">
      <c r="A5" s="314" t="s">
        <v>111</v>
      </c>
      <c r="B5" s="315">
        <f t="shared" ref="B5:B6" si="2">H5/$A$1</f>
        <v>0</v>
      </c>
      <c r="C5" s="315">
        <f t="shared" si="1"/>
        <v>0</v>
      </c>
      <c r="D5" s="315">
        <f t="shared" si="1"/>
        <v>0</v>
      </c>
      <c r="E5" s="315">
        <f t="shared" si="1"/>
        <v>0</v>
      </c>
      <c r="F5" s="315">
        <f t="shared" si="1"/>
        <v>0</v>
      </c>
      <c r="G5" s="312">
        <f t="shared" ref="G5:G68" si="3">SUM(B5:E5)</f>
        <v>0</v>
      </c>
      <c r="H5" s="313"/>
      <c r="I5" s="313"/>
      <c r="J5" s="206"/>
      <c r="K5" s="206"/>
      <c r="L5" s="206"/>
    </row>
    <row r="6" spans="1:16" ht="19.5" customHeight="1" x14ac:dyDescent="0.3">
      <c r="A6" s="314" t="s">
        <v>112</v>
      </c>
      <c r="B6" s="315">
        <f t="shared" si="2"/>
        <v>0</v>
      </c>
      <c r="C6" s="315">
        <f t="shared" si="1"/>
        <v>0</v>
      </c>
      <c r="D6" s="315">
        <f t="shared" si="1"/>
        <v>0</v>
      </c>
      <c r="E6" s="315">
        <f t="shared" si="1"/>
        <v>0</v>
      </c>
      <c r="F6" s="315">
        <f t="shared" si="1"/>
        <v>0</v>
      </c>
      <c r="G6" s="312">
        <f t="shared" si="3"/>
        <v>0</v>
      </c>
      <c r="H6" s="313"/>
      <c r="I6" s="313"/>
      <c r="J6" s="206"/>
      <c r="K6" s="206"/>
      <c r="L6" s="206"/>
    </row>
    <row r="7" spans="1:16" ht="19.5" customHeight="1" x14ac:dyDescent="0.3">
      <c r="A7" s="314" t="s">
        <v>113</v>
      </c>
      <c r="B7" s="315">
        <f>H7/$A$1</f>
        <v>0</v>
      </c>
      <c r="C7" s="315">
        <f t="shared" si="1"/>
        <v>0</v>
      </c>
      <c r="D7" s="315">
        <f t="shared" si="1"/>
        <v>0</v>
      </c>
      <c r="E7" s="315">
        <f t="shared" si="1"/>
        <v>0</v>
      </c>
      <c r="F7" s="315">
        <f t="shared" si="1"/>
        <v>0</v>
      </c>
      <c r="G7" s="312">
        <f t="shared" si="3"/>
        <v>0</v>
      </c>
      <c r="H7" s="313"/>
      <c r="I7" s="313"/>
      <c r="J7" s="206"/>
      <c r="K7" s="206"/>
      <c r="L7" s="206"/>
    </row>
    <row r="8" spans="1:16" ht="19.5" customHeight="1" x14ac:dyDescent="0.3">
      <c r="A8" s="310" t="s">
        <v>114</v>
      </c>
      <c r="B8" s="311">
        <f>SUM(B9:B21)+SUM(B25)</f>
        <v>74634.074301000001</v>
      </c>
      <c r="C8" s="311">
        <f>SUM(C9:C21)+SUM(C25)</f>
        <v>130535.71102599999</v>
      </c>
      <c r="D8" s="311">
        <f>SUM(D9:D21)+SUM(D25)</f>
        <v>182187.713606</v>
      </c>
      <c r="E8" s="311">
        <f>SUM(E9:E21)+SUM(E25)</f>
        <v>102167.88451500001</v>
      </c>
      <c r="F8" s="311">
        <f>SUM(F9:F21)+SUM(F25)</f>
        <v>91663.866384000008</v>
      </c>
      <c r="G8" s="312">
        <f t="shared" si="3"/>
        <v>489525.38344800007</v>
      </c>
      <c r="H8" s="313"/>
      <c r="I8" s="313"/>
      <c r="J8" s="313"/>
      <c r="K8" s="313"/>
      <c r="L8" s="206"/>
      <c r="M8" s="326"/>
      <c r="N8" s="326"/>
      <c r="O8" s="326"/>
      <c r="P8" s="326"/>
    </row>
    <row r="9" spans="1:16" ht="19.5" customHeight="1" x14ac:dyDescent="0.3">
      <c r="A9" s="314" t="s">
        <v>115</v>
      </c>
      <c r="B9" s="315">
        <f>H9/$A$1</f>
        <v>0</v>
      </c>
      <c r="C9" s="315">
        <f t="shared" ref="C9:F24" si="4">I9/$A$1</f>
        <v>25008.862116999997</v>
      </c>
      <c r="D9" s="315">
        <f t="shared" si="4"/>
        <v>72466.793535999997</v>
      </c>
      <c r="E9" s="315">
        <f t="shared" si="4"/>
        <v>122.60084099999999</v>
      </c>
      <c r="F9" s="315">
        <f t="shared" si="4"/>
        <v>44.989007999999998</v>
      </c>
      <c r="G9" s="312">
        <f t="shared" si="3"/>
        <v>97598.256494000001</v>
      </c>
      <c r="H9" s="313"/>
      <c r="I9" s="313">
        <v>250088621.16999999</v>
      </c>
      <c r="J9" s="313">
        <v>724667935.36000001</v>
      </c>
      <c r="K9" s="313">
        <v>1226008.4099999999</v>
      </c>
      <c r="L9" s="206">
        <v>449890.08</v>
      </c>
      <c r="N9" s="327"/>
    </row>
    <row r="10" spans="1:16" ht="19.5" customHeight="1" x14ac:dyDescent="0.3">
      <c r="A10" s="314" t="s">
        <v>116</v>
      </c>
      <c r="B10" s="315">
        <f t="shared" ref="B10:F25" si="5">H10/$A$1</f>
        <v>0</v>
      </c>
      <c r="C10" s="315">
        <f t="shared" si="4"/>
        <v>0</v>
      </c>
      <c r="D10" s="315">
        <f t="shared" si="4"/>
        <v>0</v>
      </c>
      <c r="E10" s="315">
        <f t="shared" si="4"/>
        <v>0</v>
      </c>
      <c r="F10" s="315">
        <f t="shared" si="4"/>
        <v>0</v>
      </c>
      <c r="G10" s="312">
        <f t="shared" si="3"/>
        <v>0</v>
      </c>
      <c r="H10" s="313"/>
      <c r="I10" s="313"/>
      <c r="J10" s="206"/>
      <c r="K10" s="206"/>
      <c r="L10" s="206"/>
    </row>
    <row r="11" spans="1:16" ht="19.5" customHeight="1" x14ac:dyDescent="0.3">
      <c r="A11" s="314" t="s">
        <v>117</v>
      </c>
      <c r="B11" s="315">
        <f t="shared" si="5"/>
        <v>0</v>
      </c>
      <c r="C11" s="315">
        <f t="shared" si="4"/>
        <v>0</v>
      </c>
      <c r="D11" s="315">
        <f t="shared" si="4"/>
        <v>0</v>
      </c>
      <c r="E11" s="315">
        <f t="shared" si="4"/>
        <v>0</v>
      </c>
      <c r="F11" s="315">
        <f t="shared" si="4"/>
        <v>0</v>
      </c>
      <c r="G11" s="312">
        <f t="shared" si="3"/>
        <v>0</v>
      </c>
      <c r="H11" s="313"/>
      <c r="I11" s="313"/>
      <c r="J11" s="206"/>
      <c r="K11" s="206"/>
      <c r="L11" s="206"/>
    </row>
    <row r="12" spans="1:16" ht="19.5" customHeight="1" x14ac:dyDescent="0.3">
      <c r="A12" s="314" t="s">
        <v>118</v>
      </c>
      <c r="B12" s="315">
        <f t="shared" si="5"/>
        <v>0</v>
      </c>
      <c r="C12" s="315">
        <f t="shared" si="4"/>
        <v>0</v>
      </c>
      <c r="D12" s="315">
        <f t="shared" si="4"/>
        <v>0</v>
      </c>
      <c r="E12" s="315">
        <f t="shared" si="4"/>
        <v>0</v>
      </c>
      <c r="F12" s="315">
        <f t="shared" si="4"/>
        <v>0</v>
      </c>
      <c r="G12" s="312">
        <f t="shared" si="3"/>
        <v>0</v>
      </c>
      <c r="H12" s="313"/>
      <c r="I12" s="313"/>
      <c r="J12" s="206"/>
      <c r="K12" s="206"/>
      <c r="L12" s="206"/>
    </row>
    <row r="13" spans="1:16" ht="19.5" customHeight="1" x14ac:dyDescent="0.3">
      <c r="A13" s="314" t="s">
        <v>119</v>
      </c>
      <c r="B13" s="315">
        <f t="shared" si="5"/>
        <v>0</v>
      </c>
      <c r="C13" s="315">
        <f t="shared" si="4"/>
        <v>0</v>
      </c>
      <c r="D13" s="315">
        <f t="shared" si="4"/>
        <v>0</v>
      </c>
      <c r="E13" s="315">
        <f t="shared" si="4"/>
        <v>0</v>
      </c>
      <c r="F13" s="315">
        <f t="shared" si="4"/>
        <v>0</v>
      </c>
      <c r="G13" s="312">
        <f t="shared" si="3"/>
        <v>0</v>
      </c>
      <c r="H13" s="313"/>
      <c r="I13" s="313"/>
      <c r="J13" s="206"/>
      <c r="K13" s="206"/>
      <c r="L13" s="206"/>
    </row>
    <row r="14" spans="1:16" ht="19.5" customHeight="1" x14ac:dyDescent="0.3">
      <c r="A14" s="314" t="s">
        <v>120</v>
      </c>
      <c r="B14" s="315">
        <f t="shared" si="5"/>
        <v>0</v>
      </c>
      <c r="C14" s="315">
        <f t="shared" si="4"/>
        <v>0</v>
      </c>
      <c r="D14" s="315">
        <f t="shared" si="4"/>
        <v>0</v>
      </c>
      <c r="E14" s="315">
        <f t="shared" si="4"/>
        <v>0</v>
      </c>
      <c r="F14" s="315">
        <f t="shared" si="4"/>
        <v>0</v>
      </c>
      <c r="G14" s="312">
        <f t="shared" si="3"/>
        <v>0</v>
      </c>
      <c r="H14" s="313"/>
      <c r="I14" s="313"/>
      <c r="J14" s="206"/>
      <c r="K14" s="206"/>
      <c r="L14" s="206"/>
    </row>
    <row r="15" spans="1:16" ht="19.5" customHeight="1" x14ac:dyDescent="0.3">
      <c r="A15" s="314" t="s">
        <v>121</v>
      </c>
      <c r="B15" s="315">
        <f t="shared" si="5"/>
        <v>0</v>
      </c>
      <c r="C15" s="315">
        <f t="shared" si="4"/>
        <v>0</v>
      </c>
      <c r="D15" s="315">
        <f t="shared" si="4"/>
        <v>0</v>
      </c>
      <c r="E15" s="315">
        <f t="shared" si="4"/>
        <v>0</v>
      </c>
      <c r="F15" s="315">
        <f t="shared" si="4"/>
        <v>0</v>
      </c>
      <c r="G15" s="312">
        <f t="shared" si="3"/>
        <v>0</v>
      </c>
      <c r="H15" s="313"/>
      <c r="I15" s="313"/>
      <c r="J15" s="206"/>
      <c r="K15" s="206"/>
      <c r="L15" s="206"/>
    </row>
    <row r="16" spans="1:16" ht="19.5" customHeight="1" x14ac:dyDescent="0.3">
      <c r="A16" s="314" t="s">
        <v>122</v>
      </c>
      <c r="B16" s="315">
        <f t="shared" si="5"/>
        <v>0</v>
      </c>
      <c r="C16" s="315">
        <f t="shared" si="4"/>
        <v>0</v>
      </c>
      <c r="D16" s="315">
        <f t="shared" si="4"/>
        <v>0</v>
      </c>
      <c r="E16" s="315">
        <f t="shared" si="4"/>
        <v>0</v>
      </c>
      <c r="F16" s="315">
        <f t="shared" si="4"/>
        <v>0</v>
      </c>
      <c r="G16" s="312">
        <f t="shared" si="3"/>
        <v>0</v>
      </c>
      <c r="H16" s="313"/>
      <c r="I16" s="313"/>
      <c r="J16" s="206"/>
      <c r="K16" s="206"/>
      <c r="L16" s="206"/>
    </row>
    <row r="17" spans="1:12" ht="19.5" customHeight="1" x14ac:dyDescent="0.3">
      <c r="A17" s="314" t="s">
        <v>123</v>
      </c>
      <c r="B17" s="315">
        <f t="shared" si="5"/>
        <v>2224.432648</v>
      </c>
      <c r="C17" s="315">
        <f t="shared" si="4"/>
        <v>3677.2027009999997</v>
      </c>
      <c r="D17" s="315">
        <f t="shared" si="4"/>
        <v>2858.4727079999998</v>
      </c>
      <c r="E17" s="315">
        <f t="shared" si="4"/>
        <v>2044.8168000000001</v>
      </c>
      <c r="F17" s="315">
        <f t="shared" si="4"/>
        <v>1883.2627899999998</v>
      </c>
      <c r="G17" s="312">
        <f t="shared" si="3"/>
        <v>10804.924857</v>
      </c>
      <c r="H17" s="313">
        <v>22244326.48</v>
      </c>
      <c r="I17" s="313">
        <v>36772027.009999998</v>
      </c>
      <c r="J17" s="313">
        <v>28584727.079999998</v>
      </c>
      <c r="K17" s="313">
        <v>20448168</v>
      </c>
      <c r="L17" s="206">
        <v>18832627.899999999</v>
      </c>
    </row>
    <row r="18" spans="1:12" ht="19.5" customHeight="1" x14ac:dyDescent="0.3">
      <c r="A18" s="314" t="s">
        <v>124</v>
      </c>
      <c r="B18" s="315">
        <f t="shared" si="5"/>
        <v>0</v>
      </c>
      <c r="C18" s="315">
        <f t="shared" si="4"/>
        <v>0</v>
      </c>
      <c r="D18" s="315">
        <f t="shared" si="4"/>
        <v>0</v>
      </c>
      <c r="E18" s="315">
        <f t="shared" si="4"/>
        <v>0</v>
      </c>
      <c r="F18" s="315">
        <f t="shared" si="4"/>
        <v>0</v>
      </c>
      <c r="G18" s="312">
        <f t="shared" si="3"/>
        <v>0</v>
      </c>
      <c r="H18" s="313"/>
      <c r="I18" s="313"/>
      <c r="J18" s="313"/>
      <c r="K18" s="313"/>
      <c r="L18" s="206"/>
    </row>
    <row r="19" spans="1:12" ht="19.5" customHeight="1" x14ac:dyDescent="0.3">
      <c r="A19" s="314" t="s">
        <v>125</v>
      </c>
      <c r="B19" s="315">
        <f t="shared" si="5"/>
        <v>2947.9224530000001</v>
      </c>
      <c r="C19" s="315">
        <f t="shared" si="4"/>
        <v>3152.3437690000001</v>
      </c>
      <c r="D19" s="315">
        <f t="shared" si="4"/>
        <v>3215.2249929999998</v>
      </c>
      <c r="E19" s="315">
        <f t="shared" si="4"/>
        <v>1480.488529</v>
      </c>
      <c r="F19" s="315">
        <f t="shared" si="4"/>
        <v>873.82823299999995</v>
      </c>
      <c r="G19" s="312">
        <f t="shared" si="3"/>
        <v>10795.979744</v>
      </c>
      <c r="H19" s="313">
        <v>29479224.530000001</v>
      </c>
      <c r="I19" s="313">
        <v>31523437.690000001</v>
      </c>
      <c r="J19" s="313">
        <v>32152249.93</v>
      </c>
      <c r="K19" s="313">
        <v>14804885.289999999</v>
      </c>
      <c r="L19" s="206">
        <v>8738282.3300000001</v>
      </c>
    </row>
    <row r="20" spans="1:12" ht="19.5" customHeight="1" x14ac:dyDescent="0.3">
      <c r="A20" s="314" t="s">
        <v>126</v>
      </c>
      <c r="B20" s="315">
        <f t="shared" si="5"/>
        <v>0</v>
      </c>
      <c r="C20" s="315">
        <f t="shared" si="4"/>
        <v>0</v>
      </c>
      <c r="D20" s="315">
        <f t="shared" si="4"/>
        <v>0</v>
      </c>
      <c r="E20" s="315">
        <f t="shared" si="4"/>
        <v>0</v>
      </c>
      <c r="F20" s="315">
        <f t="shared" si="4"/>
        <v>0</v>
      </c>
      <c r="G20" s="312">
        <f t="shared" si="3"/>
        <v>0</v>
      </c>
      <c r="H20" s="313"/>
      <c r="I20" s="313"/>
      <c r="J20" s="206"/>
      <c r="K20" s="206"/>
      <c r="L20" s="206"/>
    </row>
    <row r="21" spans="1:12" ht="19.5" customHeight="1" x14ac:dyDescent="0.3">
      <c r="A21" s="314" t="s">
        <v>127</v>
      </c>
      <c r="B21" s="315">
        <f>H21/$A$1</f>
        <v>69461.719200000007</v>
      </c>
      <c r="C21" s="315">
        <f t="shared" si="4"/>
        <v>98697.302438999992</v>
      </c>
      <c r="D21" s="315">
        <f t="shared" si="4"/>
        <v>103647.22236900001</v>
      </c>
      <c r="E21" s="315">
        <f t="shared" si="4"/>
        <v>98519.97834500001</v>
      </c>
      <c r="F21" s="315">
        <f t="shared" si="4"/>
        <v>88861.786353000003</v>
      </c>
      <c r="G21" s="312">
        <f t="shared" si="3"/>
        <v>370326.22235300002</v>
      </c>
      <c r="H21" s="313">
        <v>694617192</v>
      </c>
      <c r="I21" s="313">
        <v>986973024.38999999</v>
      </c>
      <c r="J21" s="313">
        <v>1036472223.6900001</v>
      </c>
      <c r="K21" s="313">
        <v>985199783.45000005</v>
      </c>
      <c r="L21" s="206">
        <v>888617863.52999997</v>
      </c>
    </row>
    <row r="22" spans="1:12" ht="19.5" customHeight="1" x14ac:dyDescent="0.3">
      <c r="A22" s="316" t="s">
        <v>128</v>
      </c>
      <c r="B22" s="315">
        <f t="shared" si="5"/>
        <v>0</v>
      </c>
      <c r="C22" s="315">
        <f t="shared" si="4"/>
        <v>108673.54821800001</v>
      </c>
      <c r="D22" s="315">
        <f t="shared" si="4"/>
        <v>121740.71941199999</v>
      </c>
      <c r="E22" s="315">
        <f t="shared" si="4"/>
        <v>115993.922926</v>
      </c>
      <c r="F22" s="315">
        <f t="shared" si="4"/>
        <v>0</v>
      </c>
      <c r="G22" s="312">
        <f t="shared" si="3"/>
        <v>346408.19055599999</v>
      </c>
      <c r="H22" s="313"/>
      <c r="I22" s="313">
        <v>1086735482.1800001</v>
      </c>
      <c r="J22" s="313">
        <v>1217407194.1199999</v>
      </c>
      <c r="K22" s="313">
        <v>1159939229.26</v>
      </c>
      <c r="L22" s="206"/>
    </row>
    <row r="23" spans="1:12" ht="19.5" customHeight="1" x14ac:dyDescent="0.3">
      <c r="A23" s="316" t="s">
        <v>129</v>
      </c>
      <c r="B23" s="315">
        <f t="shared" si="5"/>
        <v>0</v>
      </c>
      <c r="C23" s="315">
        <f t="shared" si="4"/>
        <v>9989.8604400000004</v>
      </c>
      <c r="D23" s="315">
        <f t="shared" si="4"/>
        <v>18141.689149999998</v>
      </c>
      <c r="E23" s="315">
        <f t="shared" si="4"/>
        <v>17512.927166000001</v>
      </c>
      <c r="F23" s="315">
        <f t="shared" si="4"/>
        <v>0</v>
      </c>
      <c r="G23" s="312">
        <f t="shared" si="3"/>
        <v>45644.476756000004</v>
      </c>
      <c r="H23" s="313"/>
      <c r="I23" s="313">
        <v>99898604.400000006</v>
      </c>
      <c r="J23" s="313">
        <v>181416891.5</v>
      </c>
      <c r="K23" s="313">
        <v>175129271.66</v>
      </c>
      <c r="L23" s="206"/>
    </row>
    <row r="24" spans="1:12" ht="19.5" customHeight="1" x14ac:dyDescent="0.3">
      <c r="A24" s="317" t="s">
        <v>130</v>
      </c>
      <c r="B24" s="315">
        <f t="shared" si="5"/>
        <v>0</v>
      </c>
      <c r="C24" s="315">
        <f t="shared" si="4"/>
        <v>0</v>
      </c>
      <c r="D24" s="315">
        <f t="shared" si="4"/>
        <v>0</v>
      </c>
      <c r="E24" s="315">
        <f t="shared" si="4"/>
        <v>0</v>
      </c>
      <c r="F24" s="315">
        <f t="shared" si="4"/>
        <v>0</v>
      </c>
      <c r="G24" s="312">
        <f t="shared" si="3"/>
        <v>0</v>
      </c>
      <c r="H24" s="313"/>
      <c r="I24" s="206"/>
      <c r="J24" s="206"/>
      <c r="K24" s="206"/>
      <c r="L24" s="206"/>
    </row>
    <row r="25" spans="1:12" ht="19.5" customHeight="1" x14ac:dyDescent="0.3">
      <c r="A25" s="316" t="s">
        <v>184</v>
      </c>
      <c r="B25" s="315">
        <f t="shared" si="5"/>
        <v>0</v>
      </c>
      <c r="C25" s="315">
        <f t="shared" si="5"/>
        <v>0</v>
      </c>
      <c r="D25" s="315">
        <f t="shared" si="5"/>
        <v>0</v>
      </c>
      <c r="E25" s="315">
        <f t="shared" si="5"/>
        <v>0</v>
      </c>
      <c r="F25" s="315">
        <f t="shared" si="5"/>
        <v>0</v>
      </c>
      <c r="G25" s="312">
        <f t="shared" si="3"/>
        <v>0</v>
      </c>
      <c r="H25" s="313"/>
      <c r="I25" s="206"/>
      <c r="J25" s="206"/>
      <c r="K25" s="206"/>
      <c r="L25" s="206"/>
    </row>
    <row r="26" spans="1:12" ht="19.5" customHeight="1" x14ac:dyDescent="0.3">
      <c r="A26" s="316" t="s">
        <v>132</v>
      </c>
      <c r="B26" s="315">
        <f t="shared" ref="B26:F35" si="6">H26/$A$1</f>
        <v>66133.445999999996</v>
      </c>
      <c r="C26" s="315">
        <f t="shared" si="6"/>
        <v>104470.132815</v>
      </c>
      <c r="D26" s="315">
        <f t="shared" si="6"/>
        <v>97679.068100000004</v>
      </c>
      <c r="E26" s="315">
        <f t="shared" si="6"/>
        <v>95684.980382000009</v>
      </c>
      <c r="F26" s="315">
        <f t="shared" si="6"/>
        <v>78223.313355999999</v>
      </c>
      <c r="G26" s="312">
        <f t="shared" si="3"/>
        <v>363967.62729700003</v>
      </c>
      <c r="H26" s="313">
        <v>661334460</v>
      </c>
      <c r="I26" s="206">
        <v>1044701328.15</v>
      </c>
      <c r="J26" s="313">
        <v>976790681</v>
      </c>
      <c r="K26" s="313">
        <v>956849803.82000005</v>
      </c>
      <c r="L26" s="206">
        <v>782233133.55999994</v>
      </c>
    </row>
    <row r="27" spans="1:12" ht="19.5" customHeight="1" x14ac:dyDescent="0.3">
      <c r="A27" s="314" t="s">
        <v>133</v>
      </c>
      <c r="B27" s="315">
        <f t="shared" si="6"/>
        <v>34266.250577999999</v>
      </c>
      <c r="C27" s="315">
        <f t="shared" si="6"/>
        <v>53855.203480999997</v>
      </c>
      <c r="D27" s="315">
        <f t="shared" si="6"/>
        <v>87827.591811000006</v>
      </c>
      <c r="E27" s="315">
        <f t="shared" si="6"/>
        <v>42082.788927000001</v>
      </c>
      <c r="F27" s="315">
        <f t="shared" si="6"/>
        <v>-5.2679510000000001</v>
      </c>
      <c r="G27" s="312">
        <f t="shared" si="3"/>
        <v>218031.83479699999</v>
      </c>
      <c r="H27" s="313">
        <v>342662505.77999997</v>
      </c>
      <c r="I27" s="206">
        <v>538552034.80999994</v>
      </c>
      <c r="J27" s="313">
        <v>878275918.11000001</v>
      </c>
      <c r="K27" s="313">
        <v>420827889.26999998</v>
      </c>
      <c r="L27" s="206">
        <v>-52679.51</v>
      </c>
    </row>
    <row r="28" spans="1:12" ht="19.5" customHeight="1" x14ac:dyDescent="0.3">
      <c r="A28" s="317" t="s">
        <v>134</v>
      </c>
      <c r="B28" s="315">
        <f t="shared" si="6"/>
        <v>0</v>
      </c>
      <c r="C28" s="315">
        <f t="shared" si="6"/>
        <v>1979.468468</v>
      </c>
      <c r="D28" s="315">
        <f t="shared" si="6"/>
        <v>1447.8932970000001</v>
      </c>
      <c r="E28" s="315">
        <f t="shared" si="6"/>
        <v>-312.09682400000003</v>
      </c>
      <c r="F28" s="315">
        <f t="shared" si="6"/>
        <v>-5.2679510000000001</v>
      </c>
      <c r="G28" s="312">
        <f t="shared" si="3"/>
        <v>3115.2649409999999</v>
      </c>
      <c r="H28" s="313"/>
      <c r="I28" s="206">
        <v>19794684.68</v>
      </c>
      <c r="J28" s="206">
        <v>14478932.970000001</v>
      </c>
      <c r="K28" s="206">
        <v>-3120968.24</v>
      </c>
      <c r="L28" s="325">
        <v>-52679.51</v>
      </c>
    </row>
    <row r="29" spans="1:12" ht="19.5" customHeight="1" x14ac:dyDescent="0.3">
      <c r="A29" s="317" t="s">
        <v>135</v>
      </c>
      <c r="B29" s="315">
        <f t="shared" si="6"/>
        <v>0</v>
      </c>
      <c r="C29" s="315">
        <f t="shared" si="6"/>
        <v>0</v>
      </c>
      <c r="D29" s="315">
        <f t="shared" si="6"/>
        <v>0</v>
      </c>
      <c r="E29" s="315">
        <f t="shared" si="6"/>
        <v>0</v>
      </c>
      <c r="F29" s="315">
        <f t="shared" si="6"/>
        <v>0</v>
      </c>
      <c r="G29" s="312">
        <f t="shared" si="3"/>
        <v>0</v>
      </c>
      <c r="H29" s="313"/>
      <c r="I29" s="206"/>
      <c r="J29" s="206"/>
      <c r="K29" s="206"/>
      <c r="L29" s="325"/>
    </row>
    <row r="30" spans="1:12" ht="19.5" customHeight="1" x14ac:dyDescent="0.3">
      <c r="A30" s="317" t="s">
        <v>136</v>
      </c>
      <c r="B30" s="315">
        <f t="shared" si="6"/>
        <v>0</v>
      </c>
      <c r="C30" s="315">
        <f t="shared" si="6"/>
        <v>0</v>
      </c>
      <c r="D30" s="315">
        <f t="shared" si="6"/>
        <v>0</v>
      </c>
      <c r="E30" s="315">
        <f t="shared" si="6"/>
        <v>0</v>
      </c>
      <c r="F30" s="315">
        <f t="shared" si="6"/>
        <v>0</v>
      </c>
      <c r="G30" s="312">
        <f t="shared" si="3"/>
        <v>0</v>
      </c>
      <c r="H30" s="313"/>
      <c r="I30" s="206"/>
      <c r="J30" s="206"/>
      <c r="K30" s="206"/>
      <c r="L30" s="325"/>
    </row>
    <row r="31" spans="1:12" ht="19.5" customHeight="1" x14ac:dyDescent="0.3">
      <c r="A31" s="317" t="s">
        <v>137</v>
      </c>
      <c r="B31" s="315">
        <f t="shared" si="6"/>
        <v>0</v>
      </c>
      <c r="C31" s="315">
        <f t="shared" si="6"/>
        <v>0</v>
      </c>
      <c r="D31" s="315">
        <f t="shared" si="6"/>
        <v>0</v>
      </c>
      <c r="E31" s="315">
        <f t="shared" si="6"/>
        <v>0</v>
      </c>
      <c r="F31" s="315">
        <f t="shared" si="6"/>
        <v>0</v>
      </c>
      <c r="G31" s="312">
        <f t="shared" si="3"/>
        <v>0</v>
      </c>
      <c r="H31" s="313"/>
      <c r="I31" s="206"/>
      <c r="J31" s="206"/>
      <c r="K31" s="206"/>
      <c r="L31" s="325"/>
    </row>
    <row r="32" spans="1:12" ht="19.5" customHeight="1" x14ac:dyDescent="0.3">
      <c r="A32" s="314" t="s">
        <v>138</v>
      </c>
      <c r="B32" s="315">
        <f t="shared" si="6"/>
        <v>0</v>
      </c>
      <c r="C32" s="315">
        <f t="shared" si="6"/>
        <v>-10513.85</v>
      </c>
      <c r="D32" s="315">
        <f t="shared" si="6"/>
        <v>111.60838600000001</v>
      </c>
      <c r="E32" s="315">
        <f t="shared" si="6"/>
        <v>0</v>
      </c>
      <c r="F32" s="315">
        <f t="shared" si="6"/>
        <v>0</v>
      </c>
      <c r="G32" s="312">
        <f t="shared" si="3"/>
        <v>-10402.241614</v>
      </c>
      <c r="H32" s="313"/>
      <c r="I32" s="313">
        <v>-105138500</v>
      </c>
      <c r="J32" s="313">
        <v>1116083.8600000001</v>
      </c>
      <c r="K32" s="313"/>
      <c r="L32" s="325"/>
    </row>
    <row r="33" spans="1:16" ht="19.5" customHeight="1" x14ac:dyDescent="0.3">
      <c r="A33" s="314" t="s">
        <v>139</v>
      </c>
      <c r="B33" s="315">
        <f t="shared" si="6"/>
        <v>309.03395699999999</v>
      </c>
      <c r="C33" s="315">
        <f t="shared" si="6"/>
        <v>-55.309775000000002</v>
      </c>
      <c r="D33" s="315">
        <f t="shared" si="6"/>
        <v>1.510222</v>
      </c>
      <c r="E33" s="315">
        <f t="shared" si="6"/>
        <v>26.7105</v>
      </c>
      <c r="F33" s="315">
        <f t="shared" si="6"/>
        <v>0</v>
      </c>
      <c r="G33" s="312">
        <f t="shared" si="3"/>
        <v>281.94490400000001</v>
      </c>
      <c r="H33" s="313">
        <v>3090339.57</v>
      </c>
      <c r="I33" s="313">
        <v>-553097.75</v>
      </c>
      <c r="J33" s="206">
        <v>15102.22</v>
      </c>
      <c r="K33" s="206">
        <v>267105</v>
      </c>
      <c r="L33" s="206"/>
    </row>
    <row r="34" spans="1:16" ht="19.5" customHeight="1" x14ac:dyDescent="0.3">
      <c r="A34" s="314" t="s">
        <v>140</v>
      </c>
      <c r="B34" s="315">
        <f t="shared" si="6"/>
        <v>0</v>
      </c>
      <c r="C34" s="315">
        <f t="shared" si="6"/>
        <v>0</v>
      </c>
      <c r="D34" s="315">
        <f t="shared" si="6"/>
        <v>0</v>
      </c>
      <c r="E34" s="315">
        <f>K34/$A$1</f>
        <v>0</v>
      </c>
      <c r="F34" s="315">
        <f t="shared" si="6"/>
        <v>-141.137778</v>
      </c>
      <c r="G34" s="312">
        <f t="shared" si="3"/>
        <v>0</v>
      </c>
      <c r="H34" s="313"/>
      <c r="I34" s="313"/>
      <c r="J34" s="313"/>
      <c r="K34" s="313"/>
      <c r="L34" s="206">
        <v>-1411377.78</v>
      </c>
    </row>
    <row r="35" spans="1:16" ht="19.5" customHeight="1" x14ac:dyDescent="0.3">
      <c r="A35" s="317" t="s">
        <v>141</v>
      </c>
      <c r="B35" s="315">
        <f t="shared" si="6"/>
        <v>0</v>
      </c>
      <c r="C35" s="315">
        <f t="shared" si="6"/>
        <v>0</v>
      </c>
      <c r="D35" s="315">
        <f t="shared" si="6"/>
        <v>0</v>
      </c>
      <c r="E35" s="315">
        <f t="shared" si="6"/>
        <v>8.0247469999999996</v>
      </c>
      <c r="F35" s="315">
        <f t="shared" si="6"/>
        <v>0</v>
      </c>
      <c r="G35" s="312">
        <f t="shared" si="3"/>
        <v>8.0247469999999996</v>
      </c>
      <c r="H35" s="313"/>
      <c r="I35" s="313"/>
      <c r="J35" s="313"/>
      <c r="K35" s="206">
        <v>80247.47</v>
      </c>
      <c r="L35" s="206"/>
    </row>
    <row r="36" spans="1:16" ht="19.5" customHeight="1" x14ac:dyDescent="0.3">
      <c r="A36" s="310" t="s">
        <v>142</v>
      </c>
      <c r="B36" s="318">
        <f>B3-B8+SUM(B26:B27)+SUM(B30:B35)</f>
        <v>27270.700090000006</v>
      </c>
      <c r="C36" s="318">
        <f>C3-C8+SUM(C26:C27)+SUM(C30:C35)</f>
        <v>47601.443760000002</v>
      </c>
      <c r="D36" s="318">
        <f t="shared" ref="D36:F36" si="7">D3-D8+SUM(D26:D27)+SUM(D30:D35)</f>
        <v>88500.018579999989</v>
      </c>
      <c r="E36" s="318">
        <f t="shared" si="7"/>
        <v>36068.773358999977</v>
      </c>
      <c r="F36" s="318">
        <f t="shared" si="7"/>
        <v>33476.992479999994</v>
      </c>
      <c r="G36" s="312">
        <f t="shared" si="3"/>
        <v>199440.93578899998</v>
      </c>
      <c r="H36" s="313">
        <v>266526321.75999999</v>
      </c>
      <c r="I36" s="206">
        <v>476014437.60000002</v>
      </c>
      <c r="J36" s="313">
        <v>885000185.79999995</v>
      </c>
      <c r="K36" s="313">
        <v>360687733.58999997</v>
      </c>
      <c r="L36" s="325">
        <v>334769924.80000001</v>
      </c>
      <c r="M36" s="328"/>
      <c r="P36" s="328"/>
    </row>
    <row r="37" spans="1:16" ht="19.5" customHeight="1" x14ac:dyDescent="0.3">
      <c r="A37" s="314" t="s">
        <v>143</v>
      </c>
      <c r="B37" s="315">
        <f>H37/$A$1</f>
        <v>2.9384080000000004</v>
      </c>
      <c r="C37" s="315">
        <f t="shared" ref="C37:F38" si="8">I37/$A$1</f>
        <v>1.8957999999999999</v>
      </c>
      <c r="D37" s="315">
        <f t="shared" si="8"/>
        <v>35.005595</v>
      </c>
      <c r="E37" s="315">
        <f t="shared" si="8"/>
        <v>2</v>
      </c>
      <c r="F37" s="315">
        <f t="shared" si="8"/>
        <v>5.1336539999999999</v>
      </c>
      <c r="G37" s="312">
        <f t="shared" si="3"/>
        <v>41.839803000000003</v>
      </c>
      <c r="H37" s="313">
        <v>29384.080000000002</v>
      </c>
      <c r="I37" s="206">
        <v>18958</v>
      </c>
      <c r="J37" s="313">
        <v>350055.95</v>
      </c>
      <c r="K37" s="313">
        <v>20000</v>
      </c>
      <c r="L37" s="206">
        <v>51336.54</v>
      </c>
    </row>
    <row r="38" spans="1:16" ht="19.5" customHeight="1" x14ac:dyDescent="0.3">
      <c r="A38" s="314" t="s">
        <v>144</v>
      </c>
      <c r="B38" s="315">
        <f>H38/$A$1</f>
        <v>8.7579999999999991</v>
      </c>
      <c r="C38" s="315">
        <f t="shared" si="8"/>
        <v>246.35051899999999</v>
      </c>
      <c r="D38" s="315">
        <f t="shared" si="8"/>
        <v>70.777950000000004</v>
      </c>
      <c r="E38" s="315">
        <f t="shared" si="8"/>
        <v>102.40765999999999</v>
      </c>
      <c r="F38" s="315">
        <f t="shared" si="8"/>
        <v>44.893403999999997</v>
      </c>
      <c r="G38" s="312">
        <f t="shared" si="3"/>
        <v>428.294129</v>
      </c>
      <c r="H38" s="313">
        <v>87580</v>
      </c>
      <c r="I38" s="206">
        <v>2463505.19</v>
      </c>
      <c r="J38" s="313">
        <v>707779.5</v>
      </c>
      <c r="K38" s="313">
        <v>1024076.6</v>
      </c>
      <c r="L38" s="206">
        <v>448934.04</v>
      </c>
    </row>
    <row r="39" spans="1:16" ht="19.5" customHeight="1" x14ac:dyDescent="0.3">
      <c r="A39" s="310" t="s">
        <v>145</v>
      </c>
      <c r="B39" s="318">
        <f>B36+B37-B38</f>
        <v>27264.880498000006</v>
      </c>
      <c r="C39" s="318">
        <f t="shared" ref="C39:F39" si="9">C36+C37-C38</f>
        <v>47356.989041000001</v>
      </c>
      <c r="D39" s="318">
        <f t="shared" si="9"/>
        <v>88464.246224999981</v>
      </c>
      <c r="E39" s="318">
        <f t="shared" si="9"/>
        <v>35968.36569899998</v>
      </c>
      <c r="F39" s="318">
        <f t="shared" si="9"/>
        <v>33437.232729999989</v>
      </c>
      <c r="G39" s="312">
        <f t="shared" si="3"/>
        <v>199054.48146299997</v>
      </c>
      <c r="H39" s="313">
        <v>266468125.84</v>
      </c>
      <c r="I39" s="206">
        <v>473569890.41000003</v>
      </c>
      <c r="J39" s="313">
        <v>884642462.25</v>
      </c>
      <c r="K39" s="313">
        <v>359683656.99000001</v>
      </c>
      <c r="L39" s="206">
        <v>334372327.30000001</v>
      </c>
    </row>
    <row r="40" spans="1:16" ht="19.5" customHeight="1" x14ac:dyDescent="0.3">
      <c r="A40" s="314" t="s">
        <v>147</v>
      </c>
      <c r="B40" s="315">
        <f>H40/$A$1</f>
        <v>0</v>
      </c>
      <c r="C40" s="315">
        <f t="shared" ref="C40:F40" si="10">I40/$A$1</f>
        <v>-2628.4625000000001</v>
      </c>
      <c r="D40" s="315">
        <f t="shared" si="10"/>
        <v>27.902096999999998</v>
      </c>
      <c r="E40" s="315">
        <f t="shared" si="10"/>
        <v>0</v>
      </c>
      <c r="F40" s="315">
        <f t="shared" si="10"/>
        <v>0</v>
      </c>
      <c r="G40" s="312">
        <f t="shared" si="3"/>
        <v>-2600.560403</v>
      </c>
      <c r="H40" s="313"/>
      <c r="I40" s="206">
        <v>-26284625</v>
      </c>
      <c r="J40" s="313">
        <v>279020.96999999997</v>
      </c>
      <c r="K40" s="313"/>
      <c r="L40" s="206"/>
    </row>
    <row r="41" spans="1:16" ht="19.5" customHeight="1" x14ac:dyDescent="0.3">
      <c r="A41" s="310" t="s">
        <v>148</v>
      </c>
      <c r="B41" s="318">
        <f>B39-B40</f>
        <v>27264.880498000006</v>
      </c>
      <c r="C41" s="318">
        <f t="shared" ref="C41:F41" si="11">C39-C40</f>
        <v>49985.451541000002</v>
      </c>
      <c r="D41" s="318">
        <f t="shared" si="11"/>
        <v>88436.344127999982</v>
      </c>
      <c r="E41" s="318">
        <f t="shared" si="11"/>
        <v>35968.36569899998</v>
      </c>
      <c r="F41" s="318">
        <f t="shared" si="11"/>
        <v>33437.232729999989</v>
      </c>
      <c r="G41" s="312">
        <f t="shared" si="3"/>
        <v>201655.04186599996</v>
      </c>
      <c r="H41" s="313">
        <v>266468125.84</v>
      </c>
      <c r="I41" s="206">
        <v>499854515.41000003</v>
      </c>
      <c r="J41" s="313">
        <v>884363441.27999997</v>
      </c>
      <c r="K41" s="313">
        <v>359683656.99000001</v>
      </c>
      <c r="L41" s="206">
        <v>334372327.30000001</v>
      </c>
    </row>
    <row r="42" spans="1:16" ht="19.5" customHeight="1" x14ac:dyDescent="0.3">
      <c r="A42" s="314" t="s">
        <v>149</v>
      </c>
      <c r="B42" s="319"/>
      <c r="C42" s="319"/>
      <c r="D42" s="320"/>
      <c r="E42" s="320"/>
      <c r="F42" s="320"/>
      <c r="G42" s="312">
        <f t="shared" si="3"/>
        <v>0</v>
      </c>
      <c r="H42" s="313"/>
      <c r="I42" s="206"/>
      <c r="J42" s="325"/>
      <c r="K42" s="325"/>
      <c r="L42" s="325"/>
    </row>
    <row r="43" spans="1:16" ht="19.5" customHeight="1" x14ac:dyDescent="0.3">
      <c r="A43" s="321" t="s">
        <v>150</v>
      </c>
      <c r="B43" s="319">
        <f>H43/$A$1</f>
        <v>26646.812583999999</v>
      </c>
      <c r="C43" s="319">
        <f t="shared" ref="C43:F44" si="12">I43/$A$1</f>
        <v>49985.451541000002</v>
      </c>
      <c r="D43" s="319">
        <f t="shared" si="12"/>
        <v>88436.344127999997</v>
      </c>
      <c r="E43" s="319">
        <f t="shared" si="12"/>
        <v>35968.365699000002</v>
      </c>
      <c r="F43" s="319">
        <f t="shared" si="12"/>
        <v>33437.232730000003</v>
      </c>
      <c r="G43" s="312">
        <f t="shared" si="3"/>
        <v>201036.97395200003</v>
      </c>
      <c r="H43" s="313">
        <v>266468125.84</v>
      </c>
      <c r="I43" s="206">
        <v>499854515.41000003</v>
      </c>
      <c r="J43" s="313">
        <v>884363441.27999997</v>
      </c>
      <c r="K43" s="313">
        <v>359683656.99000001</v>
      </c>
      <c r="L43" s="325">
        <v>334372327.30000001</v>
      </c>
    </row>
    <row r="44" spans="1:16" ht="19.5" customHeight="1" x14ac:dyDescent="0.3">
      <c r="A44" s="321" t="s">
        <v>151</v>
      </c>
      <c r="B44" s="319">
        <f>H44/$A$1</f>
        <v>0</v>
      </c>
      <c r="C44" s="319">
        <f t="shared" si="12"/>
        <v>0</v>
      </c>
      <c r="D44" s="319">
        <f t="shared" si="12"/>
        <v>0</v>
      </c>
      <c r="E44" s="319">
        <f t="shared" si="12"/>
        <v>0</v>
      </c>
      <c r="F44" s="319">
        <f t="shared" si="12"/>
        <v>0</v>
      </c>
      <c r="G44" s="312">
        <f t="shared" si="3"/>
        <v>0</v>
      </c>
      <c r="H44" s="313"/>
      <c r="I44" s="325"/>
      <c r="J44" s="325"/>
      <c r="K44" s="313"/>
      <c r="L44" s="325"/>
    </row>
    <row r="45" spans="1:16" ht="19.5" customHeight="1" x14ac:dyDescent="0.3">
      <c r="A45" s="314" t="s">
        <v>152</v>
      </c>
      <c r="B45" s="322"/>
      <c r="C45" s="322"/>
      <c r="D45" s="320"/>
      <c r="E45" s="320"/>
      <c r="F45" s="320"/>
      <c r="G45" s="312">
        <f t="shared" si="3"/>
        <v>0</v>
      </c>
      <c r="H45" s="313"/>
      <c r="I45" s="325"/>
      <c r="J45" s="325"/>
      <c r="K45" s="325"/>
      <c r="L45" s="325"/>
    </row>
    <row r="46" spans="1:16" ht="19.5" customHeight="1" x14ac:dyDescent="0.3">
      <c r="A46" s="323" t="s">
        <v>153</v>
      </c>
      <c r="B46" s="319">
        <f>B41-B47</f>
        <v>27264.880498000006</v>
      </c>
      <c r="C46" s="319">
        <f t="shared" ref="C46:F46" si="13">C41-C47</f>
        <v>49985.451541000002</v>
      </c>
      <c r="D46" s="319">
        <f t="shared" si="13"/>
        <v>88436.344127999982</v>
      </c>
      <c r="E46" s="319">
        <f t="shared" si="13"/>
        <v>35968.36569899998</v>
      </c>
      <c r="F46" s="319">
        <f t="shared" si="13"/>
        <v>33437.232729999989</v>
      </c>
      <c r="G46" s="312">
        <f t="shared" si="3"/>
        <v>201655.04186599996</v>
      </c>
      <c r="H46" s="313"/>
      <c r="I46" s="325"/>
      <c r="J46" s="325"/>
      <c r="K46" s="325"/>
      <c r="L46" s="325"/>
    </row>
    <row r="47" spans="1:16" ht="19.5" customHeight="1" x14ac:dyDescent="0.3">
      <c r="A47" s="324" t="s">
        <v>155</v>
      </c>
      <c r="B47" s="319">
        <f>H47/$A$1</f>
        <v>0</v>
      </c>
      <c r="C47" s="319">
        <f t="shared" ref="C47:F47" si="14">I47/$A$1</f>
        <v>0</v>
      </c>
      <c r="D47" s="319">
        <f t="shared" si="14"/>
        <v>0</v>
      </c>
      <c r="E47" s="319">
        <f t="shared" si="14"/>
        <v>0</v>
      </c>
      <c r="F47" s="319">
        <f t="shared" si="14"/>
        <v>0</v>
      </c>
      <c r="G47" s="312">
        <f t="shared" si="3"/>
        <v>0</v>
      </c>
      <c r="H47" s="313"/>
      <c r="I47" s="313"/>
      <c r="J47" s="313"/>
      <c r="K47" s="313"/>
      <c r="L47" s="206"/>
    </row>
    <row r="48" spans="1:16" ht="19.5" customHeight="1" x14ac:dyDescent="0.3">
      <c r="A48" s="310" t="s">
        <v>156</v>
      </c>
      <c r="B48" s="318">
        <f>B49+B66</f>
        <v>0</v>
      </c>
      <c r="C48" s="318">
        <f>C49+C66</f>
        <v>-233.37691600000002</v>
      </c>
      <c r="D48" s="318">
        <f t="shared" ref="D48:F48" si="15">D49+D66</f>
        <v>54934.711145000008</v>
      </c>
      <c r="E48" s="318">
        <f t="shared" si="15"/>
        <v>0</v>
      </c>
      <c r="F48" s="318">
        <f t="shared" si="15"/>
        <v>0</v>
      </c>
      <c r="G48" s="312">
        <f t="shared" si="3"/>
        <v>54701.334229000007</v>
      </c>
      <c r="H48" s="313"/>
      <c r="I48" s="325">
        <v>-2333769.16</v>
      </c>
      <c r="J48" s="325">
        <v>545253568.89999998</v>
      </c>
      <c r="K48" s="325"/>
      <c r="L48" s="325"/>
    </row>
    <row r="49" spans="1:12" ht="19.5" customHeight="1" x14ac:dyDescent="0.3">
      <c r="A49" s="324" t="s">
        <v>157</v>
      </c>
      <c r="B49" s="319">
        <f>H49/$A$1</f>
        <v>0</v>
      </c>
      <c r="C49" s="319">
        <f>C50+C56</f>
        <v>-233.37691600000002</v>
      </c>
      <c r="D49" s="319">
        <f t="shared" ref="D49:E49" si="16">D50+D56</f>
        <v>54934.711145000008</v>
      </c>
      <c r="E49" s="319">
        <f t="shared" si="16"/>
        <v>0</v>
      </c>
      <c r="F49" s="319">
        <f t="shared" ref="D49:F55" si="17">L49/$A$1</f>
        <v>0</v>
      </c>
      <c r="G49" s="312">
        <f t="shared" si="3"/>
        <v>54701.334229000007</v>
      </c>
      <c r="H49" s="313"/>
      <c r="I49" s="313"/>
      <c r="J49" s="313">
        <v>-4093542.55</v>
      </c>
      <c r="K49" s="313"/>
      <c r="L49" s="325"/>
    </row>
    <row r="50" spans="1:12" ht="19.5" customHeight="1" x14ac:dyDescent="0.3">
      <c r="A50" s="324" t="s">
        <v>158</v>
      </c>
      <c r="B50" s="319">
        <f>H50/$A$1</f>
        <v>0</v>
      </c>
      <c r="C50" s="319">
        <f>I50/$A$1</f>
        <v>-233.37691600000002</v>
      </c>
      <c r="D50" s="319">
        <f t="shared" si="17"/>
        <v>0</v>
      </c>
      <c r="E50" s="319">
        <f t="shared" si="17"/>
        <v>0</v>
      </c>
      <c r="F50" s="319">
        <f t="shared" si="17"/>
        <v>0</v>
      </c>
      <c r="G50" s="312">
        <f t="shared" si="3"/>
        <v>-233.37691600000002</v>
      </c>
      <c r="H50" s="313"/>
      <c r="I50" s="325">
        <v>-2333769.16</v>
      </c>
      <c r="J50" s="325"/>
      <c r="K50" s="325"/>
      <c r="L50" s="325"/>
    </row>
    <row r="51" spans="1:12" ht="19.5" customHeight="1" x14ac:dyDescent="0.3">
      <c r="A51" s="324" t="s">
        <v>159</v>
      </c>
      <c r="B51" s="319">
        <f t="shared" ref="B51:F66" si="18">H51/$A$1</f>
        <v>0</v>
      </c>
      <c r="C51" s="319">
        <f t="shared" si="18"/>
        <v>0</v>
      </c>
      <c r="D51" s="319">
        <f t="shared" si="17"/>
        <v>0</v>
      </c>
      <c r="E51" s="319">
        <f t="shared" si="17"/>
        <v>0</v>
      </c>
      <c r="F51" s="319">
        <f t="shared" si="17"/>
        <v>0</v>
      </c>
      <c r="G51" s="312">
        <f t="shared" si="3"/>
        <v>0</v>
      </c>
      <c r="H51" s="313"/>
      <c r="I51" s="325"/>
      <c r="J51" s="325"/>
      <c r="K51" s="325"/>
      <c r="L51" s="325"/>
    </row>
    <row r="52" spans="1:12" ht="19.5" customHeight="1" x14ac:dyDescent="0.3">
      <c r="A52" s="324" t="s">
        <v>160</v>
      </c>
      <c r="B52" s="319">
        <f t="shared" si="18"/>
        <v>0</v>
      </c>
      <c r="C52" s="319">
        <f t="shared" si="18"/>
        <v>0</v>
      </c>
      <c r="D52" s="319">
        <f t="shared" si="17"/>
        <v>0</v>
      </c>
      <c r="E52" s="319">
        <f t="shared" si="17"/>
        <v>0</v>
      </c>
      <c r="F52" s="319">
        <f t="shared" si="17"/>
        <v>0</v>
      </c>
      <c r="G52" s="312">
        <f t="shared" si="3"/>
        <v>0</v>
      </c>
      <c r="H52" s="313"/>
      <c r="I52" s="325"/>
      <c r="J52" s="325"/>
      <c r="K52" s="325"/>
      <c r="L52" s="325"/>
    </row>
    <row r="53" spans="1:12" ht="19.5" customHeight="1" x14ac:dyDescent="0.3">
      <c r="A53" s="324" t="s">
        <v>161</v>
      </c>
      <c r="B53" s="319">
        <f t="shared" si="18"/>
        <v>0</v>
      </c>
      <c r="C53" s="319">
        <f t="shared" si="18"/>
        <v>-233.37691600000002</v>
      </c>
      <c r="D53" s="319">
        <f t="shared" si="17"/>
        <v>-409.35425499999997</v>
      </c>
      <c r="E53" s="319">
        <f t="shared" si="17"/>
        <v>0</v>
      </c>
      <c r="F53" s="319">
        <f t="shared" si="17"/>
        <v>0</v>
      </c>
      <c r="G53" s="312">
        <f t="shared" si="3"/>
        <v>-642.73117100000002</v>
      </c>
      <c r="H53" s="313"/>
      <c r="I53" s="325">
        <v>-2333769.16</v>
      </c>
      <c r="J53" s="325">
        <v>-4093542.55</v>
      </c>
      <c r="K53" s="325"/>
      <c r="L53" s="325"/>
    </row>
    <row r="54" spans="1:12" ht="19.5" customHeight="1" x14ac:dyDescent="0.3">
      <c r="A54" s="324" t="s">
        <v>162</v>
      </c>
      <c r="B54" s="319">
        <f t="shared" si="18"/>
        <v>0</v>
      </c>
      <c r="C54" s="319">
        <f t="shared" si="18"/>
        <v>0</v>
      </c>
      <c r="D54" s="319">
        <f t="shared" si="17"/>
        <v>0</v>
      </c>
      <c r="E54" s="319">
        <f t="shared" si="17"/>
        <v>0</v>
      </c>
      <c r="F54" s="319">
        <f t="shared" si="17"/>
        <v>0</v>
      </c>
      <c r="G54" s="312">
        <f t="shared" si="3"/>
        <v>0</v>
      </c>
      <c r="H54" s="313"/>
      <c r="I54" s="325"/>
      <c r="J54" s="325"/>
      <c r="K54" s="325"/>
      <c r="L54" s="325"/>
    </row>
    <row r="55" spans="1:12" ht="19.5" customHeight="1" x14ac:dyDescent="0.3">
      <c r="A55" s="324" t="s">
        <v>163</v>
      </c>
      <c r="B55" s="319">
        <f t="shared" si="18"/>
        <v>0</v>
      </c>
      <c r="C55" s="319">
        <f t="shared" si="18"/>
        <v>0</v>
      </c>
      <c r="D55" s="319">
        <f t="shared" si="17"/>
        <v>0</v>
      </c>
      <c r="E55" s="319">
        <f t="shared" si="17"/>
        <v>0</v>
      </c>
      <c r="F55" s="319">
        <f t="shared" si="17"/>
        <v>0</v>
      </c>
      <c r="G55" s="312">
        <f t="shared" si="3"/>
        <v>0</v>
      </c>
      <c r="H55" s="313"/>
      <c r="I55" s="325"/>
      <c r="J55" s="325"/>
      <c r="K55" s="325"/>
      <c r="L55" s="325"/>
    </row>
    <row r="56" spans="1:12" ht="19.5" customHeight="1" x14ac:dyDescent="0.3">
      <c r="A56" s="324" t="s">
        <v>164</v>
      </c>
      <c r="B56" s="319">
        <f>H56/$A$1</f>
        <v>0</v>
      </c>
      <c r="C56" s="319">
        <f t="shared" si="18"/>
        <v>0</v>
      </c>
      <c r="D56" s="319">
        <f t="shared" si="18"/>
        <v>54934.711145000008</v>
      </c>
      <c r="E56" s="319">
        <f t="shared" si="18"/>
        <v>0</v>
      </c>
      <c r="F56" s="319">
        <f t="shared" si="18"/>
        <v>0</v>
      </c>
      <c r="G56" s="312">
        <f t="shared" si="3"/>
        <v>54934.711145000008</v>
      </c>
      <c r="H56" s="313"/>
      <c r="I56" s="325"/>
      <c r="J56" s="325">
        <v>549347111.45000005</v>
      </c>
      <c r="K56" s="325"/>
      <c r="L56" s="325"/>
    </row>
    <row r="57" spans="1:12" ht="19.5" customHeight="1" x14ac:dyDescent="0.3">
      <c r="A57" s="324" t="s">
        <v>165</v>
      </c>
      <c r="B57" s="322">
        <f>H57/$A$1</f>
        <v>0</v>
      </c>
      <c r="C57" s="322">
        <f t="shared" si="18"/>
        <v>0</v>
      </c>
      <c r="D57" s="322">
        <f t="shared" si="18"/>
        <v>0</v>
      </c>
      <c r="E57" s="322">
        <f t="shared" si="18"/>
        <v>0</v>
      </c>
      <c r="F57" s="322">
        <f t="shared" si="18"/>
        <v>0</v>
      </c>
      <c r="G57" s="312">
        <f t="shared" si="3"/>
        <v>0</v>
      </c>
      <c r="H57" s="313"/>
      <c r="I57" s="325"/>
      <c r="J57" s="325"/>
      <c r="K57" s="325"/>
      <c r="L57" s="325"/>
    </row>
    <row r="58" spans="1:12" ht="19.5" customHeight="1" x14ac:dyDescent="0.3">
      <c r="A58" s="324" t="s">
        <v>166</v>
      </c>
      <c r="B58" s="322">
        <f t="shared" ref="B58:B65" si="19">H58/$A$1</f>
        <v>0</v>
      </c>
      <c r="C58" s="322">
        <f t="shared" si="18"/>
        <v>0</v>
      </c>
      <c r="D58" s="322">
        <f t="shared" si="18"/>
        <v>0</v>
      </c>
      <c r="E58" s="322">
        <f t="shared" si="18"/>
        <v>0</v>
      </c>
      <c r="F58" s="322">
        <f t="shared" si="18"/>
        <v>0</v>
      </c>
      <c r="G58" s="312">
        <f t="shared" si="3"/>
        <v>0</v>
      </c>
      <c r="H58" s="313"/>
      <c r="I58" s="325"/>
      <c r="J58" s="325"/>
      <c r="K58" s="325"/>
      <c r="L58" s="325"/>
    </row>
    <row r="59" spans="1:12" ht="19.5" customHeight="1" x14ac:dyDescent="0.3">
      <c r="A59" s="324" t="s">
        <v>167</v>
      </c>
      <c r="B59" s="322">
        <f t="shared" si="19"/>
        <v>0</v>
      </c>
      <c r="C59" s="322">
        <f t="shared" si="18"/>
        <v>0</v>
      </c>
      <c r="D59" s="322">
        <f t="shared" si="18"/>
        <v>0</v>
      </c>
      <c r="E59" s="322">
        <f t="shared" si="18"/>
        <v>0</v>
      </c>
      <c r="F59" s="322">
        <f t="shared" si="18"/>
        <v>0</v>
      </c>
      <c r="G59" s="312">
        <f t="shared" si="3"/>
        <v>0</v>
      </c>
      <c r="H59" s="313"/>
      <c r="I59" s="325"/>
      <c r="J59" s="325"/>
      <c r="K59" s="325"/>
      <c r="L59" s="325"/>
    </row>
    <row r="60" spans="1:12" ht="19.5" customHeight="1" x14ac:dyDescent="0.3">
      <c r="A60" s="324" t="s">
        <v>168</v>
      </c>
      <c r="B60" s="322">
        <f t="shared" si="19"/>
        <v>0</v>
      </c>
      <c r="C60" s="322">
        <f t="shared" si="18"/>
        <v>0</v>
      </c>
      <c r="D60" s="322">
        <f t="shared" si="18"/>
        <v>0</v>
      </c>
      <c r="E60" s="322">
        <f t="shared" si="18"/>
        <v>0</v>
      </c>
      <c r="F60" s="322">
        <f t="shared" si="18"/>
        <v>0</v>
      </c>
      <c r="G60" s="312">
        <f t="shared" si="3"/>
        <v>0</v>
      </c>
      <c r="H60" s="313"/>
      <c r="I60" s="325"/>
      <c r="J60" s="325"/>
      <c r="K60" s="325"/>
      <c r="L60" s="325"/>
    </row>
    <row r="61" spans="1:12" ht="19.5" customHeight="1" x14ac:dyDescent="0.3">
      <c r="A61" s="324" t="s">
        <v>169</v>
      </c>
      <c r="B61" s="322">
        <f t="shared" si="19"/>
        <v>0</v>
      </c>
      <c r="C61" s="322">
        <f t="shared" si="18"/>
        <v>0</v>
      </c>
      <c r="D61" s="322">
        <f t="shared" si="18"/>
        <v>0</v>
      </c>
      <c r="E61" s="322">
        <f t="shared" si="18"/>
        <v>0</v>
      </c>
      <c r="F61" s="322">
        <f t="shared" si="18"/>
        <v>0</v>
      </c>
      <c r="G61" s="312">
        <f t="shared" si="3"/>
        <v>0</v>
      </c>
      <c r="H61" s="313"/>
      <c r="I61" s="325"/>
      <c r="J61" s="325"/>
      <c r="K61" s="325"/>
      <c r="L61" s="325"/>
    </row>
    <row r="62" spans="1:12" ht="19.5" customHeight="1" x14ac:dyDescent="0.3">
      <c r="A62" s="324" t="s">
        <v>170</v>
      </c>
      <c r="B62" s="322">
        <f t="shared" si="19"/>
        <v>0</v>
      </c>
      <c r="C62" s="322">
        <f t="shared" si="18"/>
        <v>0</v>
      </c>
      <c r="D62" s="322">
        <f t="shared" si="18"/>
        <v>0</v>
      </c>
      <c r="E62" s="322">
        <f t="shared" si="18"/>
        <v>0</v>
      </c>
      <c r="F62" s="322">
        <f t="shared" si="18"/>
        <v>0</v>
      </c>
      <c r="G62" s="312">
        <f t="shared" si="3"/>
        <v>0</v>
      </c>
      <c r="H62" s="313"/>
      <c r="I62" s="325"/>
      <c r="J62" s="325"/>
      <c r="K62" s="325"/>
      <c r="L62" s="325"/>
    </row>
    <row r="63" spans="1:12" ht="19.5" customHeight="1" x14ac:dyDescent="0.3">
      <c r="A63" s="324" t="s">
        <v>171</v>
      </c>
      <c r="B63" s="322">
        <f t="shared" si="19"/>
        <v>0</v>
      </c>
      <c r="C63" s="322">
        <f t="shared" si="18"/>
        <v>0</v>
      </c>
      <c r="D63" s="322">
        <f t="shared" si="18"/>
        <v>0</v>
      </c>
      <c r="E63" s="322">
        <f t="shared" si="18"/>
        <v>0</v>
      </c>
      <c r="F63" s="322">
        <f t="shared" si="18"/>
        <v>0</v>
      </c>
      <c r="G63" s="312">
        <f t="shared" si="3"/>
        <v>0</v>
      </c>
      <c r="H63" s="313"/>
      <c r="I63" s="325"/>
      <c r="J63" s="325"/>
      <c r="K63" s="325"/>
      <c r="L63" s="325"/>
    </row>
    <row r="64" spans="1:12" ht="19.5" customHeight="1" x14ac:dyDescent="0.3">
      <c r="A64" s="324" t="s">
        <v>172</v>
      </c>
      <c r="B64" s="322">
        <f t="shared" si="19"/>
        <v>0</v>
      </c>
      <c r="C64" s="322">
        <f t="shared" si="18"/>
        <v>0</v>
      </c>
      <c r="D64" s="322">
        <f t="shared" si="18"/>
        <v>0</v>
      </c>
      <c r="E64" s="322">
        <f t="shared" si="18"/>
        <v>0</v>
      </c>
      <c r="F64" s="322">
        <f t="shared" si="18"/>
        <v>0</v>
      </c>
      <c r="G64" s="312">
        <f t="shared" si="3"/>
        <v>0</v>
      </c>
      <c r="H64" s="313"/>
      <c r="I64" s="325"/>
      <c r="J64" s="325"/>
      <c r="K64" s="325"/>
      <c r="L64" s="325"/>
    </row>
    <row r="65" spans="1:12" ht="19.5" customHeight="1" x14ac:dyDescent="0.3">
      <c r="A65" s="324" t="s">
        <v>173</v>
      </c>
      <c r="B65" s="322">
        <f t="shared" si="19"/>
        <v>0</v>
      </c>
      <c r="C65" s="322">
        <f t="shared" si="18"/>
        <v>0</v>
      </c>
      <c r="D65" s="322">
        <f t="shared" si="18"/>
        <v>54934.711145000008</v>
      </c>
      <c r="E65" s="322">
        <f t="shared" si="18"/>
        <v>0</v>
      </c>
      <c r="F65" s="322">
        <f t="shared" si="18"/>
        <v>0</v>
      </c>
      <c r="G65" s="312">
        <f t="shared" si="3"/>
        <v>54934.711145000008</v>
      </c>
      <c r="H65" s="313"/>
      <c r="I65" s="325"/>
      <c r="J65" s="325">
        <v>549347111.45000005</v>
      </c>
      <c r="K65" s="325"/>
      <c r="L65" s="325"/>
    </row>
    <row r="66" spans="1:12" ht="19.5" customHeight="1" x14ac:dyDescent="0.3">
      <c r="A66" s="314" t="s">
        <v>174</v>
      </c>
      <c r="B66" s="322">
        <f>H66/$A$1</f>
        <v>0</v>
      </c>
      <c r="C66" s="322">
        <f t="shared" si="18"/>
        <v>0</v>
      </c>
      <c r="D66" s="322">
        <f t="shared" si="18"/>
        <v>0</v>
      </c>
      <c r="E66" s="322">
        <f t="shared" si="18"/>
        <v>0</v>
      </c>
      <c r="F66" s="322">
        <f t="shared" si="18"/>
        <v>0</v>
      </c>
      <c r="G66" s="312">
        <f t="shared" si="3"/>
        <v>0</v>
      </c>
      <c r="H66" s="313"/>
      <c r="I66" s="325"/>
      <c r="J66" s="325"/>
      <c r="K66" s="325"/>
      <c r="L66" s="325"/>
    </row>
    <row r="67" spans="1:12" ht="19.5" customHeight="1" x14ac:dyDescent="0.3">
      <c r="A67" s="310" t="s">
        <v>175</v>
      </c>
      <c r="B67" s="318">
        <f>B41+B48</f>
        <v>27264.880498000006</v>
      </c>
      <c r="C67" s="318">
        <f t="shared" ref="C67:F67" si="20">C41+C48</f>
        <v>49752.074625000001</v>
      </c>
      <c r="D67" s="318">
        <f t="shared" si="20"/>
        <v>143371.05527299998</v>
      </c>
      <c r="E67" s="318">
        <f t="shared" si="20"/>
        <v>35968.36569899998</v>
      </c>
      <c r="F67" s="318">
        <f t="shared" si="20"/>
        <v>33437.232729999989</v>
      </c>
      <c r="G67" s="312">
        <f t="shared" si="3"/>
        <v>256356.37609499999</v>
      </c>
      <c r="H67" s="313">
        <v>266468125.84</v>
      </c>
      <c r="I67" s="325">
        <v>497520746.25</v>
      </c>
      <c r="J67" s="325">
        <v>1429617010.1800001</v>
      </c>
      <c r="K67" s="325">
        <v>359683656.99000001</v>
      </c>
      <c r="L67" s="325">
        <v>334372327.30000001</v>
      </c>
    </row>
    <row r="68" spans="1:12" ht="19.5" customHeight="1" x14ac:dyDescent="0.3">
      <c r="A68" s="314" t="s">
        <v>176</v>
      </c>
      <c r="B68" s="322">
        <f>B46+B49</f>
        <v>27264.880498000006</v>
      </c>
      <c r="C68" s="322">
        <f>C46+C49</f>
        <v>49752.074625000001</v>
      </c>
      <c r="D68" s="322">
        <f t="shared" ref="D68:F68" si="21">D46+D49</f>
        <v>143371.05527299998</v>
      </c>
      <c r="E68" s="322">
        <f t="shared" si="21"/>
        <v>35968.36569899998</v>
      </c>
      <c r="F68" s="322">
        <f t="shared" si="21"/>
        <v>33437.232729999989</v>
      </c>
      <c r="G68" s="312">
        <f t="shared" si="3"/>
        <v>256356.37609499999</v>
      </c>
      <c r="H68" s="313"/>
      <c r="I68" s="313"/>
      <c r="J68" s="313"/>
      <c r="K68" s="313"/>
      <c r="L68" s="206"/>
    </row>
    <row r="69" spans="1:12" ht="19.5" customHeight="1" x14ac:dyDescent="0.3">
      <c r="A69" s="314" t="s">
        <v>178</v>
      </c>
      <c r="B69" s="322">
        <f>B66+B47</f>
        <v>0</v>
      </c>
      <c r="C69" s="322">
        <f t="shared" ref="C69:F69" si="22">C66+C47</f>
        <v>0</v>
      </c>
      <c r="D69" s="322">
        <f t="shared" si="22"/>
        <v>0</v>
      </c>
      <c r="E69" s="322">
        <f t="shared" si="22"/>
        <v>0</v>
      </c>
      <c r="F69" s="322">
        <f t="shared" si="22"/>
        <v>0</v>
      </c>
      <c r="G69" s="312">
        <f t="shared" ref="G69:G72" si="23">SUM(B69:E69)</f>
        <v>0</v>
      </c>
      <c r="H69" s="313"/>
      <c r="I69" s="206"/>
      <c r="J69" s="206"/>
      <c r="K69" s="206"/>
      <c r="L69" s="206"/>
    </row>
    <row r="70" spans="1:12" ht="19.5" customHeight="1" x14ac:dyDescent="0.3">
      <c r="A70" s="310" t="s">
        <v>180</v>
      </c>
      <c r="B70" s="318"/>
      <c r="C70" s="318"/>
      <c r="D70" s="320"/>
      <c r="E70" s="320"/>
      <c r="F70" s="320"/>
      <c r="G70" s="312">
        <f t="shared" si="23"/>
        <v>0</v>
      </c>
      <c r="H70" s="313"/>
      <c r="I70" s="325"/>
      <c r="J70" s="325"/>
      <c r="K70" s="325"/>
      <c r="L70" s="325"/>
    </row>
    <row r="71" spans="1:12" ht="19.5" customHeight="1" x14ac:dyDescent="0.3">
      <c r="A71" s="314" t="s">
        <v>181</v>
      </c>
      <c r="B71" s="322"/>
      <c r="C71" s="322"/>
      <c r="D71" s="320"/>
      <c r="E71" s="320"/>
      <c r="F71" s="320"/>
      <c r="G71" s="312">
        <f t="shared" si="23"/>
        <v>0</v>
      </c>
      <c r="H71" s="313"/>
      <c r="I71" s="325"/>
      <c r="J71" s="325"/>
      <c r="K71" s="325"/>
      <c r="L71" s="325"/>
    </row>
    <row r="72" spans="1:12" ht="19.5" customHeight="1" x14ac:dyDescent="0.3">
      <c r="A72" s="314" t="s">
        <v>182</v>
      </c>
      <c r="B72" s="322"/>
      <c r="C72" s="322"/>
      <c r="D72" s="320"/>
      <c r="E72" s="320"/>
      <c r="F72" s="320"/>
      <c r="G72" s="312">
        <f t="shared" si="23"/>
        <v>0</v>
      </c>
      <c r="H72" s="313"/>
      <c r="I72" s="325"/>
      <c r="J72" s="325"/>
      <c r="K72" s="325"/>
      <c r="L72" s="325"/>
    </row>
    <row r="73" spans="1:12" ht="19.5" customHeight="1" x14ac:dyDescent="0.3">
      <c r="A73" s="419" t="s">
        <v>183</v>
      </c>
      <c r="B73" s="420"/>
      <c r="C73" s="420"/>
      <c r="D73" s="420"/>
      <c r="E73" s="420"/>
      <c r="F73" s="421"/>
      <c r="G73" s="312"/>
      <c r="H73" s="313"/>
      <c r="I73" s="325"/>
      <c r="J73" s="325"/>
      <c r="K73" s="325"/>
      <c r="L73" s="325"/>
    </row>
    <row r="74" spans="1:12" ht="19.5" customHeight="1" x14ac:dyDescent="0.3">
      <c r="A74" s="329"/>
    </row>
    <row r="75" spans="1:12" ht="19.5" customHeight="1" x14ac:dyDescent="0.3">
      <c r="A75" s="329"/>
    </row>
    <row r="76" spans="1:12" ht="19.5" customHeight="1" x14ac:dyDescent="0.3">
      <c r="B76" s="330"/>
      <c r="C76" s="330"/>
    </row>
    <row r="77" spans="1:12" ht="19.5" customHeight="1" x14ac:dyDescent="0.3">
      <c r="B77" s="331"/>
      <c r="C77" s="332"/>
    </row>
    <row r="85" spans="8:12" s="306" customFormat="1" ht="19.5" customHeight="1" x14ac:dyDescent="0.3">
      <c r="H85" s="308"/>
      <c r="I85" s="308"/>
      <c r="J85" s="308"/>
      <c r="K85" s="308"/>
      <c r="L85" s="308"/>
    </row>
  </sheetData>
  <mergeCells count="3">
    <mergeCell ref="B1:F1"/>
    <mergeCell ref="H1:L1"/>
    <mergeCell ref="A73:F73"/>
  </mergeCells>
  <phoneticPr fontId="41" type="noConversion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81"/>
  <sheetViews>
    <sheetView topLeftCell="A45" zoomScale="85" zoomScaleNormal="85" workbookViewId="0">
      <pane xSplit="1" topLeftCell="G1" activePane="topRight" state="frozen"/>
      <selection pane="topRight" activeCell="H49" sqref="H49"/>
    </sheetView>
  </sheetViews>
  <sheetFormatPr defaultColWidth="9" defaultRowHeight="17.100000000000001" customHeight="1" x14ac:dyDescent="0.3"/>
  <cols>
    <col min="1" max="1" width="48.9296875" style="68" customWidth="1"/>
    <col min="2" max="2" width="16.06640625" style="68" customWidth="1"/>
    <col min="3" max="3" width="17.6640625" style="68" bestFit="1" customWidth="1"/>
    <col min="4" max="5" width="17.1328125" style="68" customWidth="1"/>
    <col min="6" max="6" width="17.6640625" style="68" bestFit="1" customWidth="1"/>
    <col min="7" max="7" width="14.46484375" style="68" customWidth="1"/>
    <col min="8" max="10" width="20.59765625" style="68" customWidth="1"/>
    <col min="11" max="11" width="21.06640625" style="68" customWidth="1"/>
    <col min="12" max="12" width="23.46484375" style="68" customWidth="1"/>
    <col min="13" max="16384" width="9" style="68"/>
  </cols>
  <sheetData>
    <row r="1" spans="1:12" ht="17.100000000000001" customHeight="1" x14ac:dyDescent="0.3">
      <c r="A1" s="68">
        <v>10000</v>
      </c>
      <c r="B1" s="423" t="s">
        <v>12</v>
      </c>
      <c r="C1" s="423"/>
      <c r="D1" s="423"/>
      <c r="E1" s="423"/>
      <c r="F1" s="423"/>
      <c r="H1" s="423" t="s">
        <v>13</v>
      </c>
      <c r="I1" s="423"/>
      <c r="J1" s="423"/>
      <c r="K1" s="423"/>
      <c r="L1" s="423"/>
    </row>
    <row r="2" spans="1:12" s="66" customFormat="1" ht="17.100000000000001" customHeight="1" x14ac:dyDescent="0.3">
      <c r="A2" s="279" t="s">
        <v>185</v>
      </c>
      <c r="B2" s="280" t="str">
        <f>首页!C3</f>
        <v>2024年1-9月</v>
      </c>
      <c r="C2" s="280" t="str">
        <f>首页!D3</f>
        <v>2023年度</v>
      </c>
      <c r="D2" s="280" t="str">
        <f>首页!E3</f>
        <v>2022年度</v>
      </c>
      <c r="E2" s="280" t="str">
        <f>首页!F3</f>
        <v>2021年度</v>
      </c>
      <c r="F2" s="280" t="str">
        <f>首页!G3</f>
        <v>2020年度</v>
      </c>
      <c r="G2" s="57" t="s">
        <v>15</v>
      </c>
      <c r="H2" s="281" t="str">
        <f>首页!C3</f>
        <v>2024年1-9月</v>
      </c>
      <c r="I2" s="281" t="str">
        <f>首页!D3</f>
        <v>2023年度</v>
      </c>
      <c r="J2" s="281" t="str">
        <f>首页!E3</f>
        <v>2022年度</v>
      </c>
      <c r="K2" s="281" t="str">
        <f>首页!F3</f>
        <v>2021年度</v>
      </c>
      <c r="L2" s="281" t="str">
        <f>首页!G3</f>
        <v>2020年度</v>
      </c>
    </row>
    <row r="3" spans="1:12" ht="17.100000000000001" customHeight="1" x14ac:dyDescent="0.3">
      <c r="A3" s="282" t="s">
        <v>186</v>
      </c>
      <c r="B3" s="283"/>
      <c r="C3" s="283"/>
      <c r="D3" s="284"/>
      <c r="E3" s="284"/>
      <c r="F3" s="284"/>
      <c r="G3" s="285"/>
      <c r="H3" s="286"/>
      <c r="I3" s="286"/>
      <c r="J3" s="286"/>
      <c r="K3" s="286"/>
      <c r="L3" s="286"/>
    </row>
    <row r="4" spans="1:12" ht="17.100000000000001" customHeight="1" x14ac:dyDescent="0.3">
      <c r="A4" s="287" t="s">
        <v>187</v>
      </c>
      <c r="B4" s="288">
        <f>H4/$A$1</f>
        <v>154089.58585999999</v>
      </c>
      <c r="C4" s="288">
        <f t="shared" ref="C4:F4" si="0">I4/$A$1</f>
        <v>232460.63074299999</v>
      </c>
      <c r="D4" s="288">
        <f t="shared" si="0"/>
        <v>285891.45838200004</v>
      </c>
      <c r="E4" s="288">
        <f t="shared" si="0"/>
        <v>251927.50951100001</v>
      </c>
      <c r="F4" s="288">
        <f t="shared" si="0"/>
        <v>210160.421848</v>
      </c>
      <c r="G4" s="289">
        <f>SUM(B4:E4)</f>
        <v>924369.18449599994</v>
      </c>
      <c r="H4" s="209">
        <v>1540895858.5999999</v>
      </c>
      <c r="I4" s="209">
        <v>2324606307.4299998</v>
      </c>
      <c r="J4" s="209">
        <v>2858914583.8200002</v>
      </c>
      <c r="K4" s="209">
        <v>2519275095.1100001</v>
      </c>
      <c r="L4" s="209">
        <v>2101604218.48</v>
      </c>
    </row>
    <row r="5" spans="1:12" ht="17.100000000000001" customHeight="1" x14ac:dyDescent="0.3">
      <c r="A5" s="287" t="s">
        <v>188</v>
      </c>
      <c r="B5" s="288">
        <f t="shared" ref="B5:B6" si="1">H5/$A$1</f>
        <v>6.4264000000000002E-2</v>
      </c>
      <c r="C5" s="288">
        <f t="shared" ref="C5:C6" si="2">I5/$A$1</f>
        <v>27.855419000000001</v>
      </c>
      <c r="D5" s="288">
        <f t="shared" ref="D5:D6" si="3">J5/$A$1</f>
        <v>0.25071399999999999</v>
      </c>
      <c r="E5" s="288">
        <f t="shared" ref="E5:E6" si="4">K5/$A$1</f>
        <v>0</v>
      </c>
      <c r="F5" s="288">
        <f t="shared" ref="F5:F6" si="5">L5/$A$1</f>
        <v>0</v>
      </c>
      <c r="G5" s="289">
        <f t="shared" ref="G5:G45" si="6">SUM(B5:E5)</f>
        <v>28.170397000000001</v>
      </c>
      <c r="H5" s="209">
        <v>642.64</v>
      </c>
      <c r="I5" s="209">
        <v>278554.19</v>
      </c>
      <c r="J5" s="209">
        <v>2507.14</v>
      </c>
      <c r="K5" s="209"/>
      <c r="L5" s="209"/>
    </row>
    <row r="6" spans="1:12" ht="17.100000000000001" customHeight="1" x14ac:dyDescent="0.3">
      <c r="A6" s="287" t="s">
        <v>189</v>
      </c>
      <c r="B6" s="288">
        <f t="shared" si="1"/>
        <v>82550.560519000006</v>
      </c>
      <c r="C6" s="288">
        <f t="shared" si="2"/>
        <v>143809.840689</v>
      </c>
      <c r="D6" s="288">
        <f t="shared" si="3"/>
        <v>131195.25772299999</v>
      </c>
      <c r="E6" s="288">
        <f t="shared" si="4"/>
        <v>124518.238948</v>
      </c>
      <c r="F6" s="288">
        <f t="shared" si="5"/>
        <v>131347.874828</v>
      </c>
      <c r="G6" s="289">
        <f t="shared" si="6"/>
        <v>482073.89787900005</v>
      </c>
      <c r="H6" s="209">
        <v>825505605.19000006</v>
      </c>
      <c r="I6" s="209">
        <v>1438098406.8900001</v>
      </c>
      <c r="J6" s="209">
        <v>1311952577.23</v>
      </c>
      <c r="K6" s="209">
        <v>1245182389.48</v>
      </c>
      <c r="L6" s="209">
        <v>1313478748.28</v>
      </c>
    </row>
    <row r="7" spans="1:12" ht="17.100000000000001" customHeight="1" x14ac:dyDescent="0.3">
      <c r="A7" s="279" t="s">
        <v>190</v>
      </c>
      <c r="B7" s="283">
        <f>SUM(B4:B6)</f>
        <v>236640.21064299997</v>
      </c>
      <c r="C7" s="283">
        <f t="shared" ref="C7:F7" si="7">SUM(C4:C6)</f>
        <v>376298.32685099996</v>
      </c>
      <c r="D7" s="280">
        <f t="shared" si="7"/>
        <v>417086.96681900008</v>
      </c>
      <c r="E7" s="283">
        <f t="shared" si="7"/>
        <v>376445.74845900002</v>
      </c>
      <c r="F7" s="283">
        <f t="shared" si="7"/>
        <v>341508.296676</v>
      </c>
      <c r="G7" s="289">
        <f t="shared" si="6"/>
        <v>1406471.2527720002</v>
      </c>
      <c r="H7" s="209">
        <v>2366402106.4299998</v>
      </c>
      <c r="I7" s="209">
        <v>3762983268.5100002</v>
      </c>
      <c r="J7" s="209">
        <v>4170869668.1900001</v>
      </c>
      <c r="K7" s="303">
        <v>3764457484.5900002</v>
      </c>
      <c r="L7" s="286">
        <v>3415082966.7600002</v>
      </c>
    </row>
    <row r="8" spans="1:12" ht="17.100000000000001" customHeight="1" x14ac:dyDescent="0.3">
      <c r="A8" s="287" t="s">
        <v>191</v>
      </c>
      <c r="B8" s="288">
        <f>H8/$A$1</f>
        <v>230684.72238299999</v>
      </c>
      <c r="C8" s="288">
        <f t="shared" ref="C8:F8" si="8">I8/$A$1</f>
        <v>282305.22591899999</v>
      </c>
      <c r="D8" s="288">
        <f t="shared" si="8"/>
        <v>557767.43789599999</v>
      </c>
      <c r="E8" s="288">
        <f t="shared" si="8"/>
        <v>457290.225087</v>
      </c>
      <c r="F8" s="288">
        <f t="shared" si="8"/>
        <v>423641.96668499999</v>
      </c>
      <c r="G8" s="289">
        <f t="shared" si="6"/>
        <v>1528047.6112850001</v>
      </c>
      <c r="H8" s="209">
        <v>2306847223.8299999</v>
      </c>
      <c r="I8" s="209">
        <v>2823052259.1900001</v>
      </c>
      <c r="J8" s="209">
        <v>5577674378.96</v>
      </c>
      <c r="K8" s="209">
        <v>4572902250.8699999</v>
      </c>
      <c r="L8" s="209">
        <v>4236419666.8499999</v>
      </c>
    </row>
    <row r="9" spans="1:12" ht="17.100000000000001" customHeight="1" x14ac:dyDescent="0.3">
      <c r="A9" s="287" t="s">
        <v>192</v>
      </c>
      <c r="B9" s="288">
        <f t="shared" ref="B9:B11" si="9">H9/$A$1</f>
        <v>9961.4514610000006</v>
      </c>
      <c r="C9" s="288">
        <f t="shared" ref="C9:C11" si="10">I9/$A$1</f>
        <v>12704.236430999999</v>
      </c>
      <c r="D9" s="288">
        <f t="shared" ref="D9:D11" si="11">J9/$A$1</f>
        <v>11546.551097</v>
      </c>
      <c r="E9" s="288">
        <f t="shared" ref="E9:E11" si="12">K9/$A$1</f>
        <v>10045.920323</v>
      </c>
      <c r="F9" s="288">
        <f t="shared" ref="F9:F11" si="13">L9/$A$1</f>
        <v>8656.6589540000004</v>
      </c>
      <c r="G9" s="289">
        <f t="shared" si="6"/>
        <v>44258.159312000003</v>
      </c>
      <c r="H9" s="209">
        <v>99614514.609999999</v>
      </c>
      <c r="I9" s="209">
        <v>127042364.31</v>
      </c>
      <c r="J9" s="209">
        <v>115465510.97</v>
      </c>
      <c r="K9" s="209">
        <v>100459203.23</v>
      </c>
      <c r="L9" s="209">
        <v>86566589.540000007</v>
      </c>
    </row>
    <row r="10" spans="1:12" ht="17.100000000000001" customHeight="1" x14ac:dyDescent="0.3">
      <c r="A10" s="287" t="s">
        <v>193</v>
      </c>
      <c r="B10" s="288">
        <f t="shared" si="9"/>
        <v>7660.3365860000004</v>
      </c>
      <c r="C10" s="288">
        <f t="shared" si="10"/>
        <v>6383.6730799999996</v>
      </c>
      <c r="D10" s="288">
        <f t="shared" si="11"/>
        <v>7164.2143700000006</v>
      </c>
      <c r="E10" s="288">
        <f t="shared" si="12"/>
        <v>6707.5511770000003</v>
      </c>
      <c r="F10" s="288">
        <f t="shared" si="13"/>
        <v>4083.5685789999998</v>
      </c>
      <c r="G10" s="289">
        <f t="shared" si="6"/>
        <v>27915.775213000001</v>
      </c>
      <c r="H10" s="209">
        <v>76603365.859999999</v>
      </c>
      <c r="I10" s="209">
        <v>63836730.799999997</v>
      </c>
      <c r="J10" s="209">
        <v>71642143.700000003</v>
      </c>
      <c r="K10" s="209">
        <v>67075511.770000003</v>
      </c>
      <c r="L10" s="209">
        <v>40835685.789999999</v>
      </c>
    </row>
    <row r="11" spans="1:12" ht="17.100000000000001" customHeight="1" x14ac:dyDescent="0.3">
      <c r="A11" s="287" t="s">
        <v>194</v>
      </c>
      <c r="B11" s="288">
        <f t="shared" si="9"/>
        <v>9558.8453489999993</v>
      </c>
      <c r="C11" s="288">
        <f t="shared" si="10"/>
        <v>28434.735412000002</v>
      </c>
      <c r="D11" s="288">
        <f t="shared" si="11"/>
        <v>12596.96399</v>
      </c>
      <c r="E11" s="288">
        <f t="shared" si="12"/>
        <v>31280.094868</v>
      </c>
      <c r="F11" s="288">
        <f t="shared" si="13"/>
        <v>16967.425316000001</v>
      </c>
      <c r="G11" s="289">
        <f t="shared" si="6"/>
        <v>81870.639619000009</v>
      </c>
      <c r="H11" s="209">
        <v>95588453.489999995</v>
      </c>
      <c r="I11" s="209">
        <v>284347354.12</v>
      </c>
      <c r="J11" s="209">
        <v>125969639.90000001</v>
      </c>
      <c r="K11" s="209">
        <v>312800948.68000001</v>
      </c>
      <c r="L11" s="209">
        <v>169674253.16</v>
      </c>
    </row>
    <row r="12" spans="1:12" ht="17.100000000000001" customHeight="1" x14ac:dyDescent="0.3">
      <c r="A12" s="279" t="s">
        <v>195</v>
      </c>
      <c r="B12" s="283">
        <f>SUM(B8:B11)</f>
        <v>257865.35577899998</v>
      </c>
      <c r="C12" s="283">
        <f t="shared" ref="C12:F12" si="14">SUM(C8:C11)</f>
        <v>329827.87084199995</v>
      </c>
      <c r="D12" s="283">
        <f t="shared" si="14"/>
        <v>589075.16735299991</v>
      </c>
      <c r="E12" s="283">
        <f t="shared" si="14"/>
        <v>505323.791455</v>
      </c>
      <c r="F12" s="283">
        <f t="shared" si="14"/>
        <v>453349.619534</v>
      </c>
      <c r="G12" s="289">
        <f t="shared" si="6"/>
        <v>1682092.1854289996</v>
      </c>
      <c r="H12" s="209">
        <v>2578653557.79</v>
      </c>
      <c r="I12" s="209">
        <v>3298278708.4200001</v>
      </c>
      <c r="J12" s="209">
        <v>5890751673.5299997</v>
      </c>
      <c r="K12" s="303">
        <v>5053237914.5500002</v>
      </c>
      <c r="L12" s="286">
        <v>4533496195.3400002</v>
      </c>
    </row>
    <row r="13" spans="1:12" ht="17.100000000000001" customHeight="1" x14ac:dyDescent="0.3">
      <c r="A13" s="279" t="s">
        <v>196</v>
      </c>
      <c r="B13" s="283">
        <f>B7-B12</f>
        <v>-21225.145136000006</v>
      </c>
      <c r="C13" s="283">
        <f t="shared" ref="C13:F13" si="15">C7-C12</f>
        <v>46470.456009000016</v>
      </c>
      <c r="D13" s="283">
        <f t="shared" si="15"/>
        <v>-171988.20053399983</v>
      </c>
      <c r="E13" s="283">
        <f t="shared" si="15"/>
        <v>-128878.04299599997</v>
      </c>
      <c r="F13" s="283">
        <f t="shared" si="15"/>
        <v>-111841.322858</v>
      </c>
      <c r="G13" s="289">
        <f t="shared" si="6"/>
        <v>-275620.93265699979</v>
      </c>
      <c r="H13" s="209">
        <v>-212251451.36000001</v>
      </c>
      <c r="I13" s="209">
        <v>464704560.08999997</v>
      </c>
      <c r="J13" s="209">
        <v>-1719882005.3399999</v>
      </c>
      <c r="K13" s="303">
        <v>-1288780429.96</v>
      </c>
      <c r="L13" s="286">
        <v>-1118413228.5799999</v>
      </c>
    </row>
    <row r="14" spans="1:12" ht="17.100000000000001" customHeight="1" x14ac:dyDescent="0.3">
      <c r="A14" s="282" t="s">
        <v>197</v>
      </c>
      <c r="B14" s="291"/>
      <c r="C14" s="291"/>
      <c r="D14" s="292"/>
      <c r="E14" s="292"/>
      <c r="F14" s="292"/>
      <c r="G14" s="289"/>
      <c r="H14" s="286"/>
      <c r="I14" s="286"/>
      <c r="J14" s="209"/>
      <c r="K14" s="286"/>
      <c r="L14" s="286"/>
    </row>
    <row r="15" spans="1:12" ht="17.100000000000001" customHeight="1" x14ac:dyDescent="0.3">
      <c r="A15" s="287" t="s">
        <v>198</v>
      </c>
      <c r="B15" s="288">
        <f>H15/$A$1</f>
        <v>0</v>
      </c>
      <c r="C15" s="288">
        <f t="shared" ref="C15:F15" si="16">I15/$A$1</f>
        <v>0</v>
      </c>
      <c r="D15" s="288">
        <f t="shared" si="16"/>
        <v>0</v>
      </c>
      <c r="E15" s="288">
        <f t="shared" si="16"/>
        <v>0</v>
      </c>
      <c r="F15" s="288">
        <f t="shared" si="16"/>
        <v>0</v>
      </c>
      <c r="G15" s="289">
        <f t="shared" si="6"/>
        <v>0</v>
      </c>
      <c r="H15" s="297"/>
      <c r="I15" s="209"/>
      <c r="J15" s="209"/>
      <c r="K15" s="209"/>
      <c r="L15" s="209"/>
    </row>
    <row r="16" spans="1:12" ht="17.100000000000001" customHeight="1" x14ac:dyDescent="0.3">
      <c r="A16" s="287" t="s">
        <v>199</v>
      </c>
      <c r="B16" s="288">
        <f t="shared" ref="B16:B19" si="17">H16/$A$1</f>
        <v>6717.9815829999998</v>
      </c>
      <c r="C16" s="288">
        <f t="shared" ref="C16:C19" si="18">I16/$A$1</f>
        <v>31213.414647000001</v>
      </c>
      <c r="D16" s="288">
        <f t="shared" ref="D16:D19" si="19">J16/$A$1</f>
        <v>3982.3436420000003</v>
      </c>
      <c r="E16" s="288">
        <f t="shared" ref="E16:E19" si="20">K16/$A$1</f>
        <v>22542.659224000003</v>
      </c>
      <c r="F16" s="288">
        <f t="shared" ref="F16:F19" si="21">L16/$A$1</f>
        <v>0</v>
      </c>
      <c r="G16" s="289">
        <f t="shared" si="6"/>
        <v>64456.399096000001</v>
      </c>
      <c r="H16" s="209">
        <v>67179815.829999998</v>
      </c>
      <c r="I16" s="209">
        <v>312134146.47000003</v>
      </c>
      <c r="J16" s="209">
        <v>39823436.420000002</v>
      </c>
      <c r="K16" s="209">
        <v>225426592.24000001</v>
      </c>
      <c r="L16" s="209"/>
    </row>
    <row r="17" spans="1:12" ht="17.100000000000001" customHeight="1" x14ac:dyDescent="0.3">
      <c r="A17" s="287" t="s">
        <v>200</v>
      </c>
      <c r="B17" s="288">
        <f t="shared" si="17"/>
        <v>0</v>
      </c>
      <c r="C17" s="288">
        <f t="shared" si="18"/>
        <v>0</v>
      </c>
      <c r="D17" s="288">
        <f t="shared" si="19"/>
        <v>6.3250000000000001E-2</v>
      </c>
      <c r="E17" s="288">
        <f t="shared" si="20"/>
        <v>60.480107999999994</v>
      </c>
      <c r="F17" s="288">
        <f t="shared" si="21"/>
        <v>51.612000000000002</v>
      </c>
      <c r="G17" s="289">
        <f t="shared" si="6"/>
        <v>60.543357999999991</v>
      </c>
      <c r="H17" s="209"/>
      <c r="I17" s="209"/>
      <c r="J17" s="209">
        <v>632.5</v>
      </c>
      <c r="K17" s="209">
        <v>604801.07999999996</v>
      </c>
      <c r="L17" s="209">
        <v>516120</v>
      </c>
    </row>
    <row r="18" spans="1:12" ht="17.100000000000001" customHeight="1" x14ac:dyDescent="0.3">
      <c r="A18" s="287" t="s">
        <v>201</v>
      </c>
      <c r="B18" s="288">
        <f t="shared" si="17"/>
        <v>0</v>
      </c>
      <c r="C18" s="288">
        <f t="shared" si="18"/>
        <v>2800</v>
      </c>
      <c r="D18" s="288">
        <f t="shared" si="19"/>
        <v>0</v>
      </c>
      <c r="E18" s="288">
        <f t="shared" si="20"/>
        <v>0</v>
      </c>
      <c r="F18" s="288">
        <f t="shared" si="21"/>
        <v>0</v>
      </c>
      <c r="G18" s="289">
        <f t="shared" si="6"/>
        <v>2800</v>
      </c>
      <c r="H18" s="209"/>
      <c r="I18" s="209">
        <v>28000000</v>
      </c>
      <c r="J18" s="209"/>
      <c r="K18" s="286"/>
      <c r="L18" s="286"/>
    </row>
    <row r="19" spans="1:12" ht="17.100000000000001" customHeight="1" x14ac:dyDescent="0.3">
      <c r="A19" s="287" t="s">
        <v>202</v>
      </c>
      <c r="B19" s="288">
        <f t="shared" si="17"/>
        <v>11810</v>
      </c>
      <c r="C19" s="288">
        <f t="shared" si="18"/>
        <v>35693.936629000003</v>
      </c>
      <c r="D19" s="288">
        <f t="shared" si="19"/>
        <v>13652.566666999999</v>
      </c>
      <c r="E19" s="288">
        <f t="shared" si="20"/>
        <v>5812.1513270000005</v>
      </c>
      <c r="F19" s="288">
        <f t="shared" si="21"/>
        <v>100767.168767</v>
      </c>
      <c r="G19" s="289">
        <f t="shared" si="6"/>
        <v>66968.654623000009</v>
      </c>
      <c r="H19" s="209">
        <v>118100000</v>
      </c>
      <c r="I19" s="209">
        <v>356939366.29000002</v>
      </c>
      <c r="J19" s="209">
        <v>136525666.66999999</v>
      </c>
      <c r="K19" s="303">
        <v>58121513.270000003</v>
      </c>
      <c r="L19" s="286">
        <v>1007671687.67</v>
      </c>
    </row>
    <row r="20" spans="1:12" ht="17.100000000000001" customHeight="1" x14ac:dyDescent="0.3">
      <c r="A20" s="279" t="s">
        <v>203</v>
      </c>
      <c r="B20" s="283">
        <f>SUM(B15:B19)</f>
        <v>18527.981583000001</v>
      </c>
      <c r="C20" s="283">
        <f t="shared" ref="C20:F20" si="22">SUM(C15:C19)</f>
        <v>69707.351276000001</v>
      </c>
      <c r="D20" s="283">
        <f t="shared" si="22"/>
        <v>17634.973558999998</v>
      </c>
      <c r="E20" s="283">
        <f t="shared" si="22"/>
        <v>28415.290659000002</v>
      </c>
      <c r="F20" s="283">
        <f t="shared" si="22"/>
        <v>100818.78076699999</v>
      </c>
      <c r="G20" s="289">
        <f t="shared" si="6"/>
        <v>134285.59707699998</v>
      </c>
      <c r="H20" s="209">
        <v>185279815.83000001</v>
      </c>
      <c r="I20" s="209">
        <v>697073512.75999999</v>
      </c>
      <c r="J20" s="209">
        <v>176349735.59</v>
      </c>
      <c r="K20" s="303">
        <v>284152906.58999997</v>
      </c>
      <c r="L20" s="286">
        <v>1008187807.67</v>
      </c>
    </row>
    <row r="21" spans="1:12" ht="17.100000000000001" customHeight="1" x14ac:dyDescent="0.3">
      <c r="A21" s="287" t="s">
        <v>204</v>
      </c>
      <c r="B21" s="288">
        <f>H21/$A$1</f>
        <v>40341.703245999997</v>
      </c>
      <c r="C21" s="288">
        <f t="shared" ref="C21:F21" si="23">I21/$A$1</f>
        <v>40103.768208000001</v>
      </c>
      <c r="D21" s="288">
        <f t="shared" si="23"/>
        <v>87562.557524999997</v>
      </c>
      <c r="E21" s="288">
        <f t="shared" si="23"/>
        <v>58121.613528999995</v>
      </c>
      <c r="F21" s="288">
        <f t="shared" si="23"/>
        <v>34806.871806000003</v>
      </c>
      <c r="G21" s="289">
        <f t="shared" si="6"/>
        <v>226129.64250799999</v>
      </c>
      <c r="H21" s="209">
        <v>403417032.45999998</v>
      </c>
      <c r="I21" s="209">
        <v>401037682.07999998</v>
      </c>
      <c r="J21" s="209">
        <v>875625575.25</v>
      </c>
      <c r="K21" s="209">
        <v>581216135.28999996</v>
      </c>
      <c r="L21" s="209">
        <v>348068718.06</v>
      </c>
    </row>
    <row r="22" spans="1:12" ht="17.100000000000001" customHeight="1" x14ac:dyDescent="0.3">
      <c r="A22" s="287" t="s">
        <v>205</v>
      </c>
      <c r="B22" s="288">
        <f t="shared" ref="B22:B25" si="24">H22/$A$1</f>
        <v>6397.0001000000002</v>
      </c>
      <c r="C22" s="288">
        <f t="shared" ref="C22:C25" si="25">I22/$A$1</f>
        <v>0</v>
      </c>
      <c r="D22" s="288">
        <f t="shared" ref="D22:D25" si="26">J22/$A$1</f>
        <v>0</v>
      </c>
      <c r="E22" s="288">
        <f t="shared" ref="E22:E25" si="27">K22/$A$1</f>
        <v>1486.65</v>
      </c>
      <c r="F22" s="288">
        <f t="shared" ref="F22:F25" si="28">L22/$A$1</f>
        <v>960</v>
      </c>
      <c r="G22" s="289">
        <f t="shared" si="6"/>
        <v>7883.6501000000007</v>
      </c>
      <c r="H22" s="209">
        <v>63970001</v>
      </c>
      <c r="I22" s="209"/>
      <c r="J22" s="209"/>
      <c r="K22" s="209">
        <v>14866500</v>
      </c>
      <c r="L22" s="209">
        <v>9600000</v>
      </c>
    </row>
    <row r="23" spans="1:12" ht="17.100000000000001" customHeight="1" x14ac:dyDescent="0.3">
      <c r="A23" s="287" t="s">
        <v>206</v>
      </c>
      <c r="B23" s="288"/>
      <c r="C23" s="288">
        <f t="shared" ref="C23" si="29">I23/$A$1</f>
        <v>0</v>
      </c>
      <c r="D23" s="288">
        <f t="shared" ref="D23" si="30">J23/$A$1</f>
        <v>0</v>
      </c>
      <c r="E23" s="288">
        <f t="shared" ref="E23" si="31">K23/$A$1</f>
        <v>0</v>
      </c>
      <c r="F23" s="288">
        <f t="shared" ref="F23" si="32">L23/$A$1</f>
        <v>0</v>
      </c>
      <c r="G23" s="289">
        <f t="shared" si="6"/>
        <v>0</v>
      </c>
      <c r="H23" s="209"/>
      <c r="I23" s="286"/>
      <c r="J23" s="209"/>
      <c r="K23" s="286"/>
      <c r="L23" s="286"/>
    </row>
    <row r="24" spans="1:12" ht="17.100000000000001" customHeight="1" x14ac:dyDescent="0.3">
      <c r="A24" s="287" t="s">
        <v>207</v>
      </c>
      <c r="B24" s="288">
        <f t="shared" si="24"/>
        <v>0</v>
      </c>
      <c r="C24" s="288">
        <f t="shared" si="25"/>
        <v>0</v>
      </c>
      <c r="D24" s="288">
        <f t="shared" si="26"/>
        <v>0</v>
      </c>
      <c r="E24" s="288">
        <f t="shared" si="27"/>
        <v>0</v>
      </c>
      <c r="F24" s="288">
        <f t="shared" si="28"/>
        <v>2751.28</v>
      </c>
      <c r="G24" s="289">
        <f t="shared" si="6"/>
        <v>0</v>
      </c>
      <c r="H24" s="209"/>
      <c r="I24" s="286"/>
      <c r="J24" s="209"/>
      <c r="K24" s="286"/>
      <c r="L24" s="286">
        <v>27512800</v>
      </c>
    </row>
    <row r="25" spans="1:12" ht="17.100000000000001" customHeight="1" x14ac:dyDescent="0.3">
      <c r="A25" s="287" t="s">
        <v>208</v>
      </c>
      <c r="B25" s="288">
        <f t="shared" si="24"/>
        <v>32571.998894</v>
      </c>
      <c r="C25" s="288">
        <f t="shared" si="25"/>
        <v>67818.188250000007</v>
      </c>
      <c r="D25" s="288">
        <f t="shared" si="26"/>
        <v>128572.6675</v>
      </c>
      <c r="E25" s="288">
        <f t="shared" si="27"/>
        <v>163997.94429100002</v>
      </c>
      <c r="F25" s="288">
        <f t="shared" si="28"/>
        <v>326258.49522800004</v>
      </c>
      <c r="G25" s="289">
        <f t="shared" si="6"/>
        <v>392960.79893500003</v>
      </c>
      <c r="H25" s="209">
        <v>325719988.94</v>
      </c>
      <c r="I25" s="209">
        <v>678181882.5</v>
      </c>
      <c r="J25" s="209">
        <v>1285726675</v>
      </c>
      <c r="K25" s="303">
        <v>1639979442.9100001</v>
      </c>
      <c r="L25" s="286">
        <v>3262584952.2800002</v>
      </c>
    </row>
    <row r="26" spans="1:12" ht="17.100000000000001" customHeight="1" x14ac:dyDescent="0.3">
      <c r="A26" s="279" t="s">
        <v>209</v>
      </c>
      <c r="B26" s="283">
        <f>SUM(B21:B25)</f>
        <v>79310.702239999999</v>
      </c>
      <c r="C26" s="283">
        <f t="shared" ref="C26:F26" si="33">SUM(C21:C25)</f>
        <v>107921.956458</v>
      </c>
      <c r="D26" s="283">
        <f t="shared" si="33"/>
        <v>216135.22502499999</v>
      </c>
      <c r="E26" s="283">
        <f t="shared" si="33"/>
        <v>223606.20782000001</v>
      </c>
      <c r="F26" s="283">
        <f t="shared" si="33"/>
        <v>364776.64703400002</v>
      </c>
      <c r="G26" s="289">
        <f t="shared" si="6"/>
        <v>626974.09154299996</v>
      </c>
      <c r="H26" s="209">
        <v>793107022.39999998</v>
      </c>
      <c r="I26" s="209">
        <v>1079219564.5799999</v>
      </c>
      <c r="J26" s="209">
        <v>2161352250.25</v>
      </c>
      <c r="K26" s="303">
        <v>2236062078.1999998</v>
      </c>
      <c r="L26" s="286">
        <v>3647766470.3400002</v>
      </c>
    </row>
    <row r="27" spans="1:12" ht="17.100000000000001" customHeight="1" x14ac:dyDescent="0.3">
      <c r="A27" s="279" t="s">
        <v>210</v>
      </c>
      <c r="B27" s="283">
        <f>B20-B26</f>
        <v>-60782.720656999998</v>
      </c>
      <c r="C27" s="283">
        <f t="shared" ref="C27:F27" si="34">C20-C26</f>
        <v>-38214.605181999999</v>
      </c>
      <c r="D27" s="280">
        <f t="shared" si="34"/>
        <v>-198500.25146599999</v>
      </c>
      <c r="E27" s="283">
        <f t="shared" si="34"/>
        <v>-195190.91716100002</v>
      </c>
      <c r="F27" s="283">
        <f t="shared" si="34"/>
        <v>-263957.86626700003</v>
      </c>
      <c r="G27" s="289">
        <f t="shared" si="6"/>
        <v>-492688.494466</v>
      </c>
      <c r="H27" s="209">
        <v>-607827206.57000005</v>
      </c>
      <c r="I27" s="209">
        <v>-382146051.81999999</v>
      </c>
      <c r="J27" s="209">
        <v>-1985002514.6600001</v>
      </c>
      <c r="K27" s="303">
        <v>-1951909171.6099999</v>
      </c>
      <c r="L27" s="286">
        <v>-2639578662.6700001</v>
      </c>
    </row>
    <row r="28" spans="1:12" ht="17.100000000000001" customHeight="1" x14ac:dyDescent="0.3">
      <c r="A28" s="282" t="s">
        <v>211</v>
      </c>
      <c r="B28" s="291"/>
      <c r="C28" s="291"/>
      <c r="D28" s="292"/>
      <c r="E28" s="292"/>
      <c r="F28" s="292"/>
      <c r="G28" s="289"/>
      <c r="H28" s="209"/>
      <c r="I28" s="286"/>
      <c r="J28" s="209"/>
      <c r="K28" s="286"/>
      <c r="L28" s="286"/>
    </row>
    <row r="29" spans="1:12" ht="17.100000000000001" customHeight="1" x14ac:dyDescent="0.3">
      <c r="A29" s="287" t="s">
        <v>212</v>
      </c>
      <c r="B29" s="288">
        <f>H29/$A$1</f>
        <v>0</v>
      </c>
      <c r="C29" s="288">
        <f t="shared" ref="C29:F30" si="35">I29/$A$1</f>
        <v>0</v>
      </c>
      <c r="D29" s="288">
        <f t="shared" si="35"/>
        <v>62.647814000000004</v>
      </c>
      <c r="E29" s="288">
        <f t="shared" si="35"/>
        <v>1324.52943</v>
      </c>
      <c r="F29" s="288">
        <f t="shared" si="35"/>
        <v>6745.8317969999998</v>
      </c>
      <c r="G29" s="289">
        <f t="shared" si="6"/>
        <v>1387.177244</v>
      </c>
      <c r="H29" s="209"/>
      <c r="I29" s="209"/>
      <c r="J29" s="209">
        <v>626478.14</v>
      </c>
      <c r="K29" s="209">
        <v>13245294.300000001</v>
      </c>
      <c r="L29" s="209">
        <v>67458317.969999999</v>
      </c>
    </row>
    <row r="30" spans="1:12" ht="17.100000000000001" customHeight="1" x14ac:dyDescent="0.3">
      <c r="A30" s="287" t="s">
        <v>213</v>
      </c>
      <c r="B30" s="288">
        <f>H30/$A$1</f>
        <v>0</v>
      </c>
      <c r="C30" s="288">
        <f t="shared" si="35"/>
        <v>0</v>
      </c>
      <c r="D30" s="288">
        <f t="shared" si="35"/>
        <v>0</v>
      </c>
      <c r="E30" s="288">
        <f t="shared" si="35"/>
        <v>0</v>
      </c>
      <c r="F30" s="288"/>
      <c r="G30" s="289">
        <f t="shared" si="6"/>
        <v>0</v>
      </c>
      <c r="H30" s="209"/>
      <c r="I30" s="286"/>
      <c r="J30" s="209"/>
      <c r="K30" s="286"/>
      <c r="L30" s="286">
        <v>30000000</v>
      </c>
    </row>
    <row r="31" spans="1:12" ht="17.100000000000001" customHeight="1" x14ac:dyDescent="0.3">
      <c r="A31" s="287" t="s">
        <v>214</v>
      </c>
      <c r="B31" s="288">
        <f t="shared" ref="B31:B33" si="36">H31/$A$1</f>
        <v>736480.188448</v>
      </c>
      <c r="C31" s="288">
        <f t="shared" ref="C31:C33" si="37">I31/$A$1</f>
        <v>795383.74960800004</v>
      </c>
      <c r="D31" s="288">
        <f t="shared" ref="D31:D33" si="38">J31/$A$1</f>
        <v>942133.56328600005</v>
      </c>
      <c r="E31" s="288">
        <f t="shared" ref="E31:E33" si="39">K31/$A$1</f>
        <v>870038.317668</v>
      </c>
      <c r="F31" s="288">
        <f t="shared" ref="F31:F33" si="40">L31/$A$1</f>
        <v>470634.34235200007</v>
      </c>
      <c r="G31" s="289">
        <f t="shared" si="6"/>
        <v>3344035.8190099997</v>
      </c>
      <c r="H31" s="209">
        <v>7364801884.4799995</v>
      </c>
      <c r="I31" s="209">
        <v>7953837496.0799999</v>
      </c>
      <c r="J31" s="209">
        <v>9421335632.8600006</v>
      </c>
      <c r="K31" s="209">
        <v>8700383176.6800003</v>
      </c>
      <c r="L31" s="209">
        <v>4706343423.5200005</v>
      </c>
    </row>
    <row r="32" spans="1:12" ht="17.100000000000001" customHeight="1" x14ac:dyDescent="0.3">
      <c r="A32" s="76" t="s">
        <v>215</v>
      </c>
      <c r="B32" s="288">
        <f t="shared" si="36"/>
        <v>598602.5177020001</v>
      </c>
      <c r="C32" s="288">
        <f t="shared" si="37"/>
        <v>349000</v>
      </c>
      <c r="D32" s="288">
        <f t="shared" si="38"/>
        <v>756500</v>
      </c>
      <c r="E32" s="288">
        <f t="shared" si="39"/>
        <v>714210.00000600005</v>
      </c>
      <c r="F32" s="288">
        <f t="shared" si="40"/>
        <v>885757.38009999995</v>
      </c>
      <c r="G32" s="289">
        <f t="shared" si="6"/>
        <v>2418312.5177080003</v>
      </c>
      <c r="H32" s="209">
        <v>5986025177.0200005</v>
      </c>
      <c r="I32" s="286">
        <v>3490000000</v>
      </c>
      <c r="J32" s="209">
        <v>7565000000</v>
      </c>
      <c r="K32" s="286">
        <v>7142100000.0600004</v>
      </c>
      <c r="L32" s="286">
        <v>8857573801</v>
      </c>
    </row>
    <row r="33" spans="1:12" ht="17.100000000000001" customHeight="1" x14ac:dyDescent="0.3">
      <c r="A33" s="287" t="s">
        <v>216</v>
      </c>
      <c r="B33" s="288">
        <f t="shared" si="36"/>
        <v>516956.80743699998</v>
      </c>
      <c r="C33" s="288">
        <f t="shared" si="37"/>
        <v>474200.57687299995</v>
      </c>
      <c r="D33" s="288">
        <f t="shared" si="38"/>
        <v>524784.27776999993</v>
      </c>
      <c r="E33" s="288">
        <f t="shared" si="39"/>
        <v>201295.15895700001</v>
      </c>
      <c r="F33" s="288">
        <f t="shared" si="40"/>
        <v>194069.38095999998</v>
      </c>
      <c r="G33" s="289">
        <f t="shared" si="6"/>
        <v>1717236.8210369996</v>
      </c>
      <c r="H33" s="209">
        <v>5169568074.3699999</v>
      </c>
      <c r="I33" s="209">
        <v>4742005768.7299995</v>
      </c>
      <c r="J33" s="209">
        <v>5247842777.6999998</v>
      </c>
      <c r="K33" s="209">
        <v>2012951589.5699999</v>
      </c>
      <c r="L33" s="286">
        <v>1940693809.5999999</v>
      </c>
    </row>
    <row r="34" spans="1:12" ht="17.100000000000001" customHeight="1" x14ac:dyDescent="0.3">
      <c r="A34" s="279" t="s">
        <v>217</v>
      </c>
      <c r="B34" s="283">
        <f>SUM(B29)+SUM(B31:B33)</f>
        <v>1852039.5135869998</v>
      </c>
      <c r="C34" s="283">
        <f>SUM(C29)+SUM(C31:C33)</f>
        <v>1618584.3264810001</v>
      </c>
      <c r="D34" s="283">
        <f t="shared" ref="D34:F34" si="41">SUM(D29)+SUM(D31:D33)</f>
        <v>2223480.48887</v>
      </c>
      <c r="E34" s="283">
        <f t="shared" si="41"/>
        <v>1786868.0060610003</v>
      </c>
      <c r="F34" s="283">
        <f t="shared" si="41"/>
        <v>1557206.935209</v>
      </c>
      <c r="G34" s="289">
        <f t="shared" si="6"/>
        <v>7480972.3349990007</v>
      </c>
      <c r="H34" s="209">
        <v>18520395135.869999</v>
      </c>
      <c r="I34" s="209">
        <v>16185843264.809999</v>
      </c>
      <c r="J34" s="209">
        <v>22234804888.700001</v>
      </c>
      <c r="K34" s="303">
        <v>17868680060.610001</v>
      </c>
      <c r="L34" s="286">
        <v>15572069352.09</v>
      </c>
    </row>
    <row r="35" spans="1:12" ht="17.100000000000001" customHeight="1" x14ac:dyDescent="0.3">
      <c r="A35" s="287" t="s">
        <v>218</v>
      </c>
      <c r="B35" s="288">
        <f>H35/$A$1</f>
        <v>1180508.252717</v>
      </c>
      <c r="C35" s="288">
        <f t="shared" ref="C35:F35" si="42">I35/$A$1</f>
        <v>955987.54034099996</v>
      </c>
      <c r="D35" s="288">
        <f t="shared" si="42"/>
        <v>1507873.864477</v>
      </c>
      <c r="E35" s="288">
        <f t="shared" si="42"/>
        <v>1025943.9778819999</v>
      </c>
      <c r="F35" s="288">
        <f t="shared" si="42"/>
        <v>597627.62449399999</v>
      </c>
      <c r="G35" s="289">
        <f t="shared" si="6"/>
        <v>4670313.6354169995</v>
      </c>
      <c r="H35" s="209">
        <v>11805082527.17</v>
      </c>
      <c r="I35" s="209">
        <v>9559875403.4099998</v>
      </c>
      <c r="J35" s="209">
        <v>15078738644.77</v>
      </c>
      <c r="K35" s="209">
        <v>10259439778.82</v>
      </c>
      <c r="L35" s="209">
        <v>5976276244.9399996</v>
      </c>
    </row>
    <row r="36" spans="1:12" ht="17.100000000000001" customHeight="1" x14ac:dyDescent="0.3">
      <c r="A36" s="287" t="s">
        <v>219</v>
      </c>
      <c r="B36" s="288">
        <f t="shared" ref="B36:B38" si="43">H36/$A$1</f>
        <v>117043.39029000001</v>
      </c>
      <c r="C36" s="288">
        <f t="shared" ref="C36:C38" si="44">I36/$A$1</f>
        <v>166890.818195</v>
      </c>
      <c r="D36" s="288">
        <f t="shared" ref="D36:D38" si="45">J36/$A$1</f>
        <v>192443.618403</v>
      </c>
      <c r="E36" s="288">
        <f t="shared" ref="E36:E38" si="46">K36/$A$1</f>
        <v>182566.316991</v>
      </c>
      <c r="F36" s="288">
        <f t="shared" ref="F36:F38" si="47">L36/$A$1</f>
        <v>115864.17878399999</v>
      </c>
      <c r="G36" s="289">
        <f t="shared" si="6"/>
        <v>658944.14387899998</v>
      </c>
      <c r="H36" s="209">
        <v>1170433902.9000001</v>
      </c>
      <c r="I36" s="209">
        <v>1668908181.95</v>
      </c>
      <c r="J36" s="209">
        <v>1924436184.03</v>
      </c>
      <c r="K36" s="209">
        <v>1825663169.9100001</v>
      </c>
      <c r="L36" s="209">
        <v>1158641787.8399999</v>
      </c>
    </row>
    <row r="37" spans="1:12" ht="17.100000000000001" customHeight="1" x14ac:dyDescent="0.3">
      <c r="A37" s="287" t="s">
        <v>220</v>
      </c>
      <c r="B37" s="288"/>
      <c r="C37" s="288"/>
      <c r="D37" s="288">
        <f t="shared" si="45"/>
        <v>0</v>
      </c>
      <c r="E37" s="288"/>
      <c r="F37" s="288"/>
      <c r="G37" s="289">
        <f t="shared" si="6"/>
        <v>0</v>
      </c>
      <c r="H37" s="209"/>
      <c r="I37" s="286"/>
      <c r="J37" s="209"/>
      <c r="K37" s="286"/>
      <c r="L37" s="209"/>
    </row>
    <row r="38" spans="1:12" ht="17.100000000000001" customHeight="1" x14ac:dyDescent="0.3">
      <c r="A38" s="287" t="s">
        <v>221</v>
      </c>
      <c r="B38" s="288">
        <f t="shared" si="43"/>
        <v>491093.52037600003</v>
      </c>
      <c r="C38" s="288">
        <f t="shared" si="44"/>
        <v>474338.97349499998</v>
      </c>
      <c r="D38" s="288">
        <f t="shared" si="45"/>
        <v>395379.32059800002</v>
      </c>
      <c r="E38" s="288">
        <f t="shared" si="46"/>
        <v>291624.31269200001</v>
      </c>
      <c r="F38" s="288">
        <f t="shared" si="47"/>
        <v>216875.12767700001</v>
      </c>
      <c r="G38" s="289">
        <f t="shared" si="6"/>
        <v>1652436.1271610002</v>
      </c>
      <c r="H38" s="209">
        <v>4910935203.7600002</v>
      </c>
      <c r="I38" s="209">
        <v>4743389734.9499998</v>
      </c>
      <c r="J38" s="209">
        <v>3953793205.98</v>
      </c>
      <c r="K38" s="303">
        <v>2916243126.9200001</v>
      </c>
      <c r="L38" s="286">
        <v>2168751276.77</v>
      </c>
    </row>
    <row r="39" spans="1:12" ht="17.100000000000001" customHeight="1" x14ac:dyDescent="0.3">
      <c r="A39" s="279" t="s">
        <v>222</v>
      </c>
      <c r="B39" s="283">
        <f>SUM(B35:B38)</f>
        <v>1788645.1633830001</v>
      </c>
      <c r="C39" s="283">
        <f t="shared" ref="C39:F39" si="48">SUM(C35:C38)</f>
        <v>1597217.3320309999</v>
      </c>
      <c r="D39" s="280">
        <f>SUM(D35:D36)+SUM(D38)</f>
        <v>2095696.803478</v>
      </c>
      <c r="E39" s="283">
        <f t="shared" si="48"/>
        <v>1500134.607565</v>
      </c>
      <c r="F39" s="283">
        <f t="shared" si="48"/>
        <v>930366.93095499999</v>
      </c>
      <c r="G39" s="289">
        <f t="shared" si="6"/>
        <v>6981693.9064569995</v>
      </c>
      <c r="H39" s="209">
        <v>17886451633.830002</v>
      </c>
      <c r="I39" s="209">
        <v>15972173320.309999</v>
      </c>
      <c r="J39" s="209">
        <v>20956968034.779999</v>
      </c>
      <c r="K39" s="303">
        <v>15001346075.65</v>
      </c>
      <c r="L39" s="286">
        <v>9303669309.5499992</v>
      </c>
    </row>
    <row r="40" spans="1:12" ht="17.100000000000001" customHeight="1" x14ac:dyDescent="0.3">
      <c r="A40" s="279" t="s">
        <v>223</v>
      </c>
      <c r="B40" s="283">
        <f>B34-B39</f>
        <v>63394.350203999784</v>
      </c>
      <c r="C40" s="283">
        <f t="shared" ref="C40:F40" si="49">C34-C39</f>
        <v>21366.994450000115</v>
      </c>
      <c r="D40" s="280">
        <f t="shared" si="49"/>
        <v>127783.68539200001</v>
      </c>
      <c r="E40" s="283">
        <f t="shared" si="49"/>
        <v>286733.39849600033</v>
      </c>
      <c r="F40" s="283">
        <f t="shared" si="49"/>
        <v>626840.00425400003</v>
      </c>
      <c r="G40" s="289">
        <f t="shared" si="6"/>
        <v>499278.42854200024</v>
      </c>
      <c r="H40" s="209">
        <v>633943502.03999996</v>
      </c>
      <c r="I40" s="209">
        <v>213669944.5</v>
      </c>
      <c r="J40" s="209">
        <v>1277836853.9200001</v>
      </c>
      <c r="K40" s="303">
        <v>2867333984.96</v>
      </c>
      <c r="L40" s="286">
        <v>6268400042.54</v>
      </c>
    </row>
    <row r="41" spans="1:12" ht="17.100000000000001" customHeight="1" x14ac:dyDescent="0.3">
      <c r="A41" s="293" t="s">
        <v>224</v>
      </c>
      <c r="B41" s="284">
        <f>H41/$A$1</f>
        <v>0</v>
      </c>
      <c r="C41" s="284">
        <f t="shared" ref="C41:F41" si="50">I41/$A$1</f>
        <v>0</v>
      </c>
      <c r="D41" s="29">
        <f t="shared" si="50"/>
        <v>0</v>
      </c>
      <c r="E41" s="284">
        <f t="shared" si="50"/>
        <v>0</v>
      </c>
      <c r="F41" s="284">
        <f t="shared" si="50"/>
        <v>0</v>
      </c>
      <c r="G41" s="289">
        <f t="shared" si="6"/>
        <v>0</v>
      </c>
      <c r="H41" s="209"/>
      <c r="I41" s="286"/>
      <c r="J41" s="209"/>
      <c r="K41" s="286"/>
      <c r="L41" s="286"/>
    </row>
    <row r="42" spans="1:12" ht="17.100000000000001" customHeight="1" x14ac:dyDescent="0.3">
      <c r="A42" s="293" t="s">
        <v>225</v>
      </c>
      <c r="B42" s="283">
        <f>B13+B27+B40+B41</f>
        <v>-18613.515589000221</v>
      </c>
      <c r="C42" s="283">
        <f>C13+C27+C40+C41</f>
        <v>29622.845277000131</v>
      </c>
      <c r="D42" s="280">
        <f t="shared" ref="D42:F42" si="51">D13+D27+D40+D41</f>
        <v>-242704.7666079998</v>
      </c>
      <c r="E42" s="283">
        <f t="shared" si="51"/>
        <v>-37335.561660999665</v>
      </c>
      <c r="F42" s="283">
        <f t="shared" si="51"/>
        <v>251040.815129</v>
      </c>
      <c r="G42" s="289">
        <f t="shared" si="6"/>
        <v>-269030.99858099956</v>
      </c>
      <c r="H42" s="209">
        <v>-186135155.88999999</v>
      </c>
      <c r="I42" s="209">
        <v>296228452.76999998</v>
      </c>
      <c r="J42" s="209">
        <v>-2427047666.0799999</v>
      </c>
      <c r="K42" s="303">
        <v>-373355616.61000001</v>
      </c>
      <c r="L42" s="286">
        <v>2510408151.29</v>
      </c>
    </row>
    <row r="43" spans="1:12" ht="17.100000000000001" customHeight="1" x14ac:dyDescent="0.3">
      <c r="A43" s="282" t="s">
        <v>226</v>
      </c>
      <c r="B43" s="292">
        <f>H43/$A$1</f>
        <v>158428.02048399998</v>
      </c>
      <c r="C43" s="292">
        <f t="shared" ref="C43:F43" si="52">I43/$A$1</f>
        <v>128805.17520699999</v>
      </c>
      <c r="D43" s="34">
        <f t="shared" si="52"/>
        <v>371306.23719200003</v>
      </c>
      <c r="E43" s="292">
        <f t="shared" si="52"/>
        <v>406947.741278</v>
      </c>
      <c r="F43" s="292">
        <f t="shared" si="52"/>
        <v>155837.85514999999</v>
      </c>
      <c r="G43" s="289">
        <f t="shared" si="6"/>
        <v>1065487.1741609999</v>
      </c>
      <c r="H43" s="209">
        <v>1584280204.8399999</v>
      </c>
      <c r="I43" s="209">
        <v>1288051752.0699999</v>
      </c>
      <c r="J43" s="209">
        <v>3713062371.9200001</v>
      </c>
      <c r="K43" s="209">
        <v>4069477412.7800002</v>
      </c>
      <c r="L43" s="209">
        <v>1558378551.5</v>
      </c>
    </row>
    <row r="44" spans="1:12" ht="17.100000000000001" customHeight="1" x14ac:dyDescent="0.3">
      <c r="A44" s="293" t="s">
        <v>227</v>
      </c>
      <c r="B44" s="283">
        <f>B42+B43</f>
        <v>139814.50489499976</v>
      </c>
      <c r="C44" s="283">
        <f>C42+C43</f>
        <v>158428.02048400012</v>
      </c>
      <c r="D44" s="280">
        <f t="shared" ref="D44:F44" si="53">D42+D43</f>
        <v>128601.47058400023</v>
      </c>
      <c r="E44" s="283">
        <f t="shared" si="53"/>
        <v>369612.17961700034</v>
      </c>
      <c r="F44" s="283">
        <f t="shared" si="53"/>
        <v>406878.67027899995</v>
      </c>
      <c r="G44" s="289">
        <f t="shared" si="6"/>
        <v>796456.1755800005</v>
      </c>
      <c r="H44" s="209">
        <v>1398145048.95</v>
      </c>
      <c r="I44" s="209">
        <v>1584280204.8399999</v>
      </c>
      <c r="J44" s="209">
        <v>1286014705.8399999</v>
      </c>
      <c r="K44" s="303">
        <v>3696121796.1700001</v>
      </c>
      <c r="L44" s="286">
        <v>4068786702.79</v>
      </c>
    </row>
    <row r="45" spans="1:12" ht="17.100000000000001" customHeight="1" x14ac:dyDescent="0.3">
      <c r="A45" s="419" t="s">
        <v>228</v>
      </c>
      <c r="B45" s="420"/>
      <c r="C45" s="420"/>
      <c r="D45" s="420"/>
      <c r="E45" s="420"/>
      <c r="F45" s="421"/>
      <c r="G45" s="289">
        <f t="shared" si="6"/>
        <v>0</v>
      </c>
      <c r="H45" s="286"/>
      <c r="I45" s="286"/>
      <c r="J45" s="209"/>
      <c r="K45" s="286"/>
      <c r="L45" s="286"/>
    </row>
    <row r="46" spans="1:12" ht="17.100000000000001" customHeight="1" x14ac:dyDescent="0.3">
      <c r="H46" s="80"/>
      <c r="I46" s="80"/>
      <c r="J46" s="80"/>
      <c r="K46" s="80"/>
      <c r="L46" s="80"/>
    </row>
    <row r="47" spans="1:12" ht="17.100000000000001" customHeight="1" x14ac:dyDescent="0.3">
      <c r="D47" s="80"/>
      <c r="H47" s="80"/>
      <c r="I47" s="80"/>
      <c r="J47" s="80"/>
      <c r="K47" s="80"/>
      <c r="L47" s="80"/>
    </row>
    <row r="48" spans="1:12" ht="17.100000000000001" customHeight="1" x14ac:dyDescent="0.3">
      <c r="H48" s="478" t="s">
        <v>1232</v>
      </c>
      <c r="I48" s="80"/>
      <c r="J48" s="80"/>
      <c r="K48" s="80"/>
      <c r="L48" s="80"/>
    </row>
    <row r="49" spans="1:12" ht="17.100000000000001" customHeight="1" x14ac:dyDescent="0.3">
      <c r="A49" s="298" t="s">
        <v>229</v>
      </c>
      <c r="B49" s="299" t="str">
        <f>B2</f>
        <v>2024年1-9月</v>
      </c>
      <c r="C49" s="299" t="str">
        <f t="shared" ref="C49:F49" si="54">C2</f>
        <v>2023年度</v>
      </c>
      <c r="D49" s="299" t="str">
        <f t="shared" si="54"/>
        <v>2022年度</v>
      </c>
      <c r="E49" s="299" t="str">
        <f t="shared" si="54"/>
        <v>2021年度</v>
      </c>
      <c r="F49" s="299" t="str">
        <f t="shared" si="54"/>
        <v>2020年度</v>
      </c>
      <c r="G49" s="285"/>
      <c r="H49" s="206"/>
      <c r="I49" s="206"/>
      <c r="J49" s="209"/>
      <c r="K49" s="206"/>
      <c r="L49" s="206"/>
    </row>
    <row r="50" spans="1:12" ht="17.100000000000001" customHeight="1" x14ac:dyDescent="0.3">
      <c r="A50" s="300" t="s">
        <v>230</v>
      </c>
      <c r="B50" s="301"/>
      <c r="C50" s="301"/>
      <c r="D50" s="76"/>
      <c r="E50" s="76"/>
      <c r="F50" s="76"/>
      <c r="G50" s="285"/>
      <c r="H50" s="302"/>
      <c r="I50" s="286"/>
      <c r="J50" s="209"/>
      <c r="K50" s="286"/>
      <c r="L50" s="286"/>
    </row>
    <row r="51" spans="1:12" ht="17.100000000000001" customHeight="1" x14ac:dyDescent="0.3">
      <c r="A51" s="89" t="s">
        <v>231</v>
      </c>
      <c r="B51" s="70">
        <f>'合并-is'!B41</f>
        <v>235.60868900003126</v>
      </c>
      <c r="C51" s="70">
        <f>'合并-is'!C41</f>
        <v>25256.719485999929</v>
      </c>
      <c r="D51" s="70">
        <f>'合并-is'!D41</f>
        <v>32959.415081999985</v>
      </c>
      <c r="E51" s="70">
        <f>'合并-is'!E41</f>
        <v>27581.019608999995</v>
      </c>
      <c r="F51" s="70">
        <f>'合并-is'!F41</f>
        <v>27042.075727000047</v>
      </c>
      <c r="G51" s="285"/>
      <c r="H51" s="286"/>
      <c r="I51" s="209">
        <v>252567194.86000001</v>
      </c>
      <c r="J51" s="209">
        <v>329594150.81999999</v>
      </c>
      <c r="K51" s="209">
        <v>275810196.08999997</v>
      </c>
      <c r="L51" s="209">
        <v>270420757.26999998</v>
      </c>
    </row>
    <row r="52" spans="1:12" ht="17.100000000000001" customHeight="1" x14ac:dyDescent="0.3">
      <c r="A52" s="300" t="s">
        <v>232</v>
      </c>
      <c r="B52" s="70">
        <f>H52/$A$1</f>
        <v>0</v>
      </c>
      <c r="C52" s="70">
        <f>I52/$A$1</f>
        <v>0</v>
      </c>
      <c r="D52" s="70">
        <f t="shared" ref="D52:D53" si="55">J52/$A$1</f>
        <v>0</v>
      </c>
      <c r="E52" s="70">
        <f t="shared" ref="E52:E53" si="56">K52/$A$1</f>
        <v>0</v>
      </c>
      <c r="F52" s="70">
        <f t="shared" ref="F52:F53" si="57">L52/$A$1</f>
        <v>2119.6538930000002</v>
      </c>
      <c r="G52" s="285"/>
      <c r="H52" s="286"/>
      <c r="I52" s="209"/>
      <c r="J52" s="209"/>
      <c r="K52" s="209"/>
      <c r="L52" s="209">
        <v>21196538.93</v>
      </c>
    </row>
    <row r="53" spans="1:12" ht="17.100000000000001" customHeight="1" x14ac:dyDescent="0.3">
      <c r="A53" s="300" t="s">
        <v>233</v>
      </c>
      <c r="B53" s="70">
        <f t="shared" ref="B53:B67" si="58">H53/$A$1</f>
        <v>0</v>
      </c>
      <c r="C53" s="70">
        <f t="shared" ref="C53" si="59">I53/$A$1</f>
        <v>2265.5968469999998</v>
      </c>
      <c r="D53" s="70">
        <f t="shared" si="55"/>
        <v>-230.48809399999999</v>
      </c>
      <c r="E53" s="70">
        <f t="shared" si="56"/>
        <v>3981.059604</v>
      </c>
      <c r="F53" s="70">
        <f t="shared" si="57"/>
        <v>0</v>
      </c>
      <c r="G53" s="285"/>
      <c r="H53" s="286"/>
      <c r="I53" s="209">
        <v>22655968.469999999</v>
      </c>
      <c r="J53" s="209">
        <v>-2304880.94</v>
      </c>
      <c r="K53" s="286">
        <v>39810596.039999999</v>
      </c>
      <c r="L53" s="286"/>
    </row>
    <row r="54" spans="1:12" ht="17.100000000000001" customHeight="1" x14ac:dyDescent="0.3">
      <c r="A54" s="300" t="s">
        <v>234</v>
      </c>
      <c r="B54" s="70">
        <f t="shared" si="58"/>
        <v>0</v>
      </c>
      <c r="C54" s="70">
        <f t="shared" ref="C54:C67" si="60">I54/$A$1</f>
        <v>19849.060150999998</v>
      </c>
      <c r="D54" s="70">
        <f>J54/$A$1</f>
        <v>14810.439634999999</v>
      </c>
      <c r="E54" s="70">
        <f t="shared" ref="E54:E67" si="61">K54/$A$1</f>
        <v>8417.1032099999993</v>
      </c>
      <c r="F54" s="70">
        <f t="shared" ref="F54:F67" si="62">L54/$A$1</f>
        <v>7167.2382819999993</v>
      </c>
      <c r="G54" s="285"/>
      <c r="H54" s="286"/>
      <c r="I54" s="209">
        <v>198490601.50999999</v>
      </c>
      <c r="J54" s="209">
        <v>148104396.34999999</v>
      </c>
      <c r="K54" s="209">
        <v>84171032.099999994</v>
      </c>
      <c r="L54" s="209">
        <v>71672382.819999993</v>
      </c>
    </row>
    <row r="55" spans="1:12" ht="17.100000000000001" customHeight="1" x14ac:dyDescent="0.3">
      <c r="A55" s="300" t="s">
        <v>235</v>
      </c>
      <c r="B55" s="70">
        <f t="shared" si="58"/>
        <v>0</v>
      </c>
      <c r="C55" s="70">
        <f t="shared" si="60"/>
        <v>527.78982199999996</v>
      </c>
      <c r="D55" s="70">
        <f t="shared" ref="D55:D67" si="63">J55/$A$1</f>
        <v>646.33975399999997</v>
      </c>
      <c r="E55" s="70">
        <f t="shared" si="61"/>
        <v>645.15669100000002</v>
      </c>
      <c r="F55" s="70">
        <f t="shared" si="62"/>
        <v>587.58520399999998</v>
      </c>
      <c r="G55" s="285"/>
      <c r="H55" s="286"/>
      <c r="I55" s="209">
        <v>5277898.22</v>
      </c>
      <c r="J55" s="209">
        <v>6463397.54</v>
      </c>
      <c r="K55" s="209">
        <v>6451566.9100000001</v>
      </c>
      <c r="L55" s="209">
        <v>5875852.04</v>
      </c>
    </row>
    <row r="56" spans="1:12" ht="17.100000000000001" customHeight="1" x14ac:dyDescent="0.3">
      <c r="A56" s="300" t="s">
        <v>236</v>
      </c>
      <c r="B56" s="70">
        <f t="shared" si="58"/>
        <v>0</v>
      </c>
      <c r="C56" s="70">
        <f t="shared" si="60"/>
        <v>0</v>
      </c>
      <c r="D56" s="70">
        <f t="shared" si="63"/>
        <v>0</v>
      </c>
      <c r="E56" s="70">
        <f t="shared" si="61"/>
        <v>0</v>
      </c>
      <c r="F56" s="70">
        <f t="shared" si="62"/>
        <v>0</v>
      </c>
      <c r="G56" s="285"/>
      <c r="H56" s="286"/>
      <c r="I56" s="209"/>
      <c r="J56" s="209"/>
      <c r="K56" s="209"/>
      <c r="L56" s="209"/>
    </row>
    <row r="57" spans="1:12" ht="17.100000000000001" customHeight="1" x14ac:dyDescent="0.3">
      <c r="A57" s="300" t="s">
        <v>237</v>
      </c>
      <c r="B57" s="70">
        <f t="shared" si="58"/>
        <v>0</v>
      </c>
      <c r="C57" s="70">
        <f t="shared" si="60"/>
        <v>0</v>
      </c>
      <c r="D57" s="70">
        <f t="shared" si="63"/>
        <v>4.803077</v>
      </c>
      <c r="E57" s="70">
        <f t="shared" si="61"/>
        <v>-7.9854380000000003</v>
      </c>
      <c r="F57" s="70">
        <f t="shared" si="62"/>
        <v>0</v>
      </c>
      <c r="G57" s="285"/>
      <c r="H57" s="286"/>
      <c r="I57" s="209"/>
      <c r="J57" s="209">
        <v>48030.77</v>
      </c>
      <c r="K57" s="304">
        <v>-79854.38</v>
      </c>
      <c r="L57" s="303"/>
    </row>
    <row r="58" spans="1:12" ht="17.100000000000001" customHeight="1" x14ac:dyDescent="0.3">
      <c r="A58" s="300" t="s">
        <v>238</v>
      </c>
      <c r="B58" s="70">
        <f t="shared" si="58"/>
        <v>0</v>
      </c>
      <c r="C58" s="70">
        <f t="shared" si="60"/>
        <v>0</v>
      </c>
      <c r="D58" s="70">
        <f t="shared" si="63"/>
        <v>0.27680500000000002</v>
      </c>
      <c r="E58" s="70">
        <f t="shared" si="61"/>
        <v>677.01887799999997</v>
      </c>
      <c r="F58" s="70">
        <f t="shared" si="62"/>
        <v>-38.873334999999997</v>
      </c>
      <c r="G58" s="285"/>
      <c r="H58" s="286"/>
      <c r="I58" s="209"/>
      <c r="J58" s="209">
        <v>2768.05</v>
      </c>
      <c r="K58" s="297">
        <v>6770188.7800000003</v>
      </c>
      <c r="L58" s="303">
        <v>-388733.35</v>
      </c>
    </row>
    <row r="59" spans="1:12" ht="17.100000000000001" customHeight="1" x14ac:dyDescent="0.3">
      <c r="A59" s="300" t="s">
        <v>239</v>
      </c>
      <c r="B59" s="70">
        <f t="shared" si="58"/>
        <v>0</v>
      </c>
      <c r="C59" s="70">
        <f t="shared" si="60"/>
        <v>10437.959999999999</v>
      </c>
      <c r="D59" s="70">
        <f t="shared" si="63"/>
        <v>-111.60838600000001</v>
      </c>
      <c r="E59" s="70">
        <f t="shared" si="61"/>
        <v>0</v>
      </c>
      <c r="F59" s="70">
        <f t="shared" si="62"/>
        <v>0</v>
      </c>
      <c r="G59" s="285"/>
      <c r="H59" s="286"/>
      <c r="I59" s="209">
        <v>104379600</v>
      </c>
      <c r="J59" s="209">
        <v>-1116083.8600000001</v>
      </c>
      <c r="K59" s="297"/>
      <c r="L59" s="286"/>
    </row>
    <row r="60" spans="1:12" ht="17.100000000000001" customHeight="1" x14ac:dyDescent="0.3">
      <c r="A60" s="300" t="s">
        <v>240</v>
      </c>
      <c r="B60" s="70">
        <f t="shared" si="58"/>
        <v>0</v>
      </c>
      <c r="C60" s="70">
        <f t="shared" si="60"/>
        <v>105058.09169</v>
      </c>
      <c r="D60" s="70">
        <f t="shared" si="63"/>
        <v>112009.33904400001</v>
      </c>
      <c r="E60" s="70">
        <f t="shared" si="61"/>
        <v>119170.577255</v>
      </c>
      <c r="F60" s="70">
        <f t="shared" si="62"/>
        <v>102772.46719299999</v>
      </c>
      <c r="G60" s="285"/>
      <c r="H60" s="286"/>
      <c r="I60" s="209">
        <v>1050580916.9</v>
      </c>
      <c r="J60" s="209">
        <v>1120093390.4400001</v>
      </c>
      <c r="K60" s="209">
        <v>1191705772.55</v>
      </c>
      <c r="L60" s="209">
        <v>1027724671.9299999</v>
      </c>
    </row>
    <row r="61" spans="1:12" ht="17.100000000000001" customHeight="1" x14ac:dyDescent="0.3">
      <c r="A61" s="300" t="s">
        <v>241</v>
      </c>
      <c r="B61" s="70">
        <f t="shared" si="58"/>
        <v>0</v>
      </c>
      <c r="C61" s="70">
        <f t="shared" si="60"/>
        <v>-53579.242633999995</v>
      </c>
      <c r="D61" s="70">
        <f t="shared" si="63"/>
        <v>-49615.806565999999</v>
      </c>
      <c r="E61" s="70">
        <f t="shared" si="61"/>
        <v>-42082.783252000001</v>
      </c>
      <c r="F61" s="70">
        <f t="shared" si="62"/>
        <v>5.2679510000000001</v>
      </c>
      <c r="G61" s="285"/>
      <c r="H61" s="286"/>
      <c r="I61" s="209">
        <v>-535792426.33999997</v>
      </c>
      <c r="J61" s="209">
        <v>-496158065.66000003</v>
      </c>
      <c r="K61" s="209">
        <v>-420827832.51999998</v>
      </c>
      <c r="L61" s="209">
        <v>52679.51</v>
      </c>
    </row>
    <row r="62" spans="1:12" ht="17.100000000000001" customHeight="1" x14ac:dyDescent="0.3">
      <c r="A62" s="300" t="s">
        <v>242</v>
      </c>
      <c r="B62" s="70">
        <f t="shared" si="58"/>
        <v>0</v>
      </c>
      <c r="C62" s="70">
        <f t="shared" si="60"/>
        <v>-11.681074000000001</v>
      </c>
      <c r="D62" s="70">
        <f t="shared" si="63"/>
        <v>48.597547999999996</v>
      </c>
      <c r="E62" s="70">
        <f t="shared" si="61"/>
        <v>-75.333629000000002</v>
      </c>
      <c r="F62" s="70">
        <f t="shared" si="62"/>
        <v>0</v>
      </c>
      <c r="G62" s="285"/>
      <c r="H62" s="286"/>
      <c r="I62" s="209">
        <v>-116810.74</v>
      </c>
      <c r="J62" s="209">
        <v>485975.48</v>
      </c>
      <c r="K62" s="209">
        <v>-753336.29</v>
      </c>
      <c r="L62" s="209"/>
    </row>
    <row r="63" spans="1:12" ht="17.100000000000001" customHeight="1" x14ac:dyDescent="0.3">
      <c r="A63" s="300" t="s">
        <v>243</v>
      </c>
      <c r="B63" s="70">
        <f t="shared" si="58"/>
        <v>0</v>
      </c>
      <c r="C63" s="70">
        <f t="shared" si="60"/>
        <v>-2719.111238</v>
      </c>
      <c r="D63" s="70">
        <f t="shared" si="63"/>
        <v>-50.374707000000001</v>
      </c>
      <c r="E63" s="70">
        <f t="shared" si="61"/>
        <v>-138.748604</v>
      </c>
      <c r="F63" s="70">
        <f t="shared" si="62"/>
        <v>-197.485873</v>
      </c>
      <c r="G63" s="285"/>
      <c r="H63" s="286"/>
      <c r="I63" s="209">
        <v>-27191112.379999999</v>
      </c>
      <c r="J63" s="209">
        <v>-503747.07</v>
      </c>
      <c r="K63" s="209">
        <v>-1387486.04</v>
      </c>
      <c r="L63" s="209">
        <v>-1974858.73</v>
      </c>
    </row>
    <row r="64" spans="1:12" ht="17.100000000000001" customHeight="1" x14ac:dyDescent="0.3">
      <c r="A64" s="300" t="s">
        <v>244</v>
      </c>
      <c r="B64" s="70">
        <f t="shared" si="58"/>
        <v>0</v>
      </c>
      <c r="C64" s="70">
        <f t="shared" si="60"/>
        <v>-31026.057031</v>
      </c>
      <c r="D64" s="70">
        <f t="shared" si="63"/>
        <v>-252617.16130799998</v>
      </c>
      <c r="E64" s="70">
        <f t="shared" si="61"/>
        <v>-335087.409209</v>
      </c>
      <c r="F64" s="70">
        <f t="shared" si="62"/>
        <v>-158612.07579900001</v>
      </c>
      <c r="G64" s="285"/>
      <c r="H64" s="286"/>
      <c r="I64" s="209">
        <v>-310260570.31</v>
      </c>
      <c r="J64" s="209">
        <v>-2526171613.0799999</v>
      </c>
      <c r="K64" s="209">
        <v>-3350874092.0900002</v>
      </c>
      <c r="L64" s="209">
        <v>-1586120757.99</v>
      </c>
    </row>
    <row r="65" spans="1:12" ht="17.100000000000001" customHeight="1" x14ac:dyDescent="0.3">
      <c r="A65" s="300" t="s">
        <v>245</v>
      </c>
      <c r="B65" s="70">
        <f t="shared" si="58"/>
        <v>0</v>
      </c>
      <c r="C65" s="70">
        <f t="shared" si="60"/>
        <v>-99507.079117999994</v>
      </c>
      <c r="D65" s="70">
        <f t="shared" si="63"/>
        <v>-72200.070231999998</v>
      </c>
      <c r="E65" s="70">
        <f t="shared" si="61"/>
        <v>55614.606395000003</v>
      </c>
      <c r="F65" s="70">
        <f t="shared" si="62"/>
        <v>-84653.651070000007</v>
      </c>
      <c r="G65" s="285"/>
      <c r="H65" s="286"/>
      <c r="I65" s="209">
        <v>-995070791.17999995</v>
      </c>
      <c r="J65" s="209">
        <v>-722000702.32000005</v>
      </c>
      <c r="K65" s="209">
        <v>556146063.95000005</v>
      </c>
      <c r="L65" s="209">
        <v>-846536510.70000005</v>
      </c>
    </row>
    <row r="66" spans="1:12" ht="17.100000000000001" customHeight="1" x14ac:dyDescent="0.3">
      <c r="A66" s="300" t="s">
        <v>246</v>
      </c>
      <c r="B66" s="70">
        <f t="shared" si="58"/>
        <v>0</v>
      </c>
      <c r="C66" s="70">
        <f t="shared" si="60"/>
        <v>69944.307440000004</v>
      </c>
      <c r="D66" s="70">
        <f t="shared" si="63"/>
        <v>36358.097814000001</v>
      </c>
      <c r="E66" s="70">
        <f t="shared" si="61"/>
        <v>38427.675494000003</v>
      </c>
      <c r="F66" s="70">
        <f t="shared" si="62"/>
        <v>-8787.6866879999998</v>
      </c>
      <c r="G66" s="285"/>
      <c r="H66" s="286"/>
      <c r="I66" s="209">
        <v>699443074.39999998</v>
      </c>
      <c r="J66" s="209">
        <v>363580978.13999999</v>
      </c>
      <c r="K66" s="209">
        <v>384276754.94</v>
      </c>
      <c r="L66" s="209">
        <v>-87876866.879999995</v>
      </c>
    </row>
    <row r="67" spans="1:12" ht="17.100000000000001" customHeight="1" x14ac:dyDescent="0.3">
      <c r="A67" s="300" t="s">
        <v>247</v>
      </c>
      <c r="B67" s="70">
        <f t="shared" si="58"/>
        <v>0</v>
      </c>
      <c r="C67" s="70">
        <f t="shared" si="60"/>
        <v>-25.898332</v>
      </c>
      <c r="D67" s="70">
        <f t="shared" si="63"/>
        <v>6000</v>
      </c>
      <c r="E67" s="70">
        <f t="shared" si="61"/>
        <v>-6000</v>
      </c>
      <c r="F67" s="70">
        <f t="shared" si="62"/>
        <v>754.16165699999999</v>
      </c>
      <c r="G67" s="285"/>
      <c r="H67" s="286"/>
      <c r="I67" s="209">
        <v>-258983.32</v>
      </c>
      <c r="J67" s="209">
        <v>60000000</v>
      </c>
      <c r="K67" s="209">
        <v>-60000000</v>
      </c>
      <c r="L67" s="209">
        <v>7541616.5700000003</v>
      </c>
    </row>
    <row r="68" spans="1:12" ht="17.100000000000001" customHeight="1" x14ac:dyDescent="0.3">
      <c r="A68" s="305" t="s">
        <v>196</v>
      </c>
      <c r="B68" s="72">
        <f>B51+SUM(B52:B67)</f>
        <v>235.60868900003126</v>
      </c>
      <c r="C68" s="72">
        <f t="shared" ref="C68:F68" si="64">C51+SUM(C52:C67)</f>
        <v>46470.456008999958</v>
      </c>
      <c r="D68" s="72">
        <f t="shared" si="64"/>
        <v>-171988.20053399997</v>
      </c>
      <c r="E68" s="72">
        <f t="shared" si="64"/>
        <v>-128878.04299599999</v>
      </c>
      <c r="F68" s="72">
        <f t="shared" si="64"/>
        <v>-111841.32285799997</v>
      </c>
      <c r="G68" s="285"/>
      <c r="H68" s="286"/>
      <c r="I68" s="209">
        <v>464704560.08999997</v>
      </c>
      <c r="J68" s="209">
        <v>-1719882005.3399999</v>
      </c>
      <c r="K68" s="209">
        <v>-1288780429.96</v>
      </c>
      <c r="L68" s="209">
        <v>-1118413228.5799999</v>
      </c>
    </row>
    <row r="69" spans="1:12" ht="17.100000000000001" customHeight="1" x14ac:dyDescent="0.3">
      <c r="A69" s="300" t="s">
        <v>248</v>
      </c>
      <c r="B69" s="70"/>
      <c r="C69" s="70"/>
      <c r="D69" s="76"/>
      <c r="E69" s="76"/>
      <c r="F69" s="76"/>
      <c r="G69" s="285"/>
      <c r="H69" s="286"/>
      <c r="I69" s="209"/>
      <c r="J69" s="209"/>
      <c r="K69" s="209"/>
      <c r="L69" s="209"/>
    </row>
    <row r="70" spans="1:12" ht="17.100000000000001" customHeight="1" x14ac:dyDescent="0.3">
      <c r="A70" s="300" t="s">
        <v>249</v>
      </c>
      <c r="B70" s="70">
        <f>H70/$A$1</f>
        <v>0</v>
      </c>
      <c r="C70" s="70">
        <f t="shared" ref="C70:F70" si="65">I70/$A$1</f>
        <v>0</v>
      </c>
      <c r="D70" s="70">
        <f t="shared" si="65"/>
        <v>0</v>
      </c>
      <c r="E70" s="70">
        <f t="shared" si="65"/>
        <v>0</v>
      </c>
      <c r="F70" s="70">
        <f t="shared" si="65"/>
        <v>0</v>
      </c>
      <c r="G70" s="285"/>
      <c r="H70" s="286"/>
      <c r="I70" s="209"/>
      <c r="J70" s="209"/>
      <c r="K70" s="209"/>
      <c r="L70" s="209"/>
    </row>
    <row r="71" spans="1:12" ht="17.100000000000001" customHeight="1" x14ac:dyDescent="0.3">
      <c r="A71" s="300" t="s">
        <v>250</v>
      </c>
      <c r="B71" s="70">
        <f t="shared" ref="B71:B77" si="66">H71/$A$1</f>
        <v>0</v>
      </c>
      <c r="C71" s="70">
        <f t="shared" ref="C71:C77" si="67">I71/$A$1</f>
        <v>0</v>
      </c>
      <c r="D71" s="70">
        <f t="shared" ref="D71:D77" si="68">J71/$A$1</f>
        <v>0</v>
      </c>
      <c r="E71" s="70">
        <f t="shared" ref="E71:E77" si="69">K71/$A$1</f>
        <v>0</v>
      </c>
      <c r="F71" s="70">
        <f t="shared" ref="F71:F77" si="70">L71/$A$1</f>
        <v>0</v>
      </c>
      <c r="G71" s="285"/>
      <c r="H71" s="286"/>
      <c r="I71" s="209"/>
      <c r="J71" s="209"/>
      <c r="K71" s="209"/>
      <c r="L71" s="209"/>
    </row>
    <row r="72" spans="1:12" ht="17.100000000000001" customHeight="1" x14ac:dyDescent="0.3">
      <c r="A72" s="300" t="s">
        <v>251</v>
      </c>
      <c r="B72" s="70">
        <f t="shared" si="66"/>
        <v>0</v>
      </c>
      <c r="C72" s="70">
        <f t="shared" si="67"/>
        <v>0</v>
      </c>
      <c r="D72" s="70">
        <f t="shared" si="68"/>
        <v>0</v>
      </c>
      <c r="E72" s="70">
        <f t="shared" si="69"/>
        <v>0</v>
      </c>
      <c r="F72" s="70">
        <f t="shared" si="70"/>
        <v>0</v>
      </c>
      <c r="G72" s="285"/>
      <c r="H72" s="286"/>
      <c r="I72" s="209"/>
      <c r="J72" s="209"/>
      <c r="K72" s="209"/>
      <c r="L72" s="209"/>
    </row>
    <row r="73" spans="1:12" ht="17.100000000000001" customHeight="1" x14ac:dyDescent="0.3">
      <c r="A73" s="300" t="s">
        <v>252</v>
      </c>
      <c r="B73" s="70">
        <f t="shared" si="66"/>
        <v>0</v>
      </c>
      <c r="C73" s="70">
        <f t="shared" si="67"/>
        <v>0</v>
      </c>
      <c r="D73" s="70">
        <f t="shared" si="68"/>
        <v>0</v>
      </c>
      <c r="E73" s="70">
        <f t="shared" si="69"/>
        <v>0</v>
      </c>
      <c r="F73" s="70">
        <f t="shared" si="70"/>
        <v>0</v>
      </c>
      <c r="G73" s="285"/>
      <c r="H73" s="286"/>
      <c r="I73" s="209"/>
      <c r="J73" s="209"/>
      <c r="K73" s="209"/>
      <c r="L73" s="209"/>
    </row>
    <row r="74" spans="1:12" ht="17.100000000000001" customHeight="1" x14ac:dyDescent="0.3">
      <c r="A74" s="300" t="s">
        <v>253</v>
      </c>
      <c r="B74" s="70">
        <f t="shared" si="66"/>
        <v>0</v>
      </c>
      <c r="C74" s="70">
        <f t="shared" si="67"/>
        <v>158428.02048399998</v>
      </c>
      <c r="D74" s="70">
        <f t="shared" si="68"/>
        <v>128601.470584</v>
      </c>
      <c r="E74" s="70">
        <f t="shared" si="69"/>
        <v>349612.17961699999</v>
      </c>
      <c r="F74" s="70">
        <f t="shared" si="70"/>
        <v>406878.67027900001</v>
      </c>
      <c r="G74" s="285"/>
      <c r="H74" s="286"/>
      <c r="I74" s="209">
        <v>1584280204.8399999</v>
      </c>
      <c r="J74" s="209">
        <v>1286014705.8399999</v>
      </c>
      <c r="K74" s="209">
        <v>3496121796.1700001</v>
      </c>
      <c r="L74" s="209">
        <v>4068786702.79</v>
      </c>
    </row>
    <row r="75" spans="1:12" ht="17.100000000000001" customHeight="1" x14ac:dyDescent="0.3">
      <c r="A75" s="300" t="s">
        <v>254</v>
      </c>
      <c r="B75" s="70">
        <f t="shared" si="66"/>
        <v>0</v>
      </c>
      <c r="C75" s="70">
        <f t="shared" si="67"/>
        <v>128805.17520699999</v>
      </c>
      <c r="D75" s="70">
        <f t="shared" si="68"/>
        <v>371306.23719200003</v>
      </c>
      <c r="E75" s="70">
        <f t="shared" si="69"/>
        <v>406947.741278</v>
      </c>
      <c r="F75" s="70">
        <f t="shared" si="70"/>
        <v>155837.85514999999</v>
      </c>
      <c r="G75" s="285"/>
      <c r="H75" s="286"/>
      <c r="I75" s="209">
        <v>1288051752.0699999</v>
      </c>
      <c r="J75" s="209">
        <v>3713062371.9200001</v>
      </c>
      <c r="K75" s="209">
        <v>4069477412.7800002</v>
      </c>
      <c r="L75" s="209">
        <v>1558378551.5</v>
      </c>
    </row>
    <row r="76" spans="1:12" ht="17.100000000000001" customHeight="1" x14ac:dyDescent="0.3">
      <c r="A76" s="300" t="s">
        <v>255</v>
      </c>
      <c r="B76" s="70">
        <f t="shared" si="66"/>
        <v>0</v>
      </c>
      <c r="C76" s="70">
        <f t="shared" si="67"/>
        <v>0</v>
      </c>
      <c r="D76" s="70">
        <f t="shared" si="68"/>
        <v>0</v>
      </c>
      <c r="E76" s="70">
        <f t="shared" si="69"/>
        <v>0</v>
      </c>
      <c r="F76" s="70">
        <f t="shared" si="70"/>
        <v>0</v>
      </c>
      <c r="G76" s="285"/>
      <c r="H76" s="286"/>
      <c r="I76" s="209"/>
      <c r="J76" s="209"/>
      <c r="K76" s="209"/>
      <c r="L76" s="209"/>
    </row>
    <row r="77" spans="1:12" ht="17.100000000000001" customHeight="1" x14ac:dyDescent="0.3">
      <c r="A77" s="300" t="s">
        <v>256</v>
      </c>
      <c r="B77" s="70">
        <f t="shared" si="66"/>
        <v>0</v>
      </c>
      <c r="C77" s="70">
        <f t="shared" si="67"/>
        <v>0</v>
      </c>
      <c r="D77" s="70">
        <f t="shared" si="68"/>
        <v>0</v>
      </c>
      <c r="E77" s="70">
        <f t="shared" si="69"/>
        <v>0</v>
      </c>
      <c r="F77" s="70">
        <f t="shared" si="70"/>
        <v>0</v>
      </c>
      <c r="G77" s="285"/>
      <c r="H77" s="286"/>
      <c r="I77" s="209"/>
      <c r="J77" s="209"/>
      <c r="K77" s="209"/>
      <c r="L77" s="209"/>
    </row>
    <row r="78" spans="1:12" ht="17.100000000000001" customHeight="1" x14ac:dyDescent="0.3">
      <c r="A78" s="305" t="s">
        <v>257</v>
      </c>
      <c r="B78" s="72">
        <f>B74-B75+B76-B77</f>
        <v>0</v>
      </c>
      <c r="C78" s="72">
        <f>C74-C75+C76-C77</f>
        <v>29622.845276999986</v>
      </c>
      <c r="D78" s="72">
        <f>D74-D75+D76-D77</f>
        <v>-242704.76660800003</v>
      </c>
      <c r="E78" s="72">
        <f t="shared" ref="E78:F78" si="71">E74-E75+E76-E77</f>
        <v>-57335.561661000014</v>
      </c>
      <c r="F78" s="72">
        <f t="shared" si="71"/>
        <v>251040.81512900002</v>
      </c>
      <c r="G78" s="285"/>
      <c r="H78" s="286"/>
      <c r="I78" s="209">
        <v>296228452.76999998</v>
      </c>
      <c r="J78" s="209">
        <v>-2427047666.0799999</v>
      </c>
      <c r="K78" s="209">
        <v>-573355616.61000001</v>
      </c>
      <c r="L78" s="209">
        <v>2510408151.29</v>
      </c>
    </row>
    <row r="79" spans="1:12" ht="17.100000000000001" customHeight="1" x14ac:dyDescent="0.3">
      <c r="A79" s="67" t="s">
        <v>104</v>
      </c>
      <c r="B79" s="78">
        <f>B68-B13</f>
        <v>21460.753825000036</v>
      </c>
      <c r="C79" s="78">
        <f>C68-C13</f>
        <v>-5.8207660913467407E-11</v>
      </c>
      <c r="D79" s="78">
        <f t="shared" ref="D79:F79" si="72">D68-D13</f>
        <v>0</v>
      </c>
      <c r="E79" s="78">
        <f t="shared" si="72"/>
        <v>0</v>
      </c>
      <c r="F79" s="78">
        <f t="shared" si="72"/>
        <v>0</v>
      </c>
    </row>
    <row r="80" spans="1:12" ht="17.100000000000001" customHeight="1" x14ac:dyDescent="0.3">
      <c r="B80" s="78">
        <f>B78-B42</f>
        <v>18613.515589000221</v>
      </c>
      <c r="C80" s="78">
        <f>C78-C42</f>
        <v>-1.4551915228366852E-10</v>
      </c>
      <c r="D80" s="78">
        <f>D78-D42</f>
        <v>-2.3283064365386963E-10</v>
      </c>
      <c r="E80" s="78">
        <f t="shared" ref="E80:F80" si="73">E78-E42</f>
        <v>-20000.000000000349</v>
      </c>
      <c r="F80" s="78">
        <f t="shared" si="73"/>
        <v>0</v>
      </c>
    </row>
    <row r="81" spans="10:10" ht="17.100000000000001" customHeight="1" x14ac:dyDescent="0.3">
      <c r="J81" s="80"/>
    </row>
  </sheetData>
  <mergeCells count="3">
    <mergeCell ref="B1:F1"/>
    <mergeCell ref="H1:L1"/>
    <mergeCell ref="A45:F45"/>
  </mergeCells>
  <phoneticPr fontId="41" type="noConversion"/>
  <pageMargins left="0.7" right="0.7" top="0.75" bottom="0.75" header="0.3" footer="0.3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48"/>
  <sheetViews>
    <sheetView zoomScale="70" zoomScaleNormal="70" workbookViewId="0">
      <pane xSplit="1" topLeftCell="F1" activePane="topRight" state="frozen"/>
      <selection pane="topRight" activeCell="H45" sqref="H45"/>
    </sheetView>
  </sheetViews>
  <sheetFormatPr defaultColWidth="9" defaultRowHeight="22.05" customHeight="1" x14ac:dyDescent="0.3"/>
  <cols>
    <col min="1" max="1" width="51.53125" style="68" customWidth="1"/>
    <col min="2" max="2" width="16.06640625" style="68" customWidth="1"/>
    <col min="3" max="3" width="15.86328125" style="68" customWidth="1"/>
    <col min="4" max="5" width="17.1328125" style="68" customWidth="1"/>
    <col min="6" max="6" width="15.86328125" style="68" customWidth="1"/>
    <col min="7" max="7" width="9" style="68"/>
    <col min="8" max="8" width="25.59765625" style="68" customWidth="1"/>
    <col min="9" max="10" width="20.59765625" style="68" customWidth="1"/>
    <col min="11" max="11" width="21.06640625" style="68" customWidth="1"/>
    <col min="12" max="12" width="20" style="68" customWidth="1"/>
    <col min="13" max="13" width="18.3984375" style="68" customWidth="1"/>
    <col min="14" max="14" width="18.1328125" style="68" customWidth="1"/>
    <col min="15" max="15" width="16.9296875" style="68" customWidth="1"/>
    <col min="16" max="16" width="20.59765625" style="68" customWidth="1"/>
    <col min="17" max="16384" width="9" style="68"/>
  </cols>
  <sheetData>
    <row r="1" spans="1:16" ht="22.05" customHeight="1" x14ac:dyDescent="0.3">
      <c r="A1" s="68">
        <v>10000</v>
      </c>
      <c r="B1" s="423" t="s">
        <v>12</v>
      </c>
      <c r="C1" s="423"/>
      <c r="D1" s="423"/>
      <c r="E1" s="423"/>
      <c r="F1" s="423"/>
      <c r="H1" s="423" t="s">
        <v>13</v>
      </c>
      <c r="I1" s="423"/>
      <c r="J1" s="423"/>
      <c r="K1" s="423"/>
      <c r="L1" s="423"/>
    </row>
    <row r="2" spans="1:16" s="66" customFormat="1" ht="22.05" customHeight="1" x14ac:dyDescent="0.3">
      <c r="A2" s="279" t="s">
        <v>185</v>
      </c>
      <c r="B2" s="280" t="str">
        <f>首页!C3</f>
        <v>2024年1-9月</v>
      </c>
      <c r="C2" s="280" t="str">
        <f>首页!D3</f>
        <v>2023年度</v>
      </c>
      <c r="D2" s="280" t="str">
        <f>首页!E3</f>
        <v>2022年度</v>
      </c>
      <c r="E2" s="280" t="str">
        <f>首页!F3</f>
        <v>2021年度</v>
      </c>
      <c r="F2" s="280" t="str">
        <f>首页!G3</f>
        <v>2020年度</v>
      </c>
      <c r="G2" s="57" t="s">
        <v>15</v>
      </c>
      <c r="H2" s="281" t="str">
        <f>首页!C3</f>
        <v>2024年1-9月</v>
      </c>
      <c r="I2" s="281" t="str">
        <f>首页!D3</f>
        <v>2023年度</v>
      </c>
      <c r="J2" s="281" t="str">
        <f>首页!E3</f>
        <v>2022年度</v>
      </c>
      <c r="K2" s="281" t="str">
        <f>首页!F3</f>
        <v>2021年度</v>
      </c>
      <c r="L2" s="281" t="str">
        <f>首页!G3</f>
        <v>2020年度</v>
      </c>
    </row>
    <row r="3" spans="1:16" ht="22.05" customHeight="1" x14ac:dyDescent="0.3">
      <c r="A3" s="282" t="s">
        <v>186</v>
      </c>
      <c r="B3" s="283"/>
      <c r="C3" s="283"/>
      <c r="D3" s="284"/>
      <c r="E3" s="284"/>
      <c r="F3" s="284"/>
      <c r="G3" s="285"/>
      <c r="H3" s="286"/>
      <c r="I3" s="286"/>
      <c r="J3" s="286"/>
      <c r="K3" s="286"/>
      <c r="L3" s="286"/>
    </row>
    <row r="4" spans="1:16" ht="22.05" customHeight="1" x14ac:dyDescent="0.3">
      <c r="A4" s="287" t="s">
        <v>187</v>
      </c>
      <c r="B4" s="288">
        <f>H4/$A$1</f>
        <v>0</v>
      </c>
      <c r="C4" s="288">
        <f t="shared" ref="C4:F6" si="0">I4/$A$1</f>
        <v>0</v>
      </c>
      <c r="D4" s="288">
        <f t="shared" si="0"/>
        <v>61329.033807000007</v>
      </c>
      <c r="E4" s="288">
        <f t="shared" si="0"/>
        <v>0</v>
      </c>
      <c r="F4" s="288">
        <f t="shared" si="0"/>
        <v>44.514060000000001</v>
      </c>
      <c r="G4" s="289">
        <f>SUM(B4:E4)</f>
        <v>61329.033807000007</v>
      </c>
      <c r="H4" s="290"/>
      <c r="I4" s="290"/>
      <c r="J4" s="290">
        <v>613290338.07000005</v>
      </c>
      <c r="K4" s="290"/>
      <c r="L4" s="286">
        <v>445140.6</v>
      </c>
    </row>
    <row r="5" spans="1:16" ht="22.05" customHeight="1" x14ac:dyDescent="0.3">
      <c r="A5" s="287" t="s">
        <v>188</v>
      </c>
      <c r="B5" s="288">
        <f t="shared" ref="B5:B6" si="1">H5/$A$1</f>
        <v>0</v>
      </c>
      <c r="C5" s="288">
        <f t="shared" si="0"/>
        <v>0</v>
      </c>
      <c r="D5" s="288">
        <f t="shared" si="0"/>
        <v>0</v>
      </c>
      <c r="E5" s="288">
        <f t="shared" si="0"/>
        <v>0</v>
      </c>
      <c r="F5" s="288">
        <f t="shared" si="0"/>
        <v>0</v>
      </c>
      <c r="G5" s="289">
        <f t="shared" ref="G5:G45" si="2">SUM(B5:E5)</f>
        <v>0</v>
      </c>
      <c r="H5" s="290"/>
      <c r="I5" s="290"/>
      <c r="J5" s="290"/>
      <c r="K5" s="286"/>
      <c r="L5" s="286"/>
    </row>
    <row r="6" spans="1:16" ht="22.05" customHeight="1" x14ac:dyDescent="0.3">
      <c r="A6" s="287" t="s">
        <v>189</v>
      </c>
      <c r="B6" s="288">
        <f t="shared" si="1"/>
        <v>67867.34762</v>
      </c>
      <c r="C6" s="288">
        <f t="shared" si="0"/>
        <v>108124.10277100001</v>
      </c>
      <c r="D6" s="288">
        <f t="shared" si="0"/>
        <v>110458.395748</v>
      </c>
      <c r="E6" s="288">
        <f t="shared" si="0"/>
        <v>105412.633678</v>
      </c>
      <c r="F6" s="288">
        <f t="shared" si="0"/>
        <v>109186.73522999999</v>
      </c>
      <c r="G6" s="289">
        <f t="shared" si="2"/>
        <v>391862.47981700004</v>
      </c>
      <c r="H6" s="290">
        <v>678673476.20000005</v>
      </c>
      <c r="I6" s="290">
        <v>1081241027.71</v>
      </c>
      <c r="J6" s="290">
        <v>1104583957.48</v>
      </c>
      <c r="K6" s="290">
        <v>1054126336.78</v>
      </c>
      <c r="L6" s="286">
        <v>1091867352.3</v>
      </c>
    </row>
    <row r="7" spans="1:16" ht="22.05" customHeight="1" x14ac:dyDescent="0.3">
      <c r="A7" s="279" t="s">
        <v>190</v>
      </c>
      <c r="B7" s="283">
        <f>SUM(B4:B6)</f>
        <v>67867.34762</v>
      </c>
      <c r="C7" s="283">
        <f t="shared" ref="C7:F7" si="3">SUM(C4:C6)</f>
        <v>108124.10277100001</v>
      </c>
      <c r="D7" s="280">
        <f t="shared" si="3"/>
        <v>171787.42955500001</v>
      </c>
      <c r="E7" s="283">
        <f t="shared" si="3"/>
        <v>105412.633678</v>
      </c>
      <c r="F7" s="283">
        <f t="shared" si="3"/>
        <v>109231.24928999999</v>
      </c>
      <c r="G7" s="289">
        <f t="shared" si="2"/>
        <v>453191.51362400007</v>
      </c>
      <c r="H7" s="290">
        <v>678673476.20000005</v>
      </c>
      <c r="I7" s="290">
        <v>1081241027.71</v>
      </c>
      <c r="J7" s="290">
        <v>1717874295.55</v>
      </c>
      <c r="K7" s="290">
        <v>1054126336.78</v>
      </c>
      <c r="L7" s="286">
        <v>1092312492.9000001</v>
      </c>
      <c r="M7" s="294"/>
      <c r="N7" s="294"/>
      <c r="O7" s="294"/>
      <c r="P7" s="294"/>
    </row>
    <row r="8" spans="1:16" ht="22.05" customHeight="1" x14ac:dyDescent="0.3">
      <c r="A8" s="287" t="s">
        <v>191</v>
      </c>
      <c r="B8" s="288">
        <f>H8/$A$1</f>
        <v>62037.762633000006</v>
      </c>
      <c r="C8" s="288">
        <f t="shared" ref="C8:F11" si="4">I8/$A$1</f>
        <v>64588.058883000005</v>
      </c>
      <c r="D8" s="288">
        <f t="shared" si="4"/>
        <v>51750.730580000003</v>
      </c>
      <c r="E8" s="288">
        <f t="shared" si="4"/>
        <v>175511.15829200001</v>
      </c>
      <c r="F8" s="288">
        <f t="shared" si="4"/>
        <v>196811.52419300002</v>
      </c>
      <c r="G8" s="289">
        <f t="shared" si="2"/>
        <v>353887.71038800001</v>
      </c>
      <c r="H8" s="290">
        <v>620377626.33000004</v>
      </c>
      <c r="I8" s="290">
        <v>645880588.83000004</v>
      </c>
      <c r="J8" s="290">
        <v>517507305.80000001</v>
      </c>
      <c r="K8" s="290">
        <v>1755111582.9200001</v>
      </c>
      <c r="L8" s="286">
        <v>1968115241.9300001</v>
      </c>
    </row>
    <row r="9" spans="1:16" ht="22.05" customHeight="1" x14ac:dyDescent="0.3">
      <c r="A9" s="287" t="s">
        <v>192</v>
      </c>
      <c r="B9" s="288">
        <f t="shared" ref="B9:B11" si="5">H9/$A$1</f>
        <v>1274.8761630000001</v>
      </c>
      <c r="C9" s="288">
        <f t="shared" si="4"/>
        <v>1299.6108449999999</v>
      </c>
      <c r="D9" s="288">
        <f t="shared" si="4"/>
        <v>1018.6021599999999</v>
      </c>
      <c r="E9" s="288">
        <f t="shared" si="4"/>
        <v>636.09535999999991</v>
      </c>
      <c r="F9" s="288">
        <f t="shared" si="4"/>
        <v>279.53758799999997</v>
      </c>
      <c r="G9" s="289">
        <f t="shared" si="2"/>
        <v>4229.1845279999998</v>
      </c>
      <c r="H9" s="290">
        <v>12748761.630000001</v>
      </c>
      <c r="I9" s="290">
        <v>12996108.449999999</v>
      </c>
      <c r="J9" s="290">
        <v>10186021.6</v>
      </c>
      <c r="K9" s="290">
        <v>6360953.5999999996</v>
      </c>
      <c r="L9" s="286">
        <v>2795375.88</v>
      </c>
    </row>
    <row r="10" spans="1:16" ht="22.05" customHeight="1" x14ac:dyDescent="0.3">
      <c r="A10" s="287" t="s">
        <v>193</v>
      </c>
      <c r="B10" s="288">
        <f t="shared" si="5"/>
        <v>2181.410813</v>
      </c>
      <c r="C10" s="288">
        <f t="shared" si="4"/>
        <v>2953.6793090000001</v>
      </c>
      <c r="D10" s="288">
        <f t="shared" si="4"/>
        <v>2048.3235030000001</v>
      </c>
      <c r="E10" s="288">
        <f t="shared" si="4"/>
        <v>2023.9952670000002</v>
      </c>
      <c r="F10" s="288">
        <f t="shared" si="4"/>
        <v>1871.3157640000002</v>
      </c>
      <c r="G10" s="289">
        <f t="shared" si="2"/>
        <v>9207.4088919999995</v>
      </c>
      <c r="H10" s="290">
        <v>21814108.129999999</v>
      </c>
      <c r="I10" s="290">
        <v>29536793.09</v>
      </c>
      <c r="J10" s="290">
        <v>20483235.030000001</v>
      </c>
      <c r="K10" s="290">
        <v>20239952.670000002</v>
      </c>
      <c r="L10" s="286">
        <v>18713157.640000001</v>
      </c>
    </row>
    <row r="11" spans="1:16" ht="22.05" customHeight="1" x14ac:dyDescent="0.3">
      <c r="A11" s="287" t="s">
        <v>194</v>
      </c>
      <c r="B11" s="288">
        <f t="shared" si="5"/>
        <v>865.67122699999993</v>
      </c>
      <c r="C11" s="288">
        <f t="shared" si="4"/>
        <v>4192.5042100000001</v>
      </c>
      <c r="D11" s="288">
        <f t="shared" si="4"/>
        <v>1300.3442220000002</v>
      </c>
      <c r="E11" s="288">
        <f t="shared" si="4"/>
        <v>7982.495105</v>
      </c>
      <c r="F11" s="288">
        <f t="shared" si="4"/>
        <v>3370.4250780000002</v>
      </c>
      <c r="G11" s="289">
        <f t="shared" si="2"/>
        <v>14341.014764</v>
      </c>
      <c r="H11" s="290">
        <v>8656712.2699999996</v>
      </c>
      <c r="I11" s="290">
        <v>41925042.100000001</v>
      </c>
      <c r="J11" s="290">
        <v>13003442.220000001</v>
      </c>
      <c r="K11" s="290">
        <v>79824951.049999997</v>
      </c>
      <c r="L11" s="286">
        <v>33704250.780000001</v>
      </c>
    </row>
    <row r="12" spans="1:16" ht="22.05" customHeight="1" x14ac:dyDescent="0.3">
      <c r="A12" s="279" t="s">
        <v>195</v>
      </c>
      <c r="B12" s="283">
        <f>SUM(B8:B11)</f>
        <v>66359.720836000008</v>
      </c>
      <c r="C12" s="283">
        <f t="shared" ref="C12:F12" si="6">SUM(C8:C11)</f>
        <v>73033.853247000006</v>
      </c>
      <c r="D12" s="283">
        <f t="shared" si="6"/>
        <v>56118.000465000005</v>
      </c>
      <c r="E12" s="283">
        <f t="shared" si="6"/>
        <v>186153.74402400001</v>
      </c>
      <c r="F12" s="283">
        <f t="shared" si="6"/>
        <v>202332.80262300003</v>
      </c>
      <c r="G12" s="289">
        <f t="shared" si="2"/>
        <v>381665.31857200002</v>
      </c>
      <c r="H12" s="290">
        <v>663597208.36000001</v>
      </c>
      <c r="I12" s="290">
        <v>730338532.47000003</v>
      </c>
      <c r="J12" s="290">
        <v>561180004.64999998</v>
      </c>
      <c r="K12" s="290">
        <v>1861537440.24</v>
      </c>
      <c r="L12" s="286">
        <v>2023328026.23</v>
      </c>
      <c r="M12" s="294"/>
      <c r="N12" s="294"/>
      <c r="O12" s="294"/>
      <c r="P12" s="294"/>
    </row>
    <row r="13" spans="1:16" ht="22.05" customHeight="1" x14ac:dyDescent="0.3">
      <c r="A13" s="279" t="s">
        <v>196</v>
      </c>
      <c r="B13" s="283">
        <f>B7-B12</f>
        <v>1507.6267839999928</v>
      </c>
      <c r="C13" s="283">
        <f t="shared" ref="C13:F13" si="7">C7-C12</f>
        <v>35090.249523999999</v>
      </c>
      <c r="D13" s="283">
        <f t="shared" si="7"/>
        <v>115669.42909000001</v>
      </c>
      <c r="E13" s="283">
        <f t="shared" si="7"/>
        <v>-80741.110346000016</v>
      </c>
      <c r="F13" s="283">
        <f t="shared" si="7"/>
        <v>-93101.553333000033</v>
      </c>
      <c r="G13" s="289">
        <f t="shared" si="2"/>
        <v>71526.195051999981</v>
      </c>
      <c r="H13" s="290">
        <v>15076267.84</v>
      </c>
      <c r="I13" s="290">
        <v>350902495.24000001</v>
      </c>
      <c r="J13" s="290">
        <v>1156694290.9000001</v>
      </c>
      <c r="K13" s="290">
        <v>-807411103.46000004</v>
      </c>
      <c r="L13" s="286">
        <v>-931015533.33000004</v>
      </c>
      <c r="M13" s="294"/>
      <c r="N13" s="294"/>
      <c r="O13" s="294"/>
      <c r="P13" s="294"/>
    </row>
    <row r="14" spans="1:16" ht="22.05" customHeight="1" x14ac:dyDescent="0.3">
      <c r="A14" s="282" t="s">
        <v>197</v>
      </c>
      <c r="B14" s="291"/>
      <c r="C14" s="291"/>
      <c r="D14" s="292"/>
      <c r="E14" s="292"/>
      <c r="F14" s="292"/>
      <c r="G14" s="289"/>
      <c r="H14" s="286"/>
      <c r="I14" s="286"/>
      <c r="J14" s="286"/>
      <c r="K14" s="286"/>
      <c r="L14" s="286"/>
    </row>
    <row r="15" spans="1:16" ht="22.05" customHeight="1" x14ac:dyDescent="0.3">
      <c r="A15" s="287" t="s">
        <v>198</v>
      </c>
      <c r="B15" s="288">
        <f>H15/$A$1</f>
        <v>0</v>
      </c>
      <c r="C15" s="288">
        <f t="shared" ref="C15:F19" si="8">I15/$A$1</f>
        <v>0</v>
      </c>
      <c r="D15" s="288">
        <f t="shared" si="8"/>
        <v>0</v>
      </c>
      <c r="E15" s="288">
        <f t="shared" si="8"/>
        <v>0</v>
      </c>
      <c r="F15" s="288">
        <f t="shared" si="8"/>
        <v>0</v>
      </c>
      <c r="G15" s="289">
        <f t="shared" si="2"/>
        <v>0</v>
      </c>
      <c r="H15" s="290"/>
      <c r="I15" s="290"/>
      <c r="J15" s="290"/>
      <c r="K15" s="290"/>
      <c r="L15" s="286"/>
    </row>
    <row r="16" spans="1:16" ht="22.05" customHeight="1" x14ac:dyDescent="0.3">
      <c r="A16" s="287" t="s">
        <v>199</v>
      </c>
      <c r="B16" s="288">
        <f t="shared" ref="B16:B19" si="9">H16/$A$1</f>
        <v>6717.9815829999998</v>
      </c>
      <c r="C16" s="288">
        <f t="shared" si="8"/>
        <v>29365.986695</v>
      </c>
      <c r="D16" s="288">
        <f t="shared" si="8"/>
        <v>40180.453642</v>
      </c>
      <c r="E16" s="288">
        <f t="shared" si="8"/>
        <v>22542.659224000003</v>
      </c>
      <c r="F16" s="288">
        <f t="shared" si="8"/>
        <v>0</v>
      </c>
      <c r="G16" s="289">
        <f t="shared" si="2"/>
        <v>98807.081143999996</v>
      </c>
      <c r="H16" s="290">
        <v>67179815.829999998</v>
      </c>
      <c r="I16" s="290">
        <v>293659866.94999999</v>
      </c>
      <c r="J16" s="290">
        <v>401804536.42000002</v>
      </c>
      <c r="K16" s="290">
        <v>225426592.24000001</v>
      </c>
      <c r="L16" s="286"/>
    </row>
    <row r="17" spans="1:16" ht="22.05" customHeight="1" x14ac:dyDescent="0.3">
      <c r="A17" s="287" t="s">
        <v>200</v>
      </c>
      <c r="B17" s="288">
        <f t="shared" si="9"/>
        <v>0</v>
      </c>
      <c r="C17" s="288">
        <f t="shared" si="8"/>
        <v>0</v>
      </c>
      <c r="D17" s="288">
        <f t="shared" si="8"/>
        <v>0</v>
      </c>
      <c r="E17" s="288">
        <f t="shared" si="8"/>
        <v>37.533892000000002</v>
      </c>
      <c r="F17" s="288">
        <f t="shared" si="8"/>
        <v>0</v>
      </c>
      <c r="G17" s="289">
        <f t="shared" si="2"/>
        <v>37.533892000000002</v>
      </c>
      <c r="H17" s="290"/>
      <c r="I17" s="290"/>
      <c r="J17" s="290"/>
      <c r="K17" s="286">
        <v>375338.92</v>
      </c>
      <c r="L17" s="286"/>
    </row>
    <row r="18" spans="1:16" ht="22.05" customHeight="1" x14ac:dyDescent="0.3">
      <c r="A18" s="287" t="s">
        <v>201</v>
      </c>
      <c r="B18" s="288">
        <f t="shared" si="9"/>
        <v>0</v>
      </c>
      <c r="C18" s="288">
        <f t="shared" si="8"/>
        <v>0</v>
      </c>
      <c r="D18" s="288">
        <f t="shared" si="8"/>
        <v>0</v>
      </c>
      <c r="E18" s="288">
        <f t="shared" si="8"/>
        <v>0</v>
      </c>
      <c r="F18" s="288">
        <f t="shared" si="8"/>
        <v>0</v>
      </c>
      <c r="G18" s="289">
        <f t="shared" si="2"/>
        <v>0</v>
      </c>
      <c r="H18" s="290"/>
      <c r="I18" s="290"/>
      <c r="J18" s="290"/>
      <c r="K18" s="286"/>
      <c r="L18" s="286"/>
    </row>
    <row r="19" spans="1:16" ht="22.05" customHeight="1" x14ac:dyDescent="0.3">
      <c r="A19" s="287" t="s">
        <v>202</v>
      </c>
      <c r="B19" s="288">
        <f t="shared" si="9"/>
        <v>30309.779855000001</v>
      </c>
      <c r="C19" s="288">
        <f t="shared" si="8"/>
        <v>73924.355700999993</v>
      </c>
      <c r="D19" s="288">
        <f t="shared" si="8"/>
        <v>10652.566667000001</v>
      </c>
      <c r="E19" s="288">
        <f t="shared" si="8"/>
        <v>93501.950191999989</v>
      </c>
      <c r="F19" s="288">
        <f t="shared" si="8"/>
        <v>62485.689197</v>
      </c>
      <c r="G19" s="289">
        <f t="shared" si="2"/>
        <v>208388.65241499999</v>
      </c>
      <c r="H19" s="290">
        <v>303097798.55000001</v>
      </c>
      <c r="I19" s="290">
        <v>739243557.00999999</v>
      </c>
      <c r="J19" s="290">
        <v>106525666.67</v>
      </c>
      <c r="K19" s="290">
        <v>935019501.91999996</v>
      </c>
      <c r="L19" s="286">
        <v>624856891.97000003</v>
      </c>
    </row>
    <row r="20" spans="1:16" ht="22.05" customHeight="1" x14ac:dyDescent="0.3">
      <c r="A20" s="279" t="s">
        <v>203</v>
      </c>
      <c r="B20" s="283">
        <f>SUM(B15:B19)</f>
        <v>37027.761438000001</v>
      </c>
      <c r="C20" s="283">
        <f t="shared" ref="C20:F20" si="10">SUM(C15:C19)</f>
        <v>103290.34239599999</v>
      </c>
      <c r="D20" s="283">
        <f t="shared" si="10"/>
        <v>50833.020309</v>
      </c>
      <c r="E20" s="283">
        <f t="shared" si="10"/>
        <v>116082.143308</v>
      </c>
      <c r="F20" s="283">
        <f t="shared" si="10"/>
        <v>62485.689197</v>
      </c>
      <c r="G20" s="289">
        <f t="shared" si="2"/>
        <v>307233.26745099999</v>
      </c>
      <c r="H20" s="290">
        <v>370277614.38</v>
      </c>
      <c r="I20" s="290">
        <v>1032903423.96</v>
      </c>
      <c r="J20" s="290">
        <v>508330203.08999997</v>
      </c>
      <c r="K20" s="290">
        <v>1160921433.0799999</v>
      </c>
      <c r="L20" s="286">
        <v>624856891.97000003</v>
      </c>
      <c r="M20" s="295"/>
      <c r="N20" s="295"/>
      <c r="O20" s="295"/>
      <c r="P20" s="295"/>
    </row>
    <row r="21" spans="1:16" ht="22.05" customHeight="1" x14ac:dyDescent="0.3">
      <c r="A21" s="287" t="s">
        <v>204</v>
      </c>
      <c r="B21" s="288">
        <f>H21/$A$1</f>
        <v>211.90655699999999</v>
      </c>
      <c r="C21" s="288">
        <f t="shared" ref="C21:F25" si="11">I21/$A$1</f>
        <v>12071.777586</v>
      </c>
      <c r="D21" s="288">
        <f t="shared" si="11"/>
        <v>46429.940762999999</v>
      </c>
      <c r="E21" s="288">
        <f t="shared" si="11"/>
        <v>6419.8802750000004</v>
      </c>
      <c r="F21" s="288">
        <f t="shared" si="11"/>
        <v>11395.273181999999</v>
      </c>
      <c r="G21" s="289">
        <f t="shared" si="2"/>
        <v>65133.505181</v>
      </c>
      <c r="H21" s="290">
        <v>2119065.5699999998</v>
      </c>
      <c r="I21" s="290">
        <v>120717775.86</v>
      </c>
      <c r="J21" s="290">
        <v>464299407.63</v>
      </c>
      <c r="K21" s="290">
        <v>64198802.75</v>
      </c>
      <c r="L21" s="286">
        <v>113952731.81999999</v>
      </c>
    </row>
    <row r="22" spans="1:16" ht="22.05" customHeight="1" x14ac:dyDescent="0.3">
      <c r="A22" s="287" t="s">
        <v>205</v>
      </c>
      <c r="B22" s="288">
        <f t="shared" ref="B22:B25" si="12">H22/$A$1</f>
        <v>12998</v>
      </c>
      <c r="C22" s="288">
        <f t="shared" si="11"/>
        <v>0</v>
      </c>
      <c r="D22" s="288">
        <f t="shared" si="11"/>
        <v>34073.245780000005</v>
      </c>
      <c r="E22" s="288">
        <f t="shared" si="11"/>
        <v>6419.8802750000004</v>
      </c>
      <c r="F22" s="288">
        <f t="shared" si="11"/>
        <v>14530.73</v>
      </c>
      <c r="G22" s="289">
        <f t="shared" si="2"/>
        <v>53491.126055000008</v>
      </c>
      <c r="H22" s="290">
        <v>129980000</v>
      </c>
      <c r="I22" s="290"/>
      <c r="J22" s="290">
        <v>340732457.80000001</v>
      </c>
      <c r="K22" s="290">
        <v>64198802.75</v>
      </c>
      <c r="L22" s="286">
        <v>145307300</v>
      </c>
    </row>
    <row r="23" spans="1:16" ht="22.05" customHeight="1" x14ac:dyDescent="0.3">
      <c r="A23" s="287" t="s">
        <v>206</v>
      </c>
      <c r="B23" s="288"/>
      <c r="C23" s="288">
        <f t="shared" si="11"/>
        <v>0</v>
      </c>
      <c r="D23" s="288">
        <f t="shared" si="11"/>
        <v>0</v>
      </c>
      <c r="E23" s="288">
        <f t="shared" si="11"/>
        <v>0</v>
      </c>
      <c r="F23" s="288">
        <f t="shared" si="11"/>
        <v>0</v>
      </c>
      <c r="G23" s="289">
        <f t="shared" si="2"/>
        <v>0</v>
      </c>
      <c r="H23" s="290"/>
      <c r="I23" s="286"/>
      <c r="J23" s="286"/>
      <c r="K23" s="286"/>
      <c r="L23" s="286"/>
    </row>
    <row r="24" spans="1:16" ht="22.05" customHeight="1" x14ac:dyDescent="0.3">
      <c r="A24" s="287" t="s">
        <v>207</v>
      </c>
      <c r="B24" s="288">
        <f t="shared" si="12"/>
        <v>0</v>
      </c>
      <c r="C24" s="288">
        <f t="shared" si="11"/>
        <v>0</v>
      </c>
      <c r="D24" s="288">
        <f t="shared" si="11"/>
        <v>0</v>
      </c>
      <c r="E24" s="288">
        <f t="shared" si="11"/>
        <v>0</v>
      </c>
      <c r="F24" s="288">
        <f t="shared" si="11"/>
        <v>0</v>
      </c>
      <c r="G24" s="289">
        <f t="shared" si="2"/>
        <v>0</v>
      </c>
      <c r="H24" s="290"/>
      <c r="I24" s="286"/>
      <c r="J24" s="286"/>
      <c r="K24" s="286"/>
      <c r="L24" s="286"/>
    </row>
    <row r="25" spans="1:16" ht="22.05" customHeight="1" x14ac:dyDescent="0.3">
      <c r="A25" s="287" t="s">
        <v>208</v>
      </c>
      <c r="B25" s="288">
        <f t="shared" si="12"/>
        <v>133979.38265499999</v>
      </c>
      <c r="C25" s="288">
        <f t="shared" si="11"/>
        <v>148374.617734</v>
      </c>
      <c r="D25" s="288">
        <f t="shared" si="11"/>
        <v>390259.29389099998</v>
      </c>
      <c r="E25" s="288">
        <f t="shared" si="11"/>
        <v>190665.82493900001</v>
      </c>
      <c r="F25" s="288">
        <f t="shared" si="11"/>
        <v>380212.93780000001</v>
      </c>
      <c r="G25" s="289">
        <f t="shared" si="2"/>
        <v>863279.11921899999</v>
      </c>
      <c r="H25" s="290">
        <v>1339793826.55</v>
      </c>
      <c r="I25" s="290">
        <v>1483746177.3399999</v>
      </c>
      <c r="J25" s="290">
        <v>3902592938.9099998</v>
      </c>
      <c r="K25" s="290">
        <v>1906658249.3900001</v>
      </c>
      <c r="L25" s="286">
        <v>3802129378</v>
      </c>
    </row>
    <row r="26" spans="1:16" ht="22.05" customHeight="1" x14ac:dyDescent="0.3">
      <c r="A26" s="279" t="s">
        <v>209</v>
      </c>
      <c r="B26" s="283">
        <f>SUM(B21:B25)</f>
        <v>147189.289212</v>
      </c>
      <c r="C26" s="283">
        <f t="shared" ref="C26:F26" si="13">SUM(C21:C25)</f>
        <v>160446.39532000001</v>
      </c>
      <c r="D26" s="283">
        <f t="shared" si="13"/>
        <v>470762.48043399997</v>
      </c>
      <c r="E26" s="283">
        <f t="shared" si="13"/>
        <v>203505.58548900002</v>
      </c>
      <c r="F26" s="283">
        <f t="shared" si="13"/>
        <v>406138.94098200003</v>
      </c>
      <c r="G26" s="289">
        <f t="shared" si="2"/>
        <v>981903.75045499997</v>
      </c>
      <c r="H26" s="290">
        <v>1471892892.1199999</v>
      </c>
      <c r="I26" s="290">
        <v>1604463953.2</v>
      </c>
      <c r="J26" s="290">
        <v>4707624804.3400002</v>
      </c>
      <c r="K26" s="290">
        <v>2610820652.1399999</v>
      </c>
      <c r="L26" s="286">
        <v>4061389409.8200002</v>
      </c>
      <c r="M26" s="295"/>
      <c r="N26" s="295"/>
      <c r="O26" s="295"/>
      <c r="P26" s="295"/>
    </row>
    <row r="27" spans="1:16" ht="22.05" customHeight="1" x14ac:dyDescent="0.3">
      <c r="A27" s="279" t="s">
        <v>210</v>
      </c>
      <c r="B27" s="283">
        <f>B20-B26</f>
        <v>-110161.527774</v>
      </c>
      <c r="C27" s="283">
        <f t="shared" ref="C27:F27" si="14">C20-C26</f>
        <v>-57156.052924000018</v>
      </c>
      <c r="D27" s="280">
        <f t="shared" si="14"/>
        <v>-419929.46012499998</v>
      </c>
      <c r="E27" s="283">
        <f t="shared" si="14"/>
        <v>-87423.44218100002</v>
      </c>
      <c r="F27" s="283">
        <f t="shared" si="14"/>
        <v>-343653.25178500003</v>
      </c>
      <c r="G27" s="289">
        <f t="shared" si="2"/>
        <v>-674670.48300400004</v>
      </c>
      <c r="H27" s="290">
        <v>-1101615277.74</v>
      </c>
      <c r="I27" s="290">
        <v>-571560529.24000001</v>
      </c>
      <c r="J27" s="290">
        <v>-4199294601.25</v>
      </c>
      <c r="K27" s="290">
        <v>-1449999219.0599999</v>
      </c>
      <c r="L27" s="286">
        <v>-3436532517.8499999</v>
      </c>
      <c r="M27" s="294"/>
      <c r="N27" s="294"/>
      <c r="O27" s="294"/>
      <c r="P27" s="294"/>
    </row>
    <row r="28" spans="1:16" ht="22.05" customHeight="1" x14ac:dyDescent="0.3">
      <c r="A28" s="282" t="s">
        <v>211</v>
      </c>
      <c r="B28" s="291"/>
      <c r="C28" s="291"/>
      <c r="D28" s="292"/>
      <c r="E28" s="292"/>
      <c r="F28" s="292"/>
      <c r="G28" s="289"/>
      <c r="H28" s="290"/>
      <c r="I28" s="286"/>
      <c r="J28" s="286"/>
      <c r="K28" s="286"/>
      <c r="L28" s="286"/>
    </row>
    <row r="29" spans="1:16" ht="22.05" customHeight="1" x14ac:dyDescent="0.3">
      <c r="A29" s="287" t="s">
        <v>212</v>
      </c>
      <c r="B29" s="288">
        <f>H29/$A$1</f>
        <v>0</v>
      </c>
      <c r="C29" s="288">
        <f t="shared" ref="C29:F29" si="15">I29/$A$1</f>
        <v>0</v>
      </c>
      <c r="D29" s="288">
        <f t="shared" si="15"/>
        <v>0</v>
      </c>
      <c r="E29" s="288">
        <f t="shared" si="15"/>
        <v>0</v>
      </c>
      <c r="F29" s="288">
        <f t="shared" si="15"/>
        <v>0</v>
      </c>
      <c r="G29" s="289">
        <f t="shared" si="2"/>
        <v>0</v>
      </c>
      <c r="H29" s="290"/>
      <c r="I29" s="290"/>
      <c r="J29" s="290"/>
      <c r="K29" s="290"/>
      <c r="L29" s="286"/>
    </row>
    <row r="30" spans="1:16" ht="22.05" customHeight="1" x14ac:dyDescent="0.3">
      <c r="A30" s="287" t="s">
        <v>213</v>
      </c>
      <c r="B30" s="288"/>
      <c r="C30" s="288"/>
      <c r="D30" s="288"/>
      <c r="E30" s="288"/>
      <c r="F30" s="288"/>
      <c r="G30" s="289">
        <f t="shared" si="2"/>
        <v>0</v>
      </c>
      <c r="H30" s="290"/>
      <c r="I30" s="286"/>
      <c r="J30" s="286"/>
      <c r="K30" s="286"/>
      <c r="L30" s="286"/>
    </row>
    <row r="31" spans="1:16" ht="22.05" customHeight="1" x14ac:dyDescent="0.3">
      <c r="A31" s="287" t="s">
        <v>214</v>
      </c>
      <c r="B31" s="288">
        <f t="shared" ref="B31:F33" si="16">H31/$A$1</f>
        <v>78445</v>
      </c>
      <c r="C31" s="288">
        <f t="shared" si="16"/>
        <v>102407</v>
      </c>
      <c r="D31" s="288">
        <f t="shared" si="16"/>
        <v>139130</v>
      </c>
      <c r="E31" s="288">
        <f t="shared" si="16"/>
        <v>526700</v>
      </c>
      <c r="F31" s="288">
        <f t="shared" si="16"/>
        <v>257421</v>
      </c>
      <c r="G31" s="289">
        <f t="shared" si="2"/>
        <v>846682</v>
      </c>
      <c r="H31" s="290">
        <v>784450000</v>
      </c>
      <c r="I31" s="290">
        <v>1024070000</v>
      </c>
      <c r="J31" s="290">
        <v>1391300000</v>
      </c>
      <c r="K31" s="290">
        <v>5267000000</v>
      </c>
      <c r="L31" s="286">
        <v>2574210000</v>
      </c>
    </row>
    <row r="32" spans="1:16" ht="22.05" customHeight="1" x14ac:dyDescent="0.3">
      <c r="A32" s="76" t="s">
        <v>215</v>
      </c>
      <c r="B32" s="288">
        <f t="shared" si="16"/>
        <v>598602.5177020001</v>
      </c>
      <c r="C32" s="288">
        <f t="shared" si="16"/>
        <v>349000</v>
      </c>
      <c r="D32" s="288">
        <f t="shared" si="16"/>
        <v>756500</v>
      </c>
      <c r="E32" s="288">
        <f t="shared" si="16"/>
        <v>686000</v>
      </c>
      <c r="F32" s="288">
        <f t="shared" si="16"/>
        <v>851563.38</v>
      </c>
      <c r="G32" s="289">
        <f t="shared" si="2"/>
        <v>2390102.5177020002</v>
      </c>
      <c r="H32" s="290">
        <v>5986025177.0200005</v>
      </c>
      <c r="I32" s="290">
        <v>3490000000</v>
      </c>
      <c r="J32" s="286">
        <v>7565000000</v>
      </c>
      <c r="K32" s="286">
        <v>6860000000</v>
      </c>
      <c r="L32" s="286">
        <v>8515633800</v>
      </c>
    </row>
    <row r="33" spans="1:16" ht="22.05" customHeight="1" x14ac:dyDescent="0.3">
      <c r="A33" s="287" t="s">
        <v>216</v>
      </c>
      <c r="B33" s="288">
        <f t="shared" si="16"/>
        <v>502034.71868900006</v>
      </c>
      <c r="C33" s="288">
        <f t="shared" si="16"/>
        <v>594595.42853599996</v>
      </c>
      <c r="D33" s="288">
        <f t="shared" si="16"/>
        <v>764563.90636400005</v>
      </c>
      <c r="E33" s="288">
        <f t="shared" si="16"/>
        <v>193420.70482899999</v>
      </c>
      <c r="F33" s="288">
        <f t="shared" si="16"/>
        <v>259935.967435</v>
      </c>
      <c r="G33" s="289">
        <f t="shared" si="2"/>
        <v>2054614.7584179998</v>
      </c>
      <c r="H33" s="290">
        <v>5020347186.8900003</v>
      </c>
      <c r="I33" s="290">
        <v>5945954285.3599997</v>
      </c>
      <c r="J33" s="290">
        <v>7645639063.6400003</v>
      </c>
      <c r="K33" s="290">
        <v>1934207048.29</v>
      </c>
      <c r="L33" s="286">
        <v>2599359674.3499999</v>
      </c>
    </row>
    <row r="34" spans="1:16" ht="22.05" customHeight="1" x14ac:dyDescent="0.3">
      <c r="A34" s="279" t="s">
        <v>217</v>
      </c>
      <c r="B34" s="283">
        <f>SUM(B29)+SUM(B31:B33)</f>
        <v>1179082.2363910002</v>
      </c>
      <c r="C34" s="283">
        <f>SUM(C29)+SUM(C31:C33)</f>
        <v>1046002.428536</v>
      </c>
      <c r="D34" s="283">
        <f t="shared" ref="D34:F34" si="17">SUM(D29)+SUM(D31:D33)</f>
        <v>1660193.9063639999</v>
      </c>
      <c r="E34" s="283">
        <f t="shared" si="17"/>
        <v>1406120.7048289999</v>
      </c>
      <c r="F34" s="283">
        <f t="shared" si="17"/>
        <v>1368920.3474349999</v>
      </c>
      <c r="G34" s="289">
        <f t="shared" si="2"/>
        <v>5291399.2761199996</v>
      </c>
      <c r="H34" s="290">
        <v>11790822363.91</v>
      </c>
      <c r="I34" s="290">
        <v>10460024285.360001</v>
      </c>
      <c r="J34" s="290">
        <v>16601939063.639999</v>
      </c>
      <c r="K34" s="290">
        <v>14061207048.290001</v>
      </c>
      <c r="L34" s="286">
        <v>13689203474.35</v>
      </c>
    </row>
    <row r="35" spans="1:16" ht="22.05" customHeight="1" x14ac:dyDescent="0.3">
      <c r="A35" s="287" t="s">
        <v>218</v>
      </c>
      <c r="B35" s="288">
        <f>H35/$A$1</f>
        <v>752592.76622600004</v>
      </c>
      <c r="C35" s="288">
        <f t="shared" ref="C35:F38" si="18">I35/$A$1</f>
        <v>506651.19231999997</v>
      </c>
      <c r="D35" s="288">
        <f t="shared" si="18"/>
        <v>1175866.0390089999</v>
      </c>
      <c r="E35" s="288">
        <f t="shared" si="18"/>
        <v>824712.53021899995</v>
      </c>
      <c r="F35" s="288">
        <f t="shared" si="18"/>
        <v>434500</v>
      </c>
      <c r="G35" s="289">
        <f t="shared" si="2"/>
        <v>3259822.5277739996</v>
      </c>
      <c r="H35" s="290">
        <v>7525927662.2600002</v>
      </c>
      <c r="I35" s="290">
        <v>5066511923.1999998</v>
      </c>
      <c r="J35" s="290">
        <v>11758660390.09</v>
      </c>
      <c r="K35" s="290">
        <v>8247125302.1899996</v>
      </c>
      <c r="L35" s="286">
        <v>4345000000</v>
      </c>
    </row>
    <row r="36" spans="1:16" ht="22.05" customHeight="1" x14ac:dyDescent="0.3">
      <c r="A36" s="287" t="s">
        <v>219</v>
      </c>
      <c r="B36" s="288">
        <f t="shared" ref="B36:B38" si="19">H36/$A$1</f>
        <v>139343.11134599999</v>
      </c>
      <c r="C36" s="288">
        <f t="shared" si="18"/>
        <v>161439.41723200001</v>
      </c>
      <c r="D36" s="288">
        <f t="shared" si="18"/>
        <v>187512.66076699999</v>
      </c>
      <c r="E36" s="288">
        <f t="shared" si="18"/>
        <v>176837.00043299998</v>
      </c>
      <c r="F36" s="288">
        <f t="shared" si="18"/>
        <v>109775.077278</v>
      </c>
      <c r="G36" s="289">
        <f t="shared" si="2"/>
        <v>665132.189778</v>
      </c>
      <c r="H36" s="290">
        <v>1393431113.46</v>
      </c>
      <c r="I36" s="290">
        <v>1614394172.3199999</v>
      </c>
      <c r="J36" s="290">
        <v>1875126607.6700001</v>
      </c>
      <c r="K36" s="290">
        <v>1768370004.3299999</v>
      </c>
      <c r="L36" s="286">
        <v>1097750772.78</v>
      </c>
    </row>
    <row r="37" spans="1:16" ht="22.05" customHeight="1" x14ac:dyDescent="0.3">
      <c r="A37" s="287" t="s">
        <v>220</v>
      </c>
      <c r="B37" s="288"/>
      <c r="C37" s="288"/>
      <c r="D37" s="288">
        <f t="shared" si="18"/>
        <v>0</v>
      </c>
      <c r="E37" s="288"/>
      <c r="F37" s="288"/>
      <c r="G37" s="289">
        <f t="shared" si="2"/>
        <v>0</v>
      </c>
      <c r="H37" s="290"/>
      <c r="I37" s="290"/>
      <c r="J37" s="286"/>
      <c r="K37" s="286"/>
      <c r="L37" s="286"/>
    </row>
    <row r="38" spans="1:16" ht="22.05" customHeight="1" x14ac:dyDescent="0.3">
      <c r="A38" s="287" t="s">
        <v>221</v>
      </c>
      <c r="B38" s="288">
        <f t="shared" si="19"/>
        <v>191396.25024300002</v>
      </c>
      <c r="C38" s="288">
        <f t="shared" si="18"/>
        <v>315555.78398100002</v>
      </c>
      <c r="D38" s="288">
        <f t="shared" si="18"/>
        <v>174609.27737600001</v>
      </c>
      <c r="E38" s="288">
        <f t="shared" si="18"/>
        <v>254486.70684899998</v>
      </c>
      <c r="F38" s="288">
        <f t="shared" si="18"/>
        <v>167935.813929</v>
      </c>
      <c r="G38" s="289">
        <f t="shared" si="2"/>
        <v>936048.01844900008</v>
      </c>
      <c r="H38" s="290">
        <v>1913962502.4300001</v>
      </c>
      <c r="I38" s="290">
        <v>3155557839.8099999</v>
      </c>
      <c r="J38" s="290">
        <v>1746092773.76</v>
      </c>
      <c r="K38" s="290">
        <v>2544867068.4899998</v>
      </c>
      <c r="L38" s="286">
        <v>1679358139.29</v>
      </c>
    </row>
    <row r="39" spans="1:16" ht="22.05" customHeight="1" x14ac:dyDescent="0.3">
      <c r="A39" s="279" t="s">
        <v>222</v>
      </c>
      <c r="B39" s="283">
        <f>SUM(B35:B38)</f>
        <v>1083332.127815</v>
      </c>
      <c r="C39" s="283">
        <f t="shared" ref="C39:F39" si="20">SUM(C35:C38)</f>
        <v>983646.39353300002</v>
      </c>
      <c r="D39" s="280">
        <f>SUM(D35:D36)+SUM(D38)</f>
        <v>1537987.9771519999</v>
      </c>
      <c r="E39" s="283">
        <f t="shared" si="20"/>
        <v>1256036.2375009998</v>
      </c>
      <c r="F39" s="283">
        <f t="shared" si="20"/>
        <v>712210.89120700001</v>
      </c>
      <c r="G39" s="289">
        <f t="shared" si="2"/>
        <v>4861002.7360009998</v>
      </c>
      <c r="H39" s="290">
        <v>10833321278.15</v>
      </c>
      <c r="I39" s="290">
        <v>9836463935.3299999</v>
      </c>
      <c r="J39" s="290">
        <v>15379879771.52</v>
      </c>
      <c r="K39" s="290">
        <v>12560362375.01</v>
      </c>
      <c r="L39" s="286">
        <v>7122108912.0699997</v>
      </c>
      <c r="M39" s="295"/>
      <c r="N39" s="295"/>
      <c r="O39" s="295"/>
      <c r="P39" s="295"/>
    </row>
    <row r="40" spans="1:16" ht="22.05" customHeight="1" x14ac:dyDescent="0.3">
      <c r="A40" s="279" t="s">
        <v>223</v>
      </c>
      <c r="B40" s="283">
        <f>B34-B39</f>
        <v>95750.108576000202</v>
      </c>
      <c r="C40" s="283">
        <f t="shared" ref="C40:F40" si="21">C34-C39</f>
        <v>62356.035002999939</v>
      </c>
      <c r="D40" s="280">
        <f t="shared" si="21"/>
        <v>122205.92921199999</v>
      </c>
      <c r="E40" s="283">
        <f t="shared" si="21"/>
        <v>150084.46732800012</v>
      </c>
      <c r="F40" s="283">
        <f t="shared" si="21"/>
        <v>656709.45622799988</v>
      </c>
      <c r="G40" s="289">
        <f t="shared" si="2"/>
        <v>430396.54011900024</v>
      </c>
      <c r="H40" s="290">
        <v>957501085.75999999</v>
      </c>
      <c r="I40" s="290">
        <v>623560350.02999997</v>
      </c>
      <c r="J40" s="290">
        <v>1222059292.1199999</v>
      </c>
      <c r="K40" s="290">
        <v>1500844673.28</v>
      </c>
      <c r="L40" s="286">
        <v>6567094562.2799997</v>
      </c>
      <c r="M40" s="294"/>
      <c r="N40" s="294"/>
      <c r="O40" s="294"/>
      <c r="P40" s="294"/>
    </row>
    <row r="41" spans="1:16" ht="22.05" customHeight="1" x14ac:dyDescent="0.3">
      <c r="A41" s="293" t="s">
        <v>224</v>
      </c>
      <c r="B41" s="284">
        <f>H41/$A$1</f>
        <v>0</v>
      </c>
      <c r="C41" s="284">
        <f t="shared" ref="C41:F41" si="22">I41/$A$1</f>
        <v>0</v>
      </c>
      <c r="D41" s="29">
        <f t="shared" si="22"/>
        <v>0</v>
      </c>
      <c r="E41" s="284">
        <f t="shared" si="22"/>
        <v>0</v>
      </c>
      <c r="F41" s="284">
        <f t="shared" si="22"/>
        <v>0</v>
      </c>
      <c r="G41" s="289">
        <f t="shared" si="2"/>
        <v>0</v>
      </c>
      <c r="H41" s="290"/>
      <c r="I41" s="290"/>
      <c r="J41" s="286"/>
      <c r="K41" s="286"/>
      <c r="L41" s="286"/>
    </row>
    <row r="42" spans="1:16" ht="22.05" customHeight="1" x14ac:dyDescent="0.3">
      <c r="A42" s="293" t="s">
        <v>225</v>
      </c>
      <c r="B42" s="283">
        <f>B13+B27+B40+B41</f>
        <v>-12903.792413999807</v>
      </c>
      <c r="C42" s="283">
        <f t="shared" ref="C42:F42" si="23">C13+C27+C40+C41</f>
        <v>40290.23160299992</v>
      </c>
      <c r="D42" s="280">
        <f t="shared" si="23"/>
        <v>-182054.101823</v>
      </c>
      <c r="E42" s="283">
        <f t="shared" si="23"/>
        <v>-18080.085198999906</v>
      </c>
      <c r="F42" s="283">
        <f t="shared" si="23"/>
        <v>219954.6511099998</v>
      </c>
      <c r="G42" s="289">
        <f t="shared" si="2"/>
        <v>-172747.7478329998</v>
      </c>
      <c r="H42" s="290">
        <v>-129037924.14</v>
      </c>
      <c r="I42" s="296">
        <v>402902316.02999997</v>
      </c>
      <c r="J42" s="290" t="s">
        <v>258</v>
      </c>
      <c r="K42" s="290">
        <v>-756565649.24000001</v>
      </c>
      <c r="L42" s="286">
        <v>2199546511.0999999</v>
      </c>
    </row>
    <row r="43" spans="1:16" ht="22.05" customHeight="1" x14ac:dyDescent="0.3">
      <c r="A43" s="282" t="s">
        <v>226</v>
      </c>
      <c r="B43" s="292">
        <f>H43/$A$1</f>
        <v>114566.06864200001</v>
      </c>
      <c r="C43" s="292">
        <f t="shared" ref="C43:F43" si="24">I43/$A$1</f>
        <v>74275.837039000005</v>
      </c>
      <c r="D43" s="34">
        <f t="shared" si="24"/>
        <v>256329.93886199998</v>
      </c>
      <c r="E43" s="292">
        <f t="shared" si="24"/>
        <v>331986.50378600002</v>
      </c>
      <c r="F43" s="292">
        <f t="shared" si="24"/>
        <v>112031.85267599999</v>
      </c>
      <c r="G43" s="289">
        <f t="shared" si="2"/>
        <v>777158.34832899994</v>
      </c>
      <c r="H43" s="290">
        <v>1145660686.4200001</v>
      </c>
      <c r="I43" s="290">
        <v>742758370.38999999</v>
      </c>
      <c r="J43" s="290">
        <v>2563299388.6199999</v>
      </c>
      <c r="K43" s="290">
        <v>3319865037.8600001</v>
      </c>
      <c r="L43" s="286">
        <v>1120318526.76</v>
      </c>
    </row>
    <row r="44" spans="1:16" ht="22.05" customHeight="1" x14ac:dyDescent="0.3">
      <c r="A44" s="293" t="s">
        <v>227</v>
      </c>
      <c r="B44" s="283">
        <f>B42+B43</f>
        <v>101662.27622800021</v>
      </c>
      <c r="C44" s="283">
        <f t="shared" ref="C44:F44" si="25">C42+C43</f>
        <v>114566.06864199993</v>
      </c>
      <c r="D44" s="280">
        <f t="shared" si="25"/>
        <v>74275.837038999976</v>
      </c>
      <c r="E44" s="283">
        <f t="shared" si="25"/>
        <v>313906.41858700011</v>
      </c>
      <c r="F44" s="283">
        <f t="shared" si="25"/>
        <v>331986.50378599978</v>
      </c>
      <c r="G44" s="289">
        <f t="shared" si="2"/>
        <v>604410.60049600026</v>
      </c>
      <c r="H44" s="290">
        <v>1016622762.28</v>
      </c>
      <c r="I44" s="290">
        <v>1145660686.4200001</v>
      </c>
      <c r="J44" s="290">
        <v>742758370.38999999</v>
      </c>
      <c r="K44" s="290">
        <v>2563299388.6199999</v>
      </c>
      <c r="L44" s="286">
        <v>3319865037.8600001</v>
      </c>
    </row>
    <row r="45" spans="1:16" ht="22.05" customHeight="1" x14ac:dyDescent="0.3">
      <c r="A45" s="419" t="s">
        <v>228</v>
      </c>
      <c r="B45" s="420"/>
      <c r="C45" s="420"/>
      <c r="D45" s="420"/>
      <c r="E45" s="420"/>
      <c r="F45" s="421"/>
      <c r="G45" s="289">
        <f t="shared" si="2"/>
        <v>0</v>
      </c>
      <c r="H45" s="286"/>
      <c r="I45" s="286"/>
      <c r="J45" s="286"/>
      <c r="K45" s="286"/>
      <c r="L45" s="286"/>
    </row>
    <row r="46" spans="1:16" ht="22.05" customHeight="1" x14ac:dyDescent="0.3">
      <c r="H46" s="80"/>
      <c r="I46" s="80"/>
      <c r="J46" s="80"/>
      <c r="K46" s="80"/>
      <c r="L46" s="80"/>
    </row>
    <row r="47" spans="1:16" ht="22.05" customHeight="1" x14ac:dyDescent="0.3">
      <c r="H47" s="80"/>
      <c r="I47" s="80"/>
      <c r="J47" s="80"/>
      <c r="K47" s="80"/>
      <c r="L47" s="80"/>
    </row>
    <row r="48" spans="1:16" ht="22.05" customHeight="1" x14ac:dyDescent="0.3">
      <c r="H48" s="80"/>
      <c r="I48" s="80"/>
      <c r="J48" s="80"/>
      <c r="K48" s="80"/>
      <c r="L48" s="80"/>
    </row>
  </sheetData>
  <mergeCells count="3">
    <mergeCell ref="B1:F1"/>
    <mergeCell ref="H1:L1"/>
    <mergeCell ref="A45:F45"/>
  </mergeCells>
  <phoneticPr fontId="41" type="noConversion"/>
  <pageMargins left="0.7" right="0.7" top="0.75" bottom="0.75" header="0.3" footer="0.3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99"/>
  <sheetViews>
    <sheetView workbookViewId="0">
      <selection activeCell="B4" sqref="B4"/>
    </sheetView>
  </sheetViews>
  <sheetFormatPr defaultColWidth="13.53125" defaultRowHeight="12.75" x14ac:dyDescent="0.3"/>
  <cols>
    <col min="1" max="1" width="34" style="2" customWidth="1"/>
    <col min="2" max="5" width="14.3984375" style="2" customWidth="1"/>
    <col min="6" max="6" width="15.1328125" style="2" customWidth="1"/>
    <col min="7" max="16384" width="13.53125" style="2"/>
  </cols>
  <sheetData>
    <row r="1" spans="1:9" x14ac:dyDescent="0.3">
      <c r="A1" s="2" t="s">
        <v>259</v>
      </c>
    </row>
    <row r="2" spans="1:9" x14ac:dyDescent="0.3">
      <c r="A2" s="2" t="s">
        <v>260</v>
      </c>
      <c r="B2" s="41">
        <v>83574.86</v>
      </c>
    </row>
    <row r="3" spans="1:9" ht="13.5" x14ac:dyDescent="0.3">
      <c r="A3" s="6" t="s">
        <v>261</v>
      </c>
      <c r="B3" s="7" t="s">
        <v>262</v>
      </c>
      <c r="C3" s="7" t="s">
        <v>263</v>
      </c>
      <c r="D3" s="7" t="s">
        <v>264</v>
      </c>
      <c r="E3" s="7" t="s">
        <v>265</v>
      </c>
      <c r="F3" s="7" t="s">
        <v>266</v>
      </c>
      <c r="G3" s="7"/>
      <c r="H3" s="7"/>
    </row>
    <row r="4" spans="1:9" ht="13.5" x14ac:dyDescent="0.3">
      <c r="A4" s="7" t="s">
        <v>267</v>
      </c>
      <c r="B4" s="276">
        <f>$B$2/3</f>
        <v>27858.286666666667</v>
      </c>
      <c r="C4" s="276">
        <f t="shared" ref="C4:H8" si="0">$B$2/3</f>
        <v>27858.286666666667</v>
      </c>
      <c r="D4" s="276">
        <f t="shared" si="0"/>
        <v>27858.286666666667</v>
      </c>
      <c r="E4" s="276">
        <v>0</v>
      </c>
      <c r="F4" s="276">
        <v>0</v>
      </c>
      <c r="G4" s="276"/>
      <c r="H4" s="276"/>
      <c r="I4" s="277"/>
    </row>
    <row r="5" spans="1:9" ht="13.5" x14ac:dyDescent="0.3">
      <c r="A5" s="7" t="s">
        <v>268</v>
      </c>
      <c r="B5" s="276">
        <v>0</v>
      </c>
      <c r="C5" s="276">
        <f>$B$2/3</f>
        <v>27858.286666666667</v>
      </c>
      <c r="D5" s="276">
        <f t="shared" si="0"/>
        <v>27858.286666666667</v>
      </c>
      <c r="E5" s="276">
        <f t="shared" si="0"/>
        <v>27858.286666666667</v>
      </c>
      <c r="F5" s="276">
        <v>0</v>
      </c>
      <c r="G5" s="276"/>
      <c r="H5" s="276"/>
    </row>
    <row r="6" spans="1:9" ht="13.5" x14ac:dyDescent="0.3">
      <c r="A6" s="7" t="s">
        <v>269</v>
      </c>
      <c r="B6" s="276">
        <v>0</v>
      </c>
      <c r="C6" s="276">
        <v>0</v>
      </c>
      <c r="D6" s="276">
        <f>$B$2/3</f>
        <v>27858.286666666667</v>
      </c>
      <c r="E6" s="276">
        <f t="shared" si="0"/>
        <v>27858.286666666667</v>
      </c>
      <c r="F6" s="276">
        <f t="shared" si="0"/>
        <v>27858.286666666667</v>
      </c>
      <c r="G6" s="276"/>
      <c r="H6" s="276"/>
    </row>
    <row r="7" spans="1:9" ht="13.5" x14ac:dyDescent="0.3">
      <c r="A7" s="7" t="s">
        <v>270</v>
      </c>
      <c r="B7" s="276">
        <v>0</v>
      </c>
      <c r="C7" s="276">
        <v>0</v>
      </c>
      <c r="D7" s="276">
        <v>0</v>
      </c>
      <c r="E7" s="276">
        <f>$B$2/3</f>
        <v>27858.286666666667</v>
      </c>
      <c r="F7" s="276">
        <f t="shared" si="0"/>
        <v>27858.286666666667</v>
      </c>
      <c r="G7" s="276">
        <f t="shared" si="0"/>
        <v>27858.286666666667</v>
      </c>
      <c r="H7" s="276"/>
    </row>
    <row r="8" spans="1:9" ht="13.5" x14ac:dyDescent="0.3">
      <c r="A8" s="7" t="s">
        <v>271</v>
      </c>
      <c r="B8" s="276">
        <v>0</v>
      </c>
      <c r="C8" s="276">
        <v>0</v>
      </c>
      <c r="D8" s="276">
        <v>0</v>
      </c>
      <c r="E8" s="276">
        <v>0</v>
      </c>
      <c r="F8" s="276">
        <f>$B$2/3</f>
        <v>27858.286666666667</v>
      </c>
      <c r="G8" s="276">
        <f t="shared" si="0"/>
        <v>27858.286666666667</v>
      </c>
      <c r="H8" s="276">
        <f t="shared" si="0"/>
        <v>27858.286666666667</v>
      </c>
    </row>
    <row r="9" spans="1:9" ht="13.15" x14ac:dyDescent="0.3">
      <c r="A9" s="6" t="s">
        <v>272</v>
      </c>
      <c r="B9" s="276">
        <f>SUM(B4:B8)</f>
        <v>27858.286666666667</v>
      </c>
      <c r="C9" s="276">
        <f t="shared" ref="C9:H9" si="1">SUM(C4:C8)</f>
        <v>55716.573333333334</v>
      </c>
      <c r="D9" s="276">
        <f t="shared" si="1"/>
        <v>83574.86</v>
      </c>
      <c r="E9" s="276">
        <f t="shared" si="1"/>
        <v>83574.86</v>
      </c>
      <c r="F9" s="276">
        <f t="shared" si="1"/>
        <v>83574.86</v>
      </c>
      <c r="G9" s="276">
        <f t="shared" si="1"/>
        <v>55716.573333333334</v>
      </c>
      <c r="H9" s="276">
        <f t="shared" si="1"/>
        <v>27858.286666666667</v>
      </c>
    </row>
    <row r="13" spans="1:9" x14ac:dyDescent="0.3">
      <c r="A13" s="2" t="s">
        <v>273</v>
      </c>
    </row>
    <row r="14" spans="1:9" x14ac:dyDescent="0.3">
      <c r="A14" s="2" t="s">
        <v>260</v>
      </c>
      <c r="B14" s="41">
        <v>177915.01</v>
      </c>
    </row>
    <row r="15" spans="1:9" ht="13.5" x14ac:dyDescent="0.3">
      <c r="A15" s="6" t="s">
        <v>261</v>
      </c>
      <c r="B15" s="7" t="s">
        <v>262</v>
      </c>
      <c r="C15" s="7" t="s">
        <v>263</v>
      </c>
      <c r="D15" s="7" t="s">
        <v>264</v>
      </c>
      <c r="E15" s="7" t="s">
        <v>265</v>
      </c>
      <c r="F15" s="7" t="s">
        <v>266</v>
      </c>
      <c r="G15" s="7"/>
      <c r="H15" s="7"/>
    </row>
    <row r="16" spans="1:9" ht="13.5" x14ac:dyDescent="0.3">
      <c r="A16" s="7" t="s">
        <v>267</v>
      </c>
      <c r="B16" s="276">
        <f>B14</f>
        <v>177915.01</v>
      </c>
      <c r="C16" s="276">
        <v>0</v>
      </c>
      <c r="D16" s="276">
        <v>0</v>
      </c>
      <c r="E16" s="276">
        <v>0</v>
      </c>
      <c r="F16" s="276">
        <v>0</v>
      </c>
      <c r="G16" s="276"/>
      <c r="H16" s="276"/>
    </row>
    <row r="17" spans="1:8" ht="13.5" x14ac:dyDescent="0.3">
      <c r="A17" s="7" t="s">
        <v>268</v>
      </c>
      <c r="B17" s="276">
        <v>0</v>
      </c>
      <c r="C17" s="276">
        <f>B14</f>
        <v>177915.01</v>
      </c>
      <c r="D17" s="276">
        <v>0</v>
      </c>
      <c r="E17" s="276">
        <v>0</v>
      </c>
      <c r="F17" s="276">
        <v>0</v>
      </c>
      <c r="G17" s="276"/>
      <c r="H17" s="276"/>
    </row>
    <row r="18" spans="1:8" ht="13.5" x14ac:dyDescent="0.3">
      <c r="A18" s="7" t="s">
        <v>269</v>
      </c>
      <c r="B18" s="276">
        <v>0</v>
      </c>
      <c r="C18" s="276">
        <v>0</v>
      </c>
      <c r="D18" s="276">
        <f>B14</f>
        <v>177915.01</v>
      </c>
      <c r="E18" s="276">
        <v>0</v>
      </c>
      <c r="F18" s="276">
        <v>0</v>
      </c>
      <c r="G18" s="276"/>
      <c r="H18" s="276"/>
    </row>
    <row r="19" spans="1:8" ht="13.5" x14ac:dyDescent="0.3">
      <c r="A19" s="7" t="s">
        <v>270</v>
      </c>
      <c r="B19" s="276">
        <v>0</v>
      </c>
      <c r="C19" s="276">
        <v>0</v>
      </c>
      <c r="D19" s="276">
        <v>0</v>
      </c>
      <c r="E19" s="276">
        <f>B14</f>
        <v>177915.01</v>
      </c>
      <c r="F19" s="276">
        <v>0</v>
      </c>
      <c r="G19" s="276"/>
      <c r="H19" s="276"/>
    </row>
    <row r="20" spans="1:8" ht="13.5" x14ac:dyDescent="0.3">
      <c r="A20" s="7" t="s">
        <v>271</v>
      </c>
      <c r="B20" s="276">
        <v>0</v>
      </c>
      <c r="C20" s="276">
        <v>0</v>
      </c>
      <c r="D20" s="276">
        <v>0</v>
      </c>
      <c r="E20" s="276">
        <v>0</v>
      </c>
      <c r="F20" s="276">
        <f>B14</f>
        <v>177915.01</v>
      </c>
      <c r="G20" s="276"/>
      <c r="H20" s="276"/>
    </row>
    <row r="21" spans="1:8" ht="13.15" x14ac:dyDescent="0.3">
      <c r="A21" s="6" t="s">
        <v>272</v>
      </c>
      <c r="B21" s="276">
        <f>SUM(B16:B20)</f>
        <v>177915.01</v>
      </c>
      <c r="C21" s="276">
        <f t="shared" ref="C21" si="2">SUM(C16:C20)</f>
        <v>177915.01</v>
      </c>
      <c r="D21" s="276">
        <f t="shared" ref="D21" si="3">SUM(D16:D20)</f>
        <v>177915.01</v>
      </c>
      <c r="E21" s="276">
        <f t="shared" ref="E21" si="4">SUM(E16:E20)</f>
        <v>177915.01</v>
      </c>
      <c r="F21" s="276">
        <f t="shared" ref="F21" si="5">SUM(F16:F20)</f>
        <v>177915.01</v>
      </c>
      <c r="G21" s="276"/>
      <c r="H21" s="276"/>
    </row>
    <row r="26" spans="1:8" x14ac:dyDescent="0.3">
      <c r="A26" s="2" t="s">
        <v>274</v>
      </c>
    </row>
    <row r="27" spans="1:8" x14ac:dyDescent="0.3">
      <c r="A27" s="2" t="s">
        <v>260</v>
      </c>
      <c r="B27" s="41">
        <v>33878.589999999997</v>
      </c>
    </row>
    <row r="28" spans="1:8" ht="13.5" x14ac:dyDescent="0.3">
      <c r="A28" s="6" t="s">
        <v>261</v>
      </c>
      <c r="B28" s="7" t="s">
        <v>262</v>
      </c>
      <c r="C28" s="7" t="s">
        <v>263</v>
      </c>
      <c r="D28" s="7" t="s">
        <v>264</v>
      </c>
      <c r="E28" s="7" t="s">
        <v>265</v>
      </c>
      <c r="F28" s="7" t="s">
        <v>266</v>
      </c>
    </row>
    <row r="29" spans="1:8" ht="13.5" x14ac:dyDescent="0.3">
      <c r="A29" s="7" t="s">
        <v>267</v>
      </c>
      <c r="B29" s="276">
        <f>B27</f>
        <v>33878.589999999997</v>
      </c>
      <c r="C29" s="276">
        <v>0</v>
      </c>
      <c r="D29" s="276">
        <v>0</v>
      </c>
      <c r="E29" s="276">
        <v>0</v>
      </c>
      <c r="F29" s="276">
        <v>0</v>
      </c>
    </row>
    <row r="30" spans="1:8" ht="13.5" x14ac:dyDescent="0.3">
      <c r="A30" s="7" t="s">
        <v>268</v>
      </c>
      <c r="B30" s="276">
        <v>0</v>
      </c>
      <c r="C30" s="276">
        <f>B27</f>
        <v>33878.589999999997</v>
      </c>
      <c r="D30" s="276">
        <v>0</v>
      </c>
      <c r="E30" s="276">
        <v>0</v>
      </c>
      <c r="F30" s="276">
        <v>0</v>
      </c>
    </row>
    <row r="31" spans="1:8" ht="13.5" x14ac:dyDescent="0.3">
      <c r="A31" s="7" t="s">
        <v>269</v>
      </c>
      <c r="B31" s="276">
        <v>0</v>
      </c>
      <c r="C31" s="276">
        <v>0</v>
      </c>
      <c r="D31" s="276">
        <f>B27</f>
        <v>33878.589999999997</v>
      </c>
      <c r="E31" s="276">
        <v>0</v>
      </c>
      <c r="F31" s="276">
        <v>0</v>
      </c>
    </row>
    <row r="32" spans="1:8" ht="13.5" x14ac:dyDescent="0.3">
      <c r="A32" s="7" t="s">
        <v>270</v>
      </c>
      <c r="B32" s="276">
        <v>0</v>
      </c>
      <c r="C32" s="276">
        <v>0</v>
      </c>
      <c r="D32" s="276">
        <v>0</v>
      </c>
      <c r="E32" s="276">
        <f>B27</f>
        <v>33878.589999999997</v>
      </c>
      <c r="F32" s="276">
        <v>0</v>
      </c>
    </row>
    <row r="33" spans="1:6" ht="13.5" x14ac:dyDescent="0.3">
      <c r="A33" s="7" t="s">
        <v>271</v>
      </c>
      <c r="B33" s="276">
        <v>0</v>
      </c>
      <c r="C33" s="276">
        <v>0</v>
      </c>
      <c r="D33" s="276">
        <v>0</v>
      </c>
      <c r="E33" s="276">
        <v>0</v>
      </c>
      <c r="F33" s="276">
        <f>B27</f>
        <v>33878.589999999997</v>
      </c>
    </row>
    <row r="34" spans="1:6" ht="13.15" x14ac:dyDescent="0.3">
      <c r="A34" s="6" t="s">
        <v>272</v>
      </c>
      <c r="B34" s="276">
        <f>SUM(B29:B33)</f>
        <v>33878.589999999997</v>
      </c>
      <c r="C34" s="276">
        <f t="shared" ref="C34" si="6">SUM(C29:C33)</f>
        <v>33878.589999999997</v>
      </c>
      <c r="D34" s="276">
        <f t="shared" ref="D34" si="7">SUM(D29:D33)</f>
        <v>33878.589999999997</v>
      </c>
      <c r="E34" s="276">
        <f t="shared" ref="E34" si="8">SUM(E29:E33)</f>
        <v>33878.589999999997</v>
      </c>
      <c r="F34" s="276">
        <f t="shared" ref="F34" si="9">SUM(F29:F33)</f>
        <v>33878.589999999997</v>
      </c>
    </row>
    <row r="38" spans="1:6" x14ac:dyDescent="0.3">
      <c r="A38" s="2" t="s">
        <v>275</v>
      </c>
    </row>
    <row r="39" spans="1:6" x14ac:dyDescent="0.3">
      <c r="A39" s="2" t="s">
        <v>260</v>
      </c>
      <c r="B39" s="41">
        <v>6752.14</v>
      </c>
    </row>
    <row r="40" spans="1:6" ht="13.5" x14ac:dyDescent="0.3">
      <c r="A40" s="6" t="s">
        <v>261</v>
      </c>
      <c r="B40" s="7" t="s">
        <v>262</v>
      </c>
      <c r="C40" s="7" t="s">
        <v>263</v>
      </c>
      <c r="D40" s="7" t="s">
        <v>264</v>
      </c>
      <c r="E40" s="7" t="s">
        <v>265</v>
      </c>
      <c r="F40" s="7" t="s">
        <v>266</v>
      </c>
    </row>
    <row r="41" spans="1:6" ht="13.5" x14ac:dyDescent="0.3">
      <c r="A41" s="7" t="s">
        <v>267</v>
      </c>
      <c r="B41" s="276">
        <f>B39</f>
        <v>6752.14</v>
      </c>
      <c r="C41" s="276">
        <v>0</v>
      </c>
      <c r="D41" s="276">
        <v>0</v>
      </c>
      <c r="E41" s="276">
        <v>0</v>
      </c>
      <c r="F41" s="276">
        <v>0</v>
      </c>
    </row>
    <row r="42" spans="1:6" ht="13.5" x14ac:dyDescent="0.3">
      <c r="A42" s="7" t="s">
        <v>268</v>
      </c>
      <c r="B42" s="276">
        <v>0</v>
      </c>
      <c r="C42" s="276">
        <f>B39</f>
        <v>6752.14</v>
      </c>
      <c r="D42" s="276">
        <v>0</v>
      </c>
      <c r="E42" s="276">
        <v>0</v>
      </c>
      <c r="F42" s="276">
        <v>0</v>
      </c>
    </row>
    <row r="43" spans="1:6" ht="13.5" x14ac:dyDescent="0.3">
      <c r="A43" s="7" t="s">
        <v>269</v>
      </c>
      <c r="B43" s="276">
        <v>0</v>
      </c>
      <c r="C43" s="276">
        <v>0</v>
      </c>
      <c r="D43" s="276">
        <f>B39</f>
        <v>6752.14</v>
      </c>
      <c r="E43" s="276">
        <v>0</v>
      </c>
      <c r="F43" s="276">
        <v>0</v>
      </c>
    </row>
    <row r="44" spans="1:6" ht="13.5" x14ac:dyDescent="0.3">
      <c r="A44" s="7" t="s">
        <v>270</v>
      </c>
      <c r="B44" s="276">
        <v>0</v>
      </c>
      <c r="C44" s="276">
        <v>0</v>
      </c>
      <c r="D44" s="276">
        <v>0</v>
      </c>
      <c r="E44" s="276">
        <f>B39</f>
        <v>6752.14</v>
      </c>
      <c r="F44" s="276">
        <v>0</v>
      </c>
    </row>
    <row r="45" spans="1:6" ht="13.5" x14ac:dyDescent="0.3">
      <c r="A45" s="7" t="s">
        <v>271</v>
      </c>
      <c r="B45" s="276">
        <v>0</v>
      </c>
      <c r="C45" s="276">
        <v>0</v>
      </c>
      <c r="D45" s="276">
        <v>0</v>
      </c>
      <c r="E45" s="276">
        <v>0</v>
      </c>
      <c r="F45" s="276">
        <f>B39</f>
        <v>6752.14</v>
      </c>
    </row>
    <row r="46" spans="1:6" ht="13.15" x14ac:dyDescent="0.3">
      <c r="A46" s="6" t="s">
        <v>272</v>
      </c>
      <c r="B46" s="276">
        <f>SUM(B41:B45)</f>
        <v>6752.14</v>
      </c>
      <c r="C46" s="276">
        <f t="shared" ref="C46" si="10">SUM(C41:C45)</f>
        <v>6752.14</v>
      </c>
      <c r="D46" s="276">
        <f t="shared" ref="D46" si="11">SUM(D41:D45)</f>
        <v>6752.14</v>
      </c>
      <c r="E46" s="276">
        <f t="shared" ref="E46" si="12">SUM(E41:E45)</f>
        <v>6752.14</v>
      </c>
      <c r="F46" s="276">
        <f t="shared" ref="F46" si="13">SUM(F41:F45)</f>
        <v>6752.14</v>
      </c>
    </row>
    <row r="48" spans="1:6" x14ac:dyDescent="0.3">
      <c r="A48" s="2" t="s">
        <v>276</v>
      </c>
    </row>
    <row r="49" spans="1:6" x14ac:dyDescent="0.3">
      <c r="A49" s="2" t="s">
        <v>277</v>
      </c>
      <c r="B49" s="2">
        <v>2022</v>
      </c>
      <c r="C49" s="2">
        <v>2023</v>
      </c>
      <c r="D49" s="2">
        <v>2024</v>
      </c>
      <c r="E49" s="2">
        <v>2025</v>
      </c>
      <c r="F49" s="2">
        <v>2026</v>
      </c>
    </row>
    <row r="50" spans="1:6" x14ac:dyDescent="0.3">
      <c r="A50" s="2" t="str">
        <f>A13</f>
        <v>粮食销售业务</v>
      </c>
      <c r="B50" s="41">
        <f>B21</f>
        <v>177915.01</v>
      </c>
      <c r="C50" s="41">
        <f t="shared" ref="C50:F50" si="14">C21</f>
        <v>177915.01</v>
      </c>
      <c r="D50" s="41">
        <f t="shared" si="14"/>
        <v>177915.01</v>
      </c>
      <c r="E50" s="41">
        <f t="shared" si="14"/>
        <v>177915.01</v>
      </c>
      <c r="F50" s="41">
        <f t="shared" si="14"/>
        <v>177915.01</v>
      </c>
    </row>
    <row r="51" spans="1:6" x14ac:dyDescent="0.3">
      <c r="A51" s="2" t="str">
        <f>A26</f>
        <v>保障房销售业务</v>
      </c>
      <c r="B51" s="41">
        <f>B34</f>
        <v>33878.589999999997</v>
      </c>
      <c r="C51" s="41">
        <f t="shared" ref="C51:F51" si="15">C34</f>
        <v>33878.589999999997</v>
      </c>
      <c r="D51" s="41">
        <f t="shared" si="15"/>
        <v>33878.589999999997</v>
      </c>
      <c r="E51" s="41">
        <f t="shared" si="15"/>
        <v>33878.589999999997</v>
      </c>
      <c r="F51" s="41">
        <f t="shared" si="15"/>
        <v>33878.589999999997</v>
      </c>
    </row>
    <row r="52" spans="1:6" x14ac:dyDescent="0.3">
      <c r="A52" s="2" t="str">
        <f>A1</f>
        <v>土地整理业务</v>
      </c>
      <c r="B52" s="41">
        <f>B9</f>
        <v>27858.286666666667</v>
      </c>
      <c r="C52" s="41">
        <f t="shared" ref="C52:F52" si="16">C9</f>
        <v>55716.573333333334</v>
      </c>
      <c r="D52" s="41">
        <f t="shared" si="16"/>
        <v>83574.86</v>
      </c>
      <c r="E52" s="41">
        <f t="shared" si="16"/>
        <v>83574.86</v>
      </c>
      <c r="F52" s="41">
        <f t="shared" si="16"/>
        <v>83574.86</v>
      </c>
    </row>
    <row r="53" spans="1:6" x14ac:dyDescent="0.3">
      <c r="A53" s="2" t="str">
        <f>A38</f>
        <v>水费收入</v>
      </c>
      <c r="B53" s="41">
        <f>B46</f>
        <v>6752.14</v>
      </c>
      <c r="C53" s="41">
        <f t="shared" ref="C53:F53" si="17">C46</f>
        <v>6752.14</v>
      </c>
      <c r="D53" s="41">
        <f t="shared" si="17"/>
        <v>6752.14</v>
      </c>
      <c r="E53" s="41">
        <f t="shared" si="17"/>
        <v>6752.14</v>
      </c>
      <c r="F53" s="41">
        <f t="shared" si="17"/>
        <v>6752.14</v>
      </c>
    </row>
    <row r="54" spans="1:6" x14ac:dyDescent="0.3">
      <c r="A54" s="2" t="s">
        <v>272</v>
      </c>
      <c r="B54" s="41">
        <f>SUM(B50:B53)</f>
        <v>246404.02666666667</v>
      </c>
      <c r="C54" s="41">
        <f t="shared" ref="C54:F54" si="18">SUM(C50:C53)</f>
        <v>274262.31333333335</v>
      </c>
      <c r="D54" s="41">
        <f t="shared" si="18"/>
        <v>302120.60000000003</v>
      </c>
      <c r="E54" s="41">
        <f t="shared" si="18"/>
        <v>302120.60000000003</v>
      </c>
      <c r="F54" s="41">
        <f t="shared" si="18"/>
        <v>302120.60000000003</v>
      </c>
    </row>
    <row r="56" spans="1:6" x14ac:dyDescent="0.3">
      <c r="A56" s="2" t="s">
        <v>189</v>
      </c>
    </row>
    <row r="57" spans="1:6" x14ac:dyDescent="0.3">
      <c r="A57" s="2" t="s">
        <v>278</v>
      </c>
      <c r="B57" s="2">
        <v>2022</v>
      </c>
      <c r="C57" s="2">
        <v>2023</v>
      </c>
      <c r="D57" s="2">
        <v>2024</v>
      </c>
      <c r="E57" s="2">
        <v>2025</v>
      </c>
      <c r="F57" s="2">
        <v>2026</v>
      </c>
    </row>
    <row r="58" spans="1:6" x14ac:dyDescent="0.3">
      <c r="A58" s="2" t="s">
        <v>189</v>
      </c>
      <c r="B58" s="277">
        <f>122022.98+70000</f>
        <v>192022.97999999998</v>
      </c>
      <c r="C58" s="277">
        <f t="shared" ref="C58:F58" si="19">122022.98+70000</f>
        <v>192022.97999999998</v>
      </c>
      <c r="D58" s="277">
        <f t="shared" si="19"/>
        <v>192022.97999999998</v>
      </c>
      <c r="E58" s="277">
        <f t="shared" si="19"/>
        <v>192022.97999999998</v>
      </c>
      <c r="F58" s="277">
        <f t="shared" si="19"/>
        <v>192022.97999999998</v>
      </c>
    </row>
    <row r="60" spans="1:6" x14ac:dyDescent="0.3">
      <c r="A60" s="2" t="s">
        <v>279</v>
      </c>
    </row>
    <row r="61" spans="1:6" x14ac:dyDescent="0.3">
      <c r="A61" s="2" t="s">
        <v>278</v>
      </c>
      <c r="B61" s="2">
        <v>2022</v>
      </c>
      <c r="C61" s="2">
        <v>2023</v>
      </c>
      <c r="D61" s="2">
        <v>2024</v>
      </c>
      <c r="E61" s="2">
        <v>2025</v>
      </c>
      <c r="F61" s="2">
        <v>2026</v>
      </c>
    </row>
    <row r="62" spans="1:6" x14ac:dyDescent="0.3">
      <c r="A62" s="2" t="s">
        <v>279</v>
      </c>
      <c r="B62" s="277">
        <f>'合并-cf'!C12*1.063</f>
        <v>350607.02670504595</v>
      </c>
      <c r="C62" s="277">
        <f>B62*1.063</f>
        <v>372695.26938746381</v>
      </c>
      <c r="D62" s="277">
        <f t="shared" ref="D62:F62" si="20">C62*1.063</f>
        <v>396175.07135887403</v>
      </c>
      <c r="E62" s="277">
        <f t="shared" si="20"/>
        <v>421134.10085448308</v>
      </c>
      <c r="F62" s="277">
        <f t="shared" si="20"/>
        <v>447665.5492083155</v>
      </c>
    </row>
    <row r="65" spans="1:6" x14ac:dyDescent="0.3">
      <c r="A65" s="2" t="s">
        <v>280</v>
      </c>
      <c r="B65" s="2">
        <v>2022</v>
      </c>
      <c r="C65" s="2">
        <v>2023</v>
      </c>
      <c r="D65" s="2">
        <v>2024</v>
      </c>
      <c r="E65" s="2">
        <v>2025</v>
      </c>
      <c r="F65" s="2">
        <v>2026</v>
      </c>
    </row>
    <row r="66" spans="1:6" x14ac:dyDescent="0.3">
      <c r="A66" s="2" t="str">
        <f>A48</f>
        <v>销售商品、提供劳务收到的现金流入</v>
      </c>
      <c r="B66" s="41">
        <f>B54</f>
        <v>246404.02666666667</v>
      </c>
      <c r="C66" s="41">
        <f t="shared" ref="C66:F66" si="21">C54</f>
        <v>274262.31333333335</v>
      </c>
      <c r="D66" s="41">
        <f t="shared" si="21"/>
        <v>302120.60000000003</v>
      </c>
      <c r="E66" s="41">
        <f t="shared" si="21"/>
        <v>302120.60000000003</v>
      </c>
      <c r="F66" s="41">
        <f t="shared" si="21"/>
        <v>302120.60000000003</v>
      </c>
    </row>
    <row r="67" spans="1:6" x14ac:dyDescent="0.3">
      <c r="A67" s="2" t="str">
        <f>A56</f>
        <v>收到其他与经营活动有关的现金</v>
      </c>
      <c r="B67" s="277">
        <f>B58</f>
        <v>192022.97999999998</v>
      </c>
      <c r="C67" s="277">
        <f t="shared" ref="C67:F67" si="22">C58</f>
        <v>192022.97999999998</v>
      </c>
      <c r="D67" s="277">
        <f t="shared" si="22"/>
        <v>192022.97999999998</v>
      </c>
      <c r="E67" s="277">
        <f t="shared" si="22"/>
        <v>192022.97999999998</v>
      </c>
      <c r="F67" s="277">
        <f t="shared" si="22"/>
        <v>192022.97999999998</v>
      </c>
    </row>
    <row r="68" spans="1:6" x14ac:dyDescent="0.3">
      <c r="A68" s="2" t="str">
        <f>A60</f>
        <v>经营活动现金流出</v>
      </c>
      <c r="B68" s="277">
        <f>B62</f>
        <v>350607.02670504595</v>
      </c>
      <c r="C68" s="277">
        <f t="shared" ref="C68:F68" si="23">C62</f>
        <v>372695.26938746381</v>
      </c>
      <c r="D68" s="277">
        <f t="shared" si="23"/>
        <v>396175.07135887403</v>
      </c>
      <c r="E68" s="277">
        <f t="shared" si="23"/>
        <v>421134.10085448308</v>
      </c>
      <c r="F68" s="277">
        <f t="shared" si="23"/>
        <v>447665.5492083155</v>
      </c>
    </row>
    <row r="69" spans="1:6" x14ac:dyDescent="0.3">
      <c r="A69" s="2" t="s">
        <v>281</v>
      </c>
      <c r="B69" s="41">
        <f>B66+B67-B68</f>
        <v>87819.979961620702</v>
      </c>
      <c r="C69" s="41">
        <f t="shared" ref="C69:F69" si="24">C66+C67-C68</f>
        <v>93590.023945869529</v>
      </c>
      <c r="D69" s="41">
        <f t="shared" si="24"/>
        <v>97968.508641125984</v>
      </c>
      <c r="E69" s="41">
        <f t="shared" si="24"/>
        <v>73009.479145516932</v>
      </c>
      <c r="F69" s="41">
        <f t="shared" si="24"/>
        <v>46478.030791684519</v>
      </c>
    </row>
    <row r="72" spans="1:6" x14ac:dyDescent="0.3">
      <c r="A72" s="2" t="s">
        <v>278</v>
      </c>
      <c r="B72" s="2">
        <v>2022</v>
      </c>
      <c r="C72" s="2">
        <v>2023</v>
      </c>
      <c r="D72" s="2">
        <v>2024</v>
      </c>
      <c r="E72" s="2">
        <v>2025</v>
      </c>
      <c r="F72" s="2">
        <v>2026</v>
      </c>
    </row>
    <row r="73" spans="1:6" x14ac:dyDescent="0.3">
      <c r="A73" s="2" t="s">
        <v>282</v>
      </c>
      <c r="B73" s="277">
        <v>-203700.93</v>
      </c>
      <c r="C73" s="277">
        <v>-203700.93</v>
      </c>
      <c r="D73" s="277">
        <v>-203700.93</v>
      </c>
      <c r="E73" s="277">
        <v>-203700.93</v>
      </c>
      <c r="F73" s="277">
        <v>-203700.93</v>
      </c>
    </row>
    <row r="76" spans="1:6" x14ac:dyDescent="0.3">
      <c r="A76" s="2" t="s">
        <v>278</v>
      </c>
      <c r="B76" s="2">
        <v>2022</v>
      </c>
      <c r="C76" s="2">
        <v>2023</v>
      </c>
      <c r="D76" s="2">
        <v>2024</v>
      </c>
      <c r="E76" s="2">
        <v>2025</v>
      </c>
      <c r="F76" s="2">
        <v>2026</v>
      </c>
    </row>
    <row r="77" spans="1:6" x14ac:dyDescent="0.3">
      <c r="A77" s="2" t="s">
        <v>212</v>
      </c>
      <c r="B77" s="41">
        <v>0</v>
      </c>
      <c r="C77" s="41">
        <v>0</v>
      </c>
      <c r="D77" s="41">
        <v>0</v>
      </c>
      <c r="E77" s="41">
        <v>0</v>
      </c>
      <c r="F77" s="41">
        <v>0</v>
      </c>
    </row>
    <row r="78" spans="1:6" x14ac:dyDescent="0.3">
      <c r="A78" s="2" t="s">
        <v>214</v>
      </c>
      <c r="B78" s="41">
        <f>B80*1.2</f>
        <v>1451516.2440000002</v>
      </c>
      <c r="C78" s="41">
        <f>C80*1.2</f>
        <v>520847.04</v>
      </c>
      <c r="D78" s="41">
        <f t="shared" ref="D78:F78" si="25">D80*1.2</f>
        <v>244483.77600000001</v>
      </c>
      <c r="E78" s="41">
        <f t="shared" si="25"/>
        <v>480004.11599999998</v>
      </c>
      <c r="F78" s="41">
        <f t="shared" si="25"/>
        <v>408004.11599999998</v>
      </c>
    </row>
    <row r="79" spans="1:6" x14ac:dyDescent="0.3">
      <c r="A79" s="2" t="s">
        <v>216</v>
      </c>
      <c r="B79" s="41">
        <v>221093.69</v>
      </c>
      <c r="C79" s="41">
        <v>221093.69</v>
      </c>
      <c r="D79" s="41">
        <v>221093.69</v>
      </c>
      <c r="E79" s="41">
        <v>221093.69</v>
      </c>
      <c r="F79" s="41">
        <v>221093.69</v>
      </c>
    </row>
    <row r="80" spans="1:6" x14ac:dyDescent="0.3">
      <c r="A80" s="2" t="s">
        <v>218</v>
      </c>
      <c r="B80" s="41">
        <v>1209596.8700000001</v>
      </c>
      <c r="C80" s="41">
        <v>434039.2</v>
      </c>
      <c r="D80" s="41">
        <v>203736.48</v>
      </c>
      <c r="E80" s="41">
        <v>400003.43</v>
      </c>
      <c r="F80" s="41">
        <v>340003.43</v>
      </c>
    </row>
    <row r="81" spans="1:6" x14ac:dyDescent="0.3">
      <c r="A81" s="2" t="s">
        <v>219</v>
      </c>
      <c r="B81" s="41">
        <v>131401.96</v>
      </c>
      <c r="C81" s="41">
        <v>131401.96</v>
      </c>
      <c r="D81" s="41">
        <v>131401.96</v>
      </c>
      <c r="E81" s="41">
        <v>131401.96</v>
      </c>
      <c r="F81" s="41">
        <v>131401.96</v>
      </c>
    </row>
    <row r="82" spans="1:6" x14ac:dyDescent="0.3">
      <c r="A82" s="2" t="s">
        <v>221</v>
      </c>
      <c r="B82" s="41">
        <v>227433.61</v>
      </c>
      <c r="C82" s="41">
        <v>227433.61</v>
      </c>
      <c r="D82" s="41">
        <v>227433.61</v>
      </c>
      <c r="E82" s="41">
        <v>227433.61</v>
      </c>
      <c r="F82" s="41">
        <v>227433.61</v>
      </c>
    </row>
    <row r="83" spans="1:6" x14ac:dyDescent="0.3">
      <c r="A83" s="278" t="s">
        <v>283</v>
      </c>
      <c r="B83" s="41">
        <f>B78+B79-B80-B81-B82</f>
        <v>104177.49400000006</v>
      </c>
      <c r="C83" s="41">
        <f>C78+C79-C80-C81-C82</f>
        <v>-50934.040000000008</v>
      </c>
      <c r="D83" s="41">
        <f t="shared" ref="D83:F83" si="26">D78+D79-D80-D81-D82</f>
        <v>-96994.583999999973</v>
      </c>
      <c r="E83" s="41">
        <f t="shared" si="26"/>
        <v>-57741.193999999989</v>
      </c>
      <c r="F83" s="41">
        <f t="shared" si="26"/>
        <v>-69741.193999999989</v>
      </c>
    </row>
    <row r="85" spans="1:6" x14ac:dyDescent="0.3">
      <c r="A85" s="2" t="s">
        <v>278</v>
      </c>
      <c r="B85" s="2">
        <v>2022</v>
      </c>
      <c r="C85" s="2">
        <v>2023</v>
      </c>
      <c r="D85" s="2">
        <v>2024</v>
      </c>
      <c r="E85" s="2">
        <v>2025</v>
      </c>
      <c r="F85" s="2">
        <v>2026</v>
      </c>
    </row>
    <row r="86" spans="1:6" x14ac:dyDescent="0.3">
      <c r="A86" s="278" t="s">
        <v>284</v>
      </c>
      <c r="B86" s="41">
        <f>B69</f>
        <v>87819.979961620702</v>
      </c>
      <c r="C86" s="41">
        <f t="shared" ref="C86:F86" si="27">C69</f>
        <v>93590.023945869529</v>
      </c>
      <c r="D86" s="41">
        <f t="shared" si="27"/>
        <v>97968.508641125984</v>
      </c>
      <c r="E86" s="41">
        <f t="shared" si="27"/>
        <v>73009.479145516932</v>
      </c>
      <c r="F86" s="41">
        <f t="shared" si="27"/>
        <v>46478.030791684519</v>
      </c>
    </row>
    <row r="87" spans="1:6" x14ac:dyDescent="0.3">
      <c r="A87" s="278" t="s">
        <v>285</v>
      </c>
      <c r="B87" s="41">
        <f>B73</f>
        <v>-203700.93</v>
      </c>
      <c r="C87" s="41">
        <f t="shared" ref="C87:F87" si="28">C73</f>
        <v>-203700.93</v>
      </c>
      <c r="D87" s="41">
        <f t="shared" si="28"/>
        <v>-203700.93</v>
      </c>
      <c r="E87" s="41">
        <f t="shared" si="28"/>
        <v>-203700.93</v>
      </c>
      <c r="F87" s="41">
        <f t="shared" si="28"/>
        <v>-203700.93</v>
      </c>
    </row>
    <row r="88" spans="1:6" x14ac:dyDescent="0.3">
      <c r="A88" s="278" t="s">
        <v>286</v>
      </c>
      <c r="B88" s="41">
        <f>B99</f>
        <v>23503.693895000266</v>
      </c>
      <c r="C88" s="41">
        <f t="shared" ref="C88:F88" si="29">C99</f>
        <v>-63168.074671954848</v>
      </c>
      <c r="D88" s="41">
        <f t="shared" si="29"/>
        <v>-162958.12699342798</v>
      </c>
      <c r="E88" s="41">
        <f t="shared" si="29"/>
        <v>-277400.84678976238</v>
      </c>
      <c r="F88" s="41">
        <f t="shared" si="29"/>
        <v>-408195.18392057996</v>
      </c>
    </row>
    <row r="89" spans="1:6" x14ac:dyDescent="0.3">
      <c r="A89" s="278" t="s">
        <v>287</v>
      </c>
      <c r="B89" s="41">
        <f>'合并-cf'!C44</f>
        <v>158428.02048400012</v>
      </c>
      <c r="C89" s="41">
        <f>B91</f>
        <v>66050.764340621099</v>
      </c>
      <c r="D89" s="41">
        <f>C91</f>
        <v>-107228.21638546421</v>
      </c>
      <c r="E89" s="41">
        <f>D91</f>
        <v>-375918.76473776624</v>
      </c>
      <c r="F89" s="41">
        <f>E91</f>
        <v>-784011.06238201167</v>
      </c>
    </row>
    <row r="90" spans="1:6" x14ac:dyDescent="0.3">
      <c r="A90" s="278" t="s">
        <v>288</v>
      </c>
      <c r="B90" s="41">
        <f>SUM(B86:B88)</f>
        <v>-92377.256143379025</v>
      </c>
      <c r="C90" s="41">
        <f t="shared" ref="C90:F90" si="30">SUM(C86:C88)</f>
        <v>-173278.98072608531</v>
      </c>
      <c r="D90" s="41">
        <f t="shared" si="30"/>
        <v>-268690.54835230199</v>
      </c>
      <c r="E90" s="41">
        <f t="shared" si="30"/>
        <v>-408092.29764424544</v>
      </c>
      <c r="F90" s="41">
        <f t="shared" si="30"/>
        <v>-565418.08312889538</v>
      </c>
    </row>
    <row r="91" spans="1:6" x14ac:dyDescent="0.3">
      <c r="A91" s="278" t="s">
        <v>289</v>
      </c>
      <c r="B91" s="41">
        <f>B89+B90</f>
        <v>66050.764340621099</v>
      </c>
      <c r="C91" s="41">
        <f t="shared" ref="C91:F91" si="31">C89+C90</f>
        <v>-107228.21638546421</v>
      </c>
      <c r="D91" s="41">
        <f t="shared" si="31"/>
        <v>-375918.76473776624</v>
      </c>
      <c r="E91" s="41">
        <f t="shared" si="31"/>
        <v>-784011.06238201167</v>
      </c>
      <c r="F91" s="41">
        <f t="shared" si="31"/>
        <v>-1349429.1455109071</v>
      </c>
    </row>
    <row r="96" spans="1:6" x14ac:dyDescent="0.3">
      <c r="A96" s="2" t="s">
        <v>278</v>
      </c>
      <c r="B96" s="2">
        <v>2022</v>
      </c>
      <c r="C96" s="2">
        <v>2023</v>
      </c>
      <c r="D96" s="2">
        <v>2024</v>
      </c>
      <c r="E96" s="2">
        <v>2025</v>
      </c>
      <c r="F96" s="2">
        <v>2026</v>
      </c>
    </row>
    <row r="97" spans="1:6" x14ac:dyDescent="0.3">
      <c r="A97" s="2" t="s">
        <v>290</v>
      </c>
      <c r="B97" s="41">
        <f>'合并-cf'!C34*1.1</f>
        <v>1780442.7591291002</v>
      </c>
      <c r="C97" s="41">
        <f>B97*1.05</f>
        <v>1869464.8970855554</v>
      </c>
      <c r="D97" s="41">
        <f t="shared" ref="D97:F97" si="32">C97*1.05</f>
        <v>1962938.1419398333</v>
      </c>
      <c r="E97" s="41">
        <f t="shared" si="32"/>
        <v>2061085.0490368251</v>
      </c>
      <c r="F97" s="41">
        <f t="shared" si="32"/>
        <v>2164139.3014886663</v>
      </c>
    </row>
    <row r="98" spans="1:6" x14ac:dyDescent="0.3">
      <c r="A98" s="2" t="s">
        <v>291</v>
      </c>
      <c r="B98" s="41">
        <f>'合并-cf'!C39*1.1</f>
        <v>1756939.0652341</v>
      </c>
      <c r="C98" s="41">
        <f>B98*1.1</f>
        <v>1932632.9717575102</v>
      </c>
      <c r="D98" s="41">
        <f t="shared" ref="D98:F98" si="33">C98*1.1</f>
        <v>2125896.2689332613</v>
      </c>
      <c r="E98" s="41">
        <f t="shared" si="33"/>
        <v>2338485.8958265875</v>
      </c>
      <c r="F98" s="41">
        <f t="shared" si="33"/>
        <v>2572334.4854092463</v>
      </c>
    </row>
    <row r="99" spans="1:6" x14ac:dyDescent="0.3">
      <c r="A99" s="2" t="str">
        <f>A88</f>
        <v>筹资活动产生现金流量净额</v>
      </c>
      <c r="B99" s="41">
        <f>B97-B98</f>
        <v>23503.693895000266</v>
      </c>
      <c r="C99" s="41">
        <f t="shared" ref="C99:F99" si="34">C97-C98</f>
        <v>-63168.074671954848</v>
      </c>
      <c r="D99" s="41">
        <f t="shared" si="34"/>
        <v>-162958.12699342798</v>
      </c>
      <c r="E99" s="41">
        <f t="shared" si="34"/>
        <v>-277400.84678976238</v>
      </c>
      <c r="F99" s="41">
        <f t="shared" si="34"/>
        <v>-408195.18392057996</v>
      </c>
    </row>
  </sheetData>
  <phoneticPr fontId="4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10"/>
  <sheetViews>
    <sheetView workbookViewId="0">
      <selection activeCell="F35" sqref="F35"/>
    </sheetView>
  </sheetViews>
  <sheetFormatPr defaultColWidth="9" defaultRowHeight="12.75" x14ac:dyDescent="0.3"/>
  <cols>
    <col min="1" max="1" width="32.06640625" style="2" customWidth="1"/>
    <col min="2" max="2" width="18" style="2" customWidth="1"/>
    <col min="3" max="3" width="18.1328125" style="2" customWidth="1"/>
    <col min="4" max="4" width="11.3984375" style="2" customWidth="1"/>
    <col min="5" max="16384" width="9" style="2"/>
  </cols>
  <sheetData>
    <row r="1" spans="1:4" x14ac:dyDescent="0.3">
      <c r="A1" s="39"/>
      <c r="B1" s="38" t="str">
        <f>首页!C2</f>
        <v>2024年9月末</v>
      </c>
      <c r="C1" s="38" t="str">
        <f>首页!D2</f>
        <v>2023年末</v>
      </c>
    </row>
    <row r="2" spans="1:4" x14ac:dyDescent="0.3">
      <c r="A2" s="273" t="s">
        <v>292</v>
      </c>
      <c r="B2" s="274"/>
      <c r="C2" s="274"/>
    </row>
    <row r="3" spans="1:4" x14ac:dyDescent="0.3">
      <c r="A3" s="39" t="s">
        <v>293</v>
      </c>
      <c r="B3" s="88">
        <f>'合并-bs'!B74/'合并-bs'!B45</f>
        <v>0.68433200806396577</v>
      </c>
      <c r="C3" s="88">
        <f>'合并-bs'!C74/'合并-bs'!C45</f>
        <v>0.6643948401362364</v>
      </c>
      <c r="D3" s="275"/>
    </row>
    <row r="4" spans="1:4" x14ac:dyDescent="0.3">
      <c r="A4" s="39" t="s">
        <v>294</v>
      </c>
      <c r="B4" s="39"/>
      <c r="C4" s="39"/>
    </row>
    <row r="5" spans="1:4" x14ac:dyDescent="0.3">
      <c r="A5" s="39" t="s">
        <v>295</v>
      </c>
      <c r="B5" s="39"/>
      <c r="C5" s="88">
        <f>'合并-cf'!C4/'合并-is'!C3</f>
        <v>0.76375359181097402</v>
      </c>
    </row>
    <row r="6" spans="1:4" x14ac:dyDescent="0.3">
      <c r="A6" s="39" t="s">
        <v>296</v>
      </c>
      <c r="B6" s="39"/>
      <c r="C6" s="40">
        <f>'合并-cf'!C13</f>
        <v>46470.456009000016</v>
      </c>
    </row>
    <row r="7" spans="1:4" x14ac:dyDescent="0.3">
      <c r="A7" s="39" t="s">
        <v>297</v>
      </c>
      <c r="B7" s="40">
        <f>'合并-bs'!B88</f>
        <v>1705376.1418549998</v>
      </c>
      <c r="C7" s="40"/>
    </row>
    <row r="8" spans="1:4" x14ac:dyDescent="0.3">
      <c r="A8" s="39" t="s">
        <v>231</v>
      </c>
      <c r="B8" s="40"/>
      <c r="C8" s="40">
        <f>'合并-is'!C41</f>
        <v>25256.719485999929</v>
      </c>
    </row>
    <row r="9" spans="1:4" x14ac:dyDescent="0.3">
      <c r="A9" s="39" t="s">
        <v>298</v>
      </c>
      <c r="B9" s="39"/>
      <c r="C9" s="40">
        <f>'合并-is'!C3</f>
        <v>304366.00656999997</v>
      </c>
    </row>
    <row r="10" spans="1:4" x14ac:dyDescent="0.3">
      <c r="A10" s="39" t="s">
        <v>299</v>
      </c>
      <c r="B10" s="39"/>
      <c r="C10" s="88">
        <f>2*'合并-is'!C41/('合并-bs'!C88+'合并-bs'!D88)</f>
        <v>1.4744226221289821E-2</v>
      </c>
    </row>
  </sheetData>
  <phoneticPr fontId="41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34</vt:i4>
      </vt:variant>
    </vt:vector>
  </HeadingPairs>
  <TitlesOfParts>
    <vt:vector size="34" baseType="lpstr">
      <vt:lpstr>首页</vt:lpstr>
      <vt:lpstr>合并-bs</vt:lpstr>
      <vt:lpstr>母-bs</vt:lpstr>
      <vt:lpstr>合并-is</vt:lpstr>
      <vt:lpstr>母-is </vt:lpstr>
      <vt:lpstr>合并-cf</vt:lpstr>
      <vt:lpstr>母-cf</vt:lpstr>
      <vt:lpstr>现金流测算</vt:lpstr>
      <vt:lpstr>项目情况一览表</vt:lpstr>
      <vt:lpstr>EBITDA、总债务</vt:lpstr>
      <vt:lpstr>经营性和非经营性-2021年末</vt:lpstr>
      <vt:lpstr>经营性和非经营性-2022年末</vt:lpstr>
      <vt:lpstr>分析性复核-存货</vt:lpstr>
      <vt:lpstr>分析性复核-应收账款</vt:lpstr>
      <vt:lpstr>分析性复核-有息债务</vt:lpstr>
      <vt:lpstr>分析性复核-货币资金</vt:lpstr>
      <vt:lpstr>有息-期限结构</vt:lpstr>
      <vt:lpstr>有息债务明细表-2022年末</vt:lpstr>
      <vt:lpstr>有息债务明细表-2021年末</vt:lpstr>
      <vt:lpstr>现金利息保障倍数</vt:lpstr>
      <vt:lpstr>子公司和参股公司情况</vt:lpstr>
      <vt:lpstr>业务情况</vt:lpstr>
      <vt:lpstr>业务情况-担保人</vt:lpstr>
      <vt:lpstr>收入分析</vt:lpstr>
      <vt:lpstr>非经常性损益</vt:lpstr>
      <vt:lpstr>主要财务指标</vt:lpstr>
      <vt:lpstr>附注明细数据转换</vt:lpstr>
      <vt:lpstr>资产结构</vt:lpstr>
      <vt:lpstr>负债结构</vt:lpstr>
      <vt:lpstr>所有者权益结构</vt:lpstr>
      <vt:lpstr>现金流量结构</vt:lpstr>
      <vt:lpstr>报表科目分析</vt:lpstr>
      <vt:lpstr>模拟财务</vt:lpstr>
      <vt:lpstr>存量债券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刘卓林</dc:creator>
  <cp:lastModifiedBy>lawrence Yao</cp:lastModifiedBy>
  <dcterms:created xsi:type="dcterms:W3CDTF">2020-08-18T02:10:00Z</dcterms:created>
  <dcterms:modified xsi:type="dcterms:W3CDTF">2024-11-15T01:26:32Z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2052-12.1.0.16729</vt:lpwstr>
  </property>
  <property fmtid="{D5CDD505-2E9C-101B-9397-08002B2CF9AE}" pid="3" name="ICV">
    <vt:lpwstr>042AE360DB514F69AFC32CD8EA960EF1_13</vt:lpwstr>
  </property>
  <property fmtid="{D5CDD505-2E9C-101B-9397-08002B2CF9AE}" pid="4" name="EM_Doc_Temp_ID">
    <vt:lpwstr>135ede3e</vt:lpwstr>
  </property>
</Properties>
</file>