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stem Admin and Maintenance\"/>
    </mc:Choice>
  </mc:AlternateContent>
  <xr:revisionPtr revIDLastSave="0" documentId="13_ncr:1_{134D9D53-2B98-4E64-A6B9-7D05C69DA644}" xr6:coauthVersionLast="47" xr6:coauthVersionMax="47" xr10:uidLastSave="{00000000-0000-0000-0000-000000000000}"/>
  <bookViews>
    <workbookView xWindow="-120" yWindow="-16320" windowWidth="29040" windowHeight="15840" tabRatio="703" firstSheet="1" activeTab="7" xr2:uid="{00000000-000D-0000-FFFF-FFFF00000000}"/>
  </bookViews>
  <sheets>
    <sheet name="bad variable page" sheetId="8" r:id="rId1"/>
    <sheet name="Variable page for notes" sheetId="5" r:id="rId2"/>
    <sheet name="Constants" sheetId="6" r:id="rId3"/>
    <sheet name="Current - Variables" sheetId="4" r:id="rId4"/>
    <sheet name="Current Cost Structure" sheetId="1" r:id="rId5"/>
    <sheet name="Proposed - Variables" sheetId="7" r:id="rId6"/>
    <sheet name="Virtualized Cost Structure" sheetId="2" r:id="rId7"/>
    <sheet name="Project Cost Summary" sheetId="3" r:id="rId8"/>
  </sheets>
  <definedNames>
    <definedName name="adminCostOnVirtualServer">'Proposed - Variables'!$B$43</definedName>
    <definedName name="administrativeCostPerHourYear1">Constants!$B$11</definedName>
    <definedName name="administrativeRateIncrease">Constants!$B$12</definedName>
    <definedName name="backupTimeGroup1V">'Proposed - Variables'!$B$45</definedName>
    <definedName name="backupTimeGroup2V">'Proposed - Variables'!$B$46</definedName>
    <definedName name="backupTimeGroup3V">'Proposed - Variables'!$B$47</definedName>
    <definedName name="backupTimeGroup4V">'Proposed - Variables'!$B$48</definedName>
    <definedName name="costkwHYear1">Constants!$B$18</definedName>
    <definedName name="costNewGroup1Server">'Proposed - Variables'!$B$5</definedName>
    <definedName name="costNewGroup2Server">'Proposed - Variables'!$B$8</definedName>
    <definedName name="costNewGroup3Server">'Proposed - Variables'!$B$11</definedName>
    <definedName name="costNewGroup4Server">'Proposed - Variables'!$B$14</definedName>
    <definedName name="dataStorageMonthlyChargeYears1And2">Constants!$B$14</definedName>
    <definedName name="dataStorageMonthlyChargeYears3Thru5">Constants!$B$15</definedName>
    <definedName name="daysInAYear">Constants!$B$6</definedName>
    <definedName name="empsTrainedYears1And2">'Proposed - Variables'!$B$37</definedName>
    <definedName name="empsTrainedYears3Thru5">'Proposed - Variables'!$B$38</definedName>
    <definedName name="hoursInADay">Constants!$B$8</definedName>
    <definedName name="hoursInAdminDay">Constants!$B$21</definedName>
    <definedName name="hoursInAdminWeek">Constants!$B$22</definedName>
    <definedName name="hoursInAWeek">Constants!$B$22</definedName>
    <definedName name="hoursInAYear">Constants!$B$3</definedName>
    <definedName name="hoursPerBackupGroup1">'Current - Variables'!$B$39</definedName>
    <definedName name="hoursPerBackupGroup2">'Current - Variables'!$B$40</definedName>
    <definedName name="hoursPerBackupGroup3">'Current - Variables'!$B$41</definedName>
    <definedName name="hoursPerBackupGroup4A">'Current - Variables'!$B$42</definedName>
    <definedName name="hoursPerBackupGroup4B">'Current - Variables'!$B$43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intenanceCostYear1Group1">'Current - Variables'!$B$23</definedName>
    <definedName name="maintenanceCostYear1Group2">'Current - Variables'!$B$24</definedName>
    <definedName name="maintenanceCostYear1Group3">'Current - Variables'!$B$25</definedName>
    <definedName name="maintenanceCostYear1Group4A">'Current - Variables'!$B$26</definedName>
    <definedName name="maintenanceCostYear1Group4B">'Current - Variables'!$B$27</definedName>
    <definedName name="monthsInAYear">Constants!$B$4</definedName>
    <definedName name="newServerPowerGroup1">'Proposed - Variables'!$B$27</definedName>
    <definedName name="newServerPowerGroup2">'Proposed - Variables'!$B$28</definedName>
    <definedName name="newServerPowerGroup3">'Proposed - Variables'!$B$29</definedName>
    <definedName name="newServerPowerGroup4">'Proposed - Variables'!$B$30</definedName>
    <definedName name="numberOfBackUpsGroup1V">'Proposed - Variables'!$B$50</definedName>
    <definedName name="numberOfBackUpsGroup2V">'Proposed - Variables'!$B$51</definedName>
    <definedName name="numberOfBackUpsGroup3V">'Proposed - Variables'!$B$52</definedName>
    <definedName name="numberOfBackUpsGroup4V">'Proposed - Variables'!$B$53</definedName>
    <definedName name="numberOfBackupsPerYearGroup1">'Current - Variables'!$B$45</definedName>
    <definedName name="numberOfBackupsPerYearGroup2">'Current - Variables'!$B$46</definedName>
    <definedName name="numberOfBackupsPerYearGroup3">'Current - Variables'!$B$47</definedName>
    <definedName name="numberOfBackupsPerYearGroup4A">'Current - Variables'!$B$48</definedName>
    <definedName name="numberOfBackupsPerYearGroup4B">'Current - Variables'!$B$49</definedName>
    <definedName name="numNewServersGroup1">'Proposed - Variables'!$B$17</definedName>
    <definedName name="numNewServersGroup2">'Proposed - Variables'!$B$19</definedName>
    <definedName name="numNewServersGroup3">'Proposed - Variables'!$B$21</definedName>
    <definedName name="numNewServersGroup4">'Proposed - Variables'!$B$23</definedName>
    <definedName name="numServersGroup1">'Current - Variables'!$B$5</definedName>
    <definedName name="numServersGroup2">'Current - Variables'!$B$6</definedName>
    <definedName name="numServersGroup3">'Current - Variables'!$B$7</definedName>
    <definedName name="numServersGroup4A">'Current - Variables'!$B$8</definedName>
    <definedName name="numServersGroup4B">'Current - Variables'!$B$9</definedName>
    <definedName name="numVirtualServersGroup1">'Proposed - Variables'!$B$18</definedName>
    <definedName name="numVirtualServersGroup2">'Proposed - Variables'!$B$20</definedName>
    <definedName name="numVirtualServersGroup3">'Proposed - Variables'!$B$22</definedName>
    <definedName name="numVirtualServersGroup4">'Proposed - Variables'!$B$24</definedName>
    <definedName name="powerRateIncrease">Constants!$B$19</definedName>
    <definedName name="securityFirmMonthlyCharge">Constants!$B$13</definedName>
    <definedName name="serverLoadGroup1">'Current - Variables'!$B$17</definedName>
    <definedName name="serverLoadGroup2">'Current - Variables'!$B$18</definedName>
    <definedName name="serverLoadGroup3">'Current - Variables'!$B$19</definedName>
    <definedName name="serverLoadGroup4A">'Current - Variables'!$B$20</definedName>
    <definedName name="serverLoadGroup4B">'Current - Variables'!$B$21</definedName>
    <definedName name="serverMaintenanceRateIncrease">Constants!$B$17</definedName>
    <definedName name="serverPowerGroup1">'Current - Variables'!$B$11</definedName>
    <definedName name="serverPowerGroup2">'Current - Variables'!$B$12</definedName>
    <definedName name="serverPowerGroup3">'Current - Variables'!$B$13</definedName>
    <definedName name="serverPowerGroup4A">'Current - Variables'!$B$14</definedName>
    <definedName name="serverPowerGroup4B">'Current - Variables'!$B$15</definedName>
    <definedName name="trainingCostPerEmployee">'Proposed - Variables'!$B$36</definedName>
    <definedName name="virtualizationSoftwareCost">'Proposed - Variables'!$B$32</definedName>
    <definedName name="virtualizationSoftwareMaintenanceRate">'Proposed - Variables'!$B$33</definedName>
    <definedName name="wattsInAKilowatt">Constants!$B$7</definedName>
    <definedName name="weeksAdministrativeTimeGroup1">'Current - Variables'!$B$33</definedName>
    <definedName name="weeksAdministrativeTimeGroup2">'Current - Variables'!$B$34</definedName>
    <definedName name="weeksAdministrativeTimeGroup3">'Current - Variables'!$B$35</definedName>
    <definedName name="weeksAdministrativeTImeGroup4A">'Current - Variables'!$B$36</definedName>
    <definedName name="weeksAdministrativeTImeGroup4B">'Current - Variables'!$B$37</definedName>
    <definedName name="weeksAdminTimeProposed">'Proposed - Variables'!$B$42</definedName>
    <definedName name="weeksInAYear">Constants!$B$5</definedName>
    <definedName name="year1Group1ServerMaintenance">'Proposed - Variables'!$B$6</definedName>
    <definedName name="year1Group2ServerMaintenance">'Proposed - Variables'!$B$9</definedName>
    <definedName name="year1Group3ServerMaintenance">'Proposed - Variables'!$B$12</definedName>
    <definedName name="year1Group4ServerMaintenance">'Proposed - Variables'!$B$15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2" l="1"/>
  <c r="C11" i="2" s="1"/>
  <c r="D11" i="2" s="1"/>
  <c r="E11" i="2" s="1"/>
  <c r="F11" i="2" s="1"/>
  <c r="B10" i="2"/>
  <c r="C10" i="2" s="1"/>
  <c r="D10" i="2" s="1"/>
  <c r="E10" i="2" s="1"/>
  <c r="F10" i="2" s="1"/>
  <c r="B9" i="2"/>
  <c r="B8" i="2"/>
  <c r="B5" i="1"/>
  <c r="D15" i="3"/>
  <c r="E15" i="3"/>
  <c r="F15" i="3"/>
  <c r="G15" i="3"/>
  <c r="C15" i="3"/>
  <c r="C41" i="2"/>
  <c r="D41" i="2"/>
  <c r="E41" i="2"/>
  <c r="F41" i="2"/>
  <c r="B41" i="2"/>
  <c r="C33" i="2"/>
  <c r="D33" i="2"/>
  <c r="E33" i="2"/>
  <c r="F33" i="2"/>
  <c r="B33" i="2"/>
  <c r="C16" i="3"/>
  <c r="B32" i="2"/>
  <c r="C32" i="2" s="1"/>
  <c r="D32" i="2" s="1"/>
  <c r="E32" i="2" s="1"/>
  <c r="F32" i="2" s="1"/>
  <c r="B30" i="2"/>
  <c r="C30" i="2" s="1"/>
  <c r="D30" i="2" s="1"/>
  <c r="E30" i="2" s="1"/>
  <c r="F30" i="2" s="1"/>
  <c r="B28" i="2"/>
  <c r="C28" i="2" s="1"/>
  <c r="D28" i="2" s="1"/>
  <c r="E28" i="2" s="1"/>
  <c r="F28" i="2" s="1"/>
  <c r="B26" i="2"/>
  <c r="C26" i="2" s="1"/>
  <c r="D26" i="2" s="1"/>
  <c r="E26" i="2" s="1"/>
  <c r="F26" i="2" s="1"/>
  <c r="B15" i="2"/>
  <c r="B14" i="2"/>
  <c r="C14" i="2" s="1"/>
  <c r="D14" i="2" s="1"/>
  <c r="E14" i="2" s="1"/>
  <c r="F14" i="2" s="1"/>
  <c r="B13" i="2"/>
  <c r="B12" i="2"/>
  <c r="C15" i="2"/>
  <c r="D15" i="2" s="1"/>
  <c r="E15" i="2" s="1"/>
  <c r="F15" i="2" s="1"/>
  <c r="C13" i="2"/>
  <c r="D13" i="2" s="1"/>
  <c r="E13" i="2" s="1"/>
  <c r="F13" i="2" s="1"/>
  <c r="F7" i="2"/>
  <c r="E7" i="2"/>
  <c r="D7" i="2"/>
  <c r="C7" i="2"/>
  <c r="B6" i="2"/>
  <c r="G6" i="2" s="1"/>
  <c r="C27" i="2"/>
  <c r="D27" i="2" s="1"/>
  <c r="E27" i="2" s="1"/>
  <c r="F27" i="2" s="1"/>
  <c r="C29" i="2"/>
  <c r="D29" i="2" s="1"/>
  <c r="E29" i="2" s="1"/>
  <c r="F29" i="2" s="1"/>
  <c r="C31" i="2"/>
  <c r="D31" i="2" s="1"/>
  <c r="E31" i="2" s="1"/>
  <c r="F31" i="2" s="1"/>
  <c r="B31" i="2"/>
  <c r="B29" i="2"/>
  <c r="B27" i="2"/>
  <c r="B25" i="2"/>
  <c r="C25" i="2" s="1"/>
  <c r="B27" i="1"/>
  <c r="B38" i="2"/>
  <c r="C38" i="2" s="1"/>
  <c r="B37" i="2"/>
  <c r="C37" i="2" s="1"/>
  <c r="B36" i="2"/>
  <c r="C36" i="2" s="1"/>
  <c r="D36" i="2" s="1"/>
  <c r="E36" i="2" s="1"/>
  <c r="F36" i="2" s="1"/>
  <c r="B35" i="2"/>
  <c r="C35" i="2" s="1"/>
  <c r="B38" i="1"/>
  <c r="E18" i="2"/>
  <c r="F18" i="2"/>
  <c r="D18" i="2"/>
  <c r="C18" i="2"/>
  <c r="B18" i="2"/>
  <c r="G18" i="2" s="1"/>
  <c r="B20" i="1"/>
  <c r="G5" i="2"/>
  <c r="C9" i="2"/>
  <c r="D9" i="2" s="1"/>
  <c r="E9" i="2" s="1"/>
  <c r="F9" i="2" s="1"/>
  <c r="B8" i="1"/>
  <c r="C8" i="1" s="1"/>
  <c r="B7" i="1"/>
  <c r="C17" i="2"/>
  <c r="G17" i="2" s="1"/>
  <c r="D17" i="2"/>
  <c r="E17" i="2"/>
  <c r="F17" i="2"/>
  <c r="B17" i="2"/>
  <c r="E16" i="2"/>
  <c r="F16" i="2"/>
  <c r="D16" i="2"/>
  <c r="C16" i="2"/>
  <c r="B16" i="2"/>
  <c r="G16" i="2" s="1"/>
  <c r="B5" i="2"/>
  <c r="B15" i="7"/>
  <c r="B12" i="7"/>
  <c r="B9" i="7"/>
  <c r="B6" i="7"/>
  <c r="G7" i="2" l="1"/>
  <c r="G30" i="2"/>
  <c r="G32" i="2"/>
  <c r="G26" i="2"/>
  <c r="G28" i="2"/>
  <c r="G31" i="2"/>
  <c r="G29" i="2"/>
  <c r="G27" i="2"/>
  <c r="B20" i="2"/>
  <c r="G13" i="2"/>
  <c r="D37" i="2"/>
  <c r="E37" i="2" s="1"/>
  <c r="F37" i="2" s="1"/>
  <c r="D38" i="2"/>
  <c r="E38" i="2" s="1"/>
  <c r="F38" i="2" s="1"/>
  <c r="C39" i="2"/>
  <c r="D35" i="2"/>
  <c r="G14" i="2"/>
  <c r="B39" i="2"/>
  <c r="C8" i="2"/>
  <c r="D8" i="2" s="1"/>
  <c r="G15" i="2"/>
  <c r="G36" i="2"/>
  <c r="G11" i="2"/>
  <c r="C12" i="2"/>
  <c r="D12" i="2" s="1"/>
  <c r="E12" i="2" s="1"/>
  <c r="F12" i="2" s="1"/>
  <c r="G10" i="2"/>
  <c r="G9" i="2"/>
  <c r="D25" i="2"/>
  <c r="E25" i="2" s="1"/>
  <c r="F25" i="2" s="1"/>
  <c r="C38" i="1"/>
  <c r="D38" i="1" s="1"/>
  <c r="B39" i="1"/>
  <c r="B37" i="1"/>
  <c r="B36" i="1"/>
  <c r="C36" i="1" s="1"/>
  <c r="B35" i="1"/>
  <c r="B31" i="1"/>
  <c r="C31" i="1" s="1"/>
  <c r="D31" i="1" s="1"/>
  <c r="E31" i="1" s="1"/>
  <c r="F31" i="1" s="1"/>
  <c r="B30" i="1"/>
  <c r="C30" i="1" s="1"/>
  <c r="D30" i="1" s="1"/>
  <c r="E30" i="1" s="1"/>
  <c r="F30" i="1" s="1"/>
  <c r="B29" i="1"/>
  <c r="C29" i="1" s="1"/>
  <c r="D29" i="1" s="1"/>
  <c r="E29" i="1" s="1"/>
  <c r="F29" i="1" s="1"/>
  <c r="B28" i="1"/>
  <c r="C27" i="1"/>
  <c r="D27" i="1" s="1"/>
  <c r="E27" i="1" s="1"/>
  <c r="F27" i="1" s="1"/>
  <c r="F20" i="1"/>
  <c r="E20" i="1"/>
  <c r="D20" i="1"/>
  <c r="C20" i="1"/>
  <c r="F19" i="1"/>
  <c r="E19" i="1"/>
  <c r="D19" i="1"/>
  <c r="C19" i="1"/>
  <c r="B19" i="1"/>
  <c r="B16" i="1"/>
  <c r="C16" i="1" s="1"/>
  <c r="D16" i="1" s="1"/>
  <c r="E16" i="1" s="1"/>
  <c r="F16" i="1" s="1"/>
  <c r="B15" i="1"/>
  <c r="C15" i="1" s="1"/>
  <c r="D15" i="1" s="1"/>
  <c r="E15" i="1" s="1"/>
  <c r="F15" i="1" s="1"/>
  <c r="B14" i="1"/>
  <c r="C14" i="1" s="1"/>
  <c r="D14" i="1" s="1"/>
  <c r="E14" i="1" s="1"/>
  <c r="F14" i="1" s="1"/>
  <c r="B13" i="1"/>
  <c r="C13" i="1" s="1"/>
  <c r="D13" i="1" s="1"/>
  <c r="E13" i="1" s="1"/>
  <c r="F13" i="1" s="1"/>
  <c r="B12" i="1"/>
  <c r="C12" i="1" s="1"/>
  <c r="D12" i="1" s="1"/>
  <c r="E12" i="1" s="1"/>
  <c r="F12" i="1" s="1"/>
  <c r="F17" i="1" s="1"/>
  <c r="B9" i="1"/>
  <c r="C9" i="1" s="1"/>
  <c r="D9" i="1" s="1"/>
  <c r="E9" i="1" s="1"/>
  <c r="F9" i="1" s="1"/>
  <c r="D8" i="1"/>
  <c r="E8" i="1" s="1"/>
  <c r="F8" i="1" s="1"/>
  <c r="C7" i="1"/>
  <c r="D7" i="1" s="1"/>
  <c r="E7" i="1" s="1"/>
  <c r="F7" i="1" s="1"/>
  <c r="B6" i="1"/>
  <c r="C6" i="1" s="1"/>
  <c r="D6" i="1" s="1"/>
  <c r="E6" i="1" s="1"/>
  <c r="F6" i="1" s="1"/>
  <c r="C5" i="1"/>
  <c r="D5" i="1" s="1"/>
  <c r="E5" i="1" s="1"/>
  <c r="F5" i="1" s="1"/>
  <c r="B40" i="1" l="1"/>
  <c r="D36" i="1"/>
  <c r="E36" i="1" s="1"/>
  <c r="F36" i="1" s="1"/>
  <c r="G36" i="1"/>
  <c r="C37" i="1"/>
  <c r="D37" i="1" s="1"/>
  <c r="E37" i="1" s="1"/>
  <c r="F37" i="1" s="1"/>
  <c r="B17" i="1"/>
  <c r="C17" i="1"/>
  <c r="C28" i="1"/>
  <c r="C32" i="1" s="1"/>
  <c r="C35" i="1"/>
  <c r="D35" i="1" s="1"/>
  <c r="E35" i="1" s="1"/>
  <c r="F35" i="1" s="1"/>
  <c r="C39" i="1"/>
  <c r="D39" i="1" s="1"/>
  <c r="E39" i="1" s="1"/>
  <c r="F39" i="1" s="1"/>
  <c r="B32" i="1"/>
  <c r="B42" i="1" s="1"/>
  <c r="C8" i="3" s="1"/>
  <c r="B10" i="1"/>
  <c r="B22" i="1" s="1"/>
  <c r="C6" i="3" s="1"/>
  <c r="C13" i="3"/>
  <c r="B45" i="2"/>
  <c r="E35" i="2"/>
  <c r="D39" i="2"/>
  <c r="G12" i="2"/>
  <c r="G38" i="2"/>
  <c r="C20" i="2"/>
  <c r="E8" i="2"/>
  <c r="D20" i="2"/>
  <c r="G37" i="2"/>
  <c r="G25" i="2"/>
  <c r="G33" i="2" s="1"/>
  <c r="E38" i="1"/>
  <c r="F10" i="1"/>
  <c r="F22" i="1" s="1"/>
  <c r="G6" i="3" s="1"/>
  <c r="E10" i="1"/>
  <c r="C10" i="1"/>
  <c r="C22" i="1" s="1"/>
  <c r="D6" i="3" s="1"/>
  <c r="D10" i="1"/>
  <c r="E17" i="1"/>
  <c r="D17" i="1"/>
  <c r="G31" i="1"/>
  <c r="G30" i="1"/>
  <c r="G29" i="1"/>
  <c r="G27" i="1"/>
  <c r="G20" i="1"/>
  <c r="G19" i="1"/>
  <c r="G16" i="1"/>
  <c r="G15" i="1"/>
  <c r="G14" i="1"/>
  <c r="G13" i="1"/>
  <c r="G12" i="1"/>
  <c r="G9" i="1"/>
  <c r="G8" i="1"/>
  <c r="G7" i="1"/>
  <c r="G6" i="1"/>
  <c r="G5" i="1"/>
  <c r="D28" i="1" l="1"/>
  <c r="E28" i="1" s="1"/>
  <c r="F28" i="1" s="1"/>
  <c r="F32" i="1" s="1"/>
  <c r="C40" i="1"/>
  <c r="D40" i="1"/>
  <c r="G28" i="1"/>
  <c r="E32" i="1"/>
  <c r="B46" i="1"/>
  <c r="G39" i="1"/>
  <c r="D32" i="1"/>
  <c r="D42" i="1" s="1"/>
  <c r="E8" i="3" s="1"/>
  <c r="G35" i="1"/>
  <c r="G37" i="1"/>
  <c r="D45" i="2"/>
  <c r="E13" i="3"/>
  <c r="C45" i="2"/>
  <c r="D13" i="3"/>
  <c r="F35" i="2"/>
  <c r="F39" i="2" s="1"/>
  <c r="E39" i="2"/>
  <c r="F8" i="2"/>
  <c r="F20" i="2" s="1"/>
  <c r="G8" i="2"/>
  <c r="G20" i="2" s="1"/>
  <c r="B22" i="2" s="1"/>
  <c r="C14" i="3" s="1"/>
  <c r="E20" i="2"/>
  <c r="F38" i="1"/>
  <c r="E40" i="1"/>
  <c r="E22" i="1"/>
  <c r="F6" i="3" s="1"/>
  <c r="D22" i="1"/>
  <c r="E6" i="3" s="1"/>
  <c r="C42" i="1"/>
  <c r="G17" i="1"/>
  <c r="G10" i="1"/>
  <c r="G32" i="1" l="1"/>
  <c r="C46" i="1"/>
  <c r="D8" i="3"/>
  <c r="F13" i="3"/>
  <c r="E45" i="2"/>
  <c r="G13" i="3"/>
  <c r="F45" i="2"/>
  <c r="B24" i="1"/>
  <c r="C7" i="3" s="1"/>
  <c r="C19" i="3" s="1"/>
  <c r="G35" i="2"/>
  <c r="G39" i="2" s="1"/>
  <c r="G41" i="2" s="1"/>
  <c r="B43" i="2" s="1"/>
  <c r="G45" i="2" s="1"/>
  <c r="B47" i="2" s="1"/>
  <c r="C17" i="3" s="1"/>
  <c r="F40" i="1"/>
  <c r="F42" i="1" s="1"/>
  <c r="G38" i="1"/>
  <c r="E42" i="1"/>
  <c r="G22" i="1"/>
  <c r="D46" i="1"/>
  <c r="E46" i="1" l="1"/>
  <c r="F8" i="3"/>
  <c r="F46" i="1"/>
  <c r="G8" i="3"/>
  <c r="B48" i="1"/>
  <c r="C10" i="3" s="1"/>
  <c r="G40" i="1"/>
  <c r="G46" i="1" l="1"/>
  <c r="G42" i="1"/>
  <c r="B44" i="1"/>
  <c r="C9" i="3" s="1"/>
  <c r="C20" i="3" s="1"/>
  <c r="C21" i="3" s="1"/>
</calcChain>
</file>

<file path=xl/sharedStrings.xml><?xml version="1.0" encoding="utf-8"?>
<sst xmlns="http://schemas.openxmlformats.org/spreadsheetml/2006/main" count="409" uniqueCount="271">
  <si>
    <t>Category</t>
  </si>
  <si>
    <t>Hard Costs</t>
  </si>
  <si>
    <t>Total Yearly Hard Costs</t>
  </si>
  <si>
    <t>Soft Costs</t>
  </si>
  <si>
    <t>Total Yearly Soft Costs</t>
  </si>
  <si>
    <t>Cost</t>
  </si>
  <si>
    <t>Year 1</t>
  </si>
  <si>
    <t>Year 2</t>
  </si>
  <si>
    <t>Year 3</t>
  </si>
  <si>
    <t>Year 4</t>
  </si>
  <si>
    <t>Year 5</t>
  </si>
  <si>
    <t>Total Five Year Hard Costs =</t>
  </si>
  <si>
    <t>Total Five Year Soft Costs =</t>
  </si>
  <si>
    <t>Machine Purchases</t>
  </si>
  <si>
    <t>Software Purchases</t>
  </si>
  <si>
    <t>Software Maintenance</t>
  </si>
  <si>
    <t>Training</t>
  </si>
  <si>
    <t>Virtualization Project Cost Summary</t>
  </si>
  <si>
    <t>Current Infrastructure Costs</t>
  </si>
  <si>
    <t>Virtualized Infrastructure Costs</t>
  </si>
  <si>
    <t>Total Five Year Hard Costs</t>
  </si>
  <si>
    <t>Total Five Year Soft Costs</t>
  </si>
  <si>
    <t>Net Five Year Hard Cost Savings</t>
  </si>
  <si>
    <t>Net Five Year Soft Cost Savings</t>
  </si>
  <si>
    <t>Net Five Year Overall Cost Savings</t>
  </si>
  <si>
    <t>Value</t>
  </si>
  <si>
    <t>Variable Description</t>
  </si>
  <si>
    <t>Variable Name</t>
  </si>
  <si>
    <t>number of hours in 1 year (24 hrs/day * 365 days/yr)</t>
  </si>
  <si>
    <t>hoursInADay</t>
  </si>
  <si>
    <t>number of hours in 1 administrative day</t>
  </si>
  <si>
    <t>Constants</t>
  </si>
  <si>
    <t>Variables Used In This Spreadsheet</t>
  </si>
  <si>
    <t>securityFirmMonthlyCharge</t>
  </si>
  <si>
    <t>cost per month for security auditing service - outside vendor</t>
  </si>
  <si>
    <t>dataStorageMonthlyChargeYears1And2</t>
  </si>
  <si>
    <t>dataStorageMonthlyChargeYears3Thru5</t>
  </si>
  <si>
    <t>cost per month for storing archival backups - years 3,4 5 - outside vendor</t>
  </si>
  <si>
    <t>cost per month for storing archival backups - years 1 &amp; 2 - outside vendor</t>
  </si>
  <si>
    <t>numServersGroup2</t>
  </si>
  <si>
    <t>serverPowerGroup2</t>
  </si>
  <si>
    <t>serverLoadGroup2</t>
  </si>
  <si>
    <t>maintenanceCostYear1Group2</t>
  </si>
  <si>
    <t>costkwHYear1</t>
  </si>
  <si>
    <t>cost of 1 kwH or power in year 1</t>
  </si>
  <si>
    <t>powerRateIncrease</t>
  </si>
  <si>
    <t>assume 2% increase in cost of power/year of study</t>
  </si>
  <si>
    <t>Power - Group 2</t>
  </si>
  <si>
    <t>maintenanceRateIncrease</t>
  </si>
  <si>
    <t>assume 3% increase in server maintenance cost each year of study</t>
  </si>
  <si>
    <t>Server Maintenance - Group 2</t>
  </si>
  <si>
    <t>Security Auditing Costs</t>
  </si>
  <si>
    <t>Archival/Storage Costs</t>
  </si>
  <si>
    <t>monthsInAYear</t>
  </si>
  <si>
    <t>hoursInAYear</t>
  </si>
  <si>
    <t>Server Administration - Group 2</t>
  </si>
  <si>
    <t>weeksAdministrativeTimeGroup2</t>
  </si>
  <si>
    <t>cost of administrative time per hour in year 1</t>
  </si>
  <si>
    <t>administrativeCostPerHourYear1</t>
  </si>
  <si>
    <t>administrativeRateIncrease</t>
  </si>
  <si>
    <t>administrative pay increase amount</t>
  </si>
  <si>
    <t>weeksInAYear</t>
  </si>
  <si>
    <t>number of months in a year</t>
  </si>
  <si>
    <t>number of weeks in a year</t>
  </si>
  <si>
    <t>number of hours in 1 administrative week</t>
  </si>
  <si>
    <t>hoursPerBackupGroup2</t>
  </si>
  <si>
    <t>hours per backup of server in Group 2</t>
  </si>
  <si>
    <t>numberOfBackupsPerYearGroup2</t>
  </si>
  <si>
    <t>number of backups performed on servers in Group 2 in 1 year</t>
  </si>
  <si>
    <t>costNewGroup2Server</t>
  </si>
  <si>
    <t>year1Group2ServerMaintenance</t>
  </si>
  <si>
    <t>first year service maintenance cost for server in group 2</t>
  </si>
  <si>
    <t>numNewServersGroup1</t>
  </si>
  <si>
    <t>number of new physical servers in Group 1</t>
  </si>
  <si>
    <t>numVirtualServersGroup1</t>
  </si>
  <si>
    <t>numNewServersGroup2</t>
  </si>
  <si>
    <t>number of new physical servers in Group 2</t>
  </si>
  <si>
    <t>numVirtualServersGroup2</t>
  </si>
  <si>
    <t>numNewServersGroup3</t>
  </si>
  <si>
    <t>costNewGroup1Server</t>
  </si>
  <si>
    <t>cost of a new group 1 server</t>
  </si>
  <si>
    <t>first year service maintenance cost for server in group 1</t>
  </si>
  <si>
    <t>year1Group1ServerMaintenance</t>
  </si>
  <si>
    <t>costNewGroup3Server</t>
  </si>
  <si>
    <t>cost of a new group 3 server</t>
  </si>
  <si>
    <t>year1Group3ServerMaintenance</t>
  </si>
  <si>
    <t>first year service maintenance cost for server in group 3</t>
  </si>
  <si>
    <t>number of new physical servers in Group 3</t>
  </si>
  <si>
    <t>numVirtualServersGroup3</t>
  </si>
  <si>
    <t>newServerPowerGroup1</t>
  </si>
  <si>
    <t>newServerPowerGroup2</t>
  </si>
  <si>
    <t>newServerPowerGroup3</t>
  </si>
  <si>
    <t>virtualizationSoftwareCost</t>
  </si>
  <si>
    <t>cost in dollars for virtualization software for 1 server.</t>
  </si>
  <si>
    <t>% of original cost to maintain virtualization software</t>
  </si>
  <si>
    <t>virtualizationSoftwareMaintenanceRate</t>
  </si>
  <si>
    <t>serverMaintenanceRateIncrease</t>
  </si>
  <si>
    <t>trainingCostPerEmployee</t>
  </si>
  <si>
    <t>cost per year to train one employee on virtualized system</t>
  </si>
  <si>
    <t>empsTrainedYears3Thru5</t>
  </si>
  <si>
    <t>number of employees trained in years 1 and 2 of the study</t>
  </si>
  <si>
    <t>number of employees trained in years 3 through 5 of the study</t>
  </si>
  <si>
    <t>empsTrainedYears1And2</t>
  </si>
  <si>
    <t>Server Administration Group 1 - Physical</t>
  </si>
  <si>
    <t>Server Administration Group 2 - Physical</t>
  </si>
  <si>
    <t>ServerAdministration Group 3 - Physical</t>
  </si>
  <si>
    <t>Server Admin Group 1 - Virtual Systems</t>
  </si>
  <si>
    <t>Server Admin Group 2 - Virtual Systems</t>
  </si>
  <si>
    <t>Server Admin Group 3 - Virtual Systems</t>
  </si>
  <si>
    <t>adminCostOnVirtualServer</t>
  </si>
  <si>
    <t>percentage of regular admin cost associated with a virtual server</t>
  </si>
  <si>
    <t>Group 1 Backup</t>
  </si>
  <si>
    <t>Group 2 Backup</t>
  </si>
  <si>
    <t>Group 3 Backup</t>
  </si>
  <si>
    <t>daysInAYear</t>
  </si>
  <si>
    <t>number of days in 1 year</t>
  </si>
  <si>
    <t>wattsInAKilowatt</t>
  </si>
  <si>
    <t>number of watts in one kilowatt</t>
  </si>
  <si>
    <t>average load of the servers in group 2</t>
  </si>
  <si>
    <t>cost of maintenance contract year 1 - servers in group 2</t>
  </si>
  <si>
    <t>numberOfBackUpsGroup3V</t>
  </si>
  <si>
    <t>numberOfBackUpsGroup2V</t>
  </si>
  <si>
    <t>numberOfBackUpsGroup1V</t>
  </si>
  <si>
    <t>backUpTimeGroup2V</t>
  </si>
  <si>
    <t>backupTimeGroup1V</t>
  </si>
  <si>
    <t>backUpTimeGroup3V</t>
  </si>
  <si>
    <t>hours per backup of physical servers + virtual servers - Group 1</t>
  </si>
  <si>
    <t>hours per backup of physical servers + virtual servers - Group 2</t>
  </si>
  <si>
    <t>hours per backup of physical servers + virtual servers - Group 3</t>
  </si>
  <si>
    <t>number of backup of physical servers + virtual servers per year - Group 1</t>
  </si>
  <si>
    <t>number of backup of physical servers + virtual servers per year - Group 2</t>
  </si>
  <si>
    <t>number of backup of physical servers + virtual servers per year - Group 3</t>
  </si>
  <si>
    <t>number of virtualized servers in Group 1</t>
  </si>
  <si>
    <t>number of virtualized servers in Group 2</t>
  </si>
  <si>
    <t>number of virtualized servers in Group 3</t>
  </si>
  <si>
    <t>power in watts of a server in group 1</t>
  </si>
  <si>
    <t xml:space="preserve">power in watts of a server in group 2 </t>
  </si>
  <si>
    <t>power in watts of a server in group 3</t>
  </si>
  <si>
    <t>Total Power Costs/Year</t>
  </si>
  <si>
    <t>Total Server Maintenance Costs/Year</t>
  </si>
  <si>
    <t>5 Year Totals</t>
  </si>
  <si>
    <t>Total Server Administration Costs/Year</t>
  </si>
  <si>
    <t>Total Server Backup Costs/Year</t>
  </si>
  <si>
    <t>Total Current Cost/Year</t>
  </si>
  <si>
    <t>Total 5 Year Cost</t>
  </si>
  <si>
    <t>Virtualized Infrastructure Yearly Costs - Proposed Project Costs</t>
  </si>
  <si>
    <t>Total Administration Cost/Year</t>
  </si>
  <si>
    <t>Total Backup Cost/Year</t>
  </si>
  <si>
    <t>Total Proposed Project Costs/Year</t>
  </si>
  <si>
    <t>Total 5 Year Proposed Project Cost</t>
  </si>
  <si>
    <t>Total 5 YearCurrent Cost</t>
  </si>
  <si>
    <t>numServersGroup1</t>
  </si>
  <si>
    <t>numServersGroup3</t>
  </si>
  <si>
    <t>Power - Group 1</t>
  </si>
  <si>
    <t>Power - Group 3</t>
  </si>
  <si>
    <t>Server Maintenance - Group 1</t>
  </si>
  <si>
    <t>Server Maintenance - Group 3</t>
  </si>
  <si>
    <t>numServersGroup4A</t>
  </si>
  <si>
    <t>numServersGroup4B</t>
  </si>
  <si>
    <t>serverPowerGroup1</t>
  </si>
  <si>
    <t>serverPowerGroup3</t>
  </si>
  <si>
    <t>serverPowerGroup4A</t>
  </si>
  <si>
    <t>serverPowerGroup4B</t>
  </si>
  <si>
    <t>serverLoadGroup1</t>
  </si>
  <si>
    <t>serverLoadGroup3</t>
  </si>
  <si>
    <t>serverLoadGroup4A</t>
  </si>
  <si>
    <t>serverLoadGroup4B</t>
  </si>
  <si>
    <t>maintenanceCostYear1Group1</t>
  </si>
  <si>
    <t>maintenanceCostYear1Group3</t>
  </si>
  <si>
    <t>maintenanceCostYear1Group4A</t>
  </si>
  <si>
    <t>maintenanceCostYear1Group4B</t>
  </si>
  <si>
    <t>weeksAdministrativeTimeGroup1</t>
  </si>
  <si>
    <t>weeksAdministrativeTimeGroup3</t>
  </si>
  <si>
    <t>weeksAdministrativeTImeGroup4A</t>
  </si>
  <si>
    <t>weeksAdministrativeTImeGroup4B</t>
  </si>
  <si>
    <t>hoursPerBackupGroup1</t>
  </si>
  <si>
    <t>hoursPerBackupGroup3</t>
  </si>
  <si>
    <t>hoursPerBackupGroup4A</t>
  </si>
  <si>
    <t>hoursPerBackupGroup4B</t>
  </si>
  <si>
    <t>numberOfBackupsPerYearGroup1</t>
  </si>
  <si>
    <t>numberOfBackupsPerYearGroup3</t>
  </si>
  <si>
    <t>numberOfBackupsPerYearGroup4A</t>
  </si>
  <si>
    <t>numberOfBackupsPerYearGroup4B</t>
  </si>
  <si>
    <t>GroupA consists of this many 3200W servers</t>
  </si>
  <si>
    <t>Group 2 consists of this many 3800W servers</t>
  </si>
  <si>
    <t>Group 3 consists of this many 2800W servers</t>
  </si>
  <si>
    <t>Group 4A consists of this many 3800W servers - backup servers</t>
  </si>
  <si>
    <t>Group 4B consists of this many 2800W servers - backup servers</t>
  </si>
  <si>
    <t>power in watts of the servers in group 3</t>
  </si>
  <si>
    <t>power in watts of the servers in group 1</t>
  </si>
  <si>
    <t>power in watts of the servers in group 2</t>
  </si>
  <si>
    <t>power in watts of the servers in group 4A</t>
  </si>
  <si>
    <t>power in watts of the servers in group 4B</t>
  </si>
  <si>
    <t>average load of the servers in group 1</t>
  </si>
  <si>
    <t>average load of the servers in group 3</t>
  </si>
  <si>
    <t>average load of servers in group 4A</t>
  </si>
  <si>
    <t>average load of servers in group 4B</t>
  </si>
  <si>
    <t>cost of maintenance contract year 1 - servers in group 1</t>
  </si>
  <si>
    <t>cost of maintenance contract year 1 - servers in group 3</t>
  </si>
  <si>
    <t>cost of maintenance contract year 1 - servers in group 4A</t>
  </si>
  <si>
    <t>cost of maintenance contract year 1 - servers in group 4B</t>
  </si>
  <si>
    <t>weeks of administrative time per server Group 1</t>
  </si>
  <si>
    <t>weeks of administrative time per server Group 12</t>
  </si>
  <si>
    <t>weeks of administrative time per server Group 3</t>
  </si>
  <si>
    <t>weeks of administrative time per server Group 4A</t>
  </si>
  <si>
    <t>weeks of administrative time per server Group 4B</t>
  </si>
  <si>
    <t>hours per backup of server in Group 1</t>
  </si>
  <si>
    <t>hours per backup of server in Group 3</t>
  </si>
  <si>
    <t>hours per backup of server in Group 4A</t>
  </si>
  <si>
    <t>hours per backup of server in Group 4B</t>
  </si>
  <si>
    <t>number of backups performed on servers in Group 1 in 1 year</t>
  </si>
  <si>
    <t>number of backups performed on servers in Group 3 in 1 year</t>
  </si>
  <si>
    <t>number of backups performed on servers in Group 4A in 1 year</t>
  </si>
  <si>
    <t>number of backups performed on servers in Group 4B in 1 year</t>
  </si>
  <si>
    <t>Power - Group 4A</t>
  </si>
  <si>
    <t>Power - Group 4B</t>
  </si>
  <si>
    <t>Server Maintenance - Group 4A</t>
  </si>
  <si>
    <t>Server Maintenance - Group 4B</t>
  </si>
  <si>
    <t>Server Administration - Group 1</t>
  </si>
  <si>
    <t>Server Administration - Group 3</t>
  </si>
  <si>
    <t>Server Administration - Group 4A</t>
  </si>
  <si>
    <t>Server Administration - Group 4B</t>
  </si>
  <si>
    <t>Server Backup - Group 1</t>
  </si>
  <si>
    <t>Server Backup - Group 3</t>
  </si>
  <si>
    <t>Server Backup - Group 4A</t>
  </si>
  <si>
    <t>Server Backup - Group 4B</t>
  </si>
  <si>
    <t>numServers</t>
  </si>
  <si>
    <t>total number of servers</t>
  </si>
  <si>
    <t>serverPower</t>
  </si>
  <si>
    <t>total server power</t>
  </si>
  <si>
    <t>serverLoad</t>
  </si>
  <si>
    <t xml:space="preserve">average load of the servers </t>
  </si>
  <si>
    <t>maintenanceCostYear1</t>
  </si>
  <si>
    <t xml:space="preserve">cost of maintenance contract year 1 </t>
  </si>
  <si>
    <t>costNewGroup4Server</t>
  </si>
  <si>
    <t>year1Group4ServerMaintenance</t>
  </si>
  <si>
    <t>numNewServersGroup4</t>
  </si>
  <si>
    <t>numVirtualServersGroup4</t>
  </si>
  <si>
    <t>cost of a new group4 server</t>
  </si>
  <si>
    <t>first year service maintenance cost for server in group 4</t>
  </si>
  <si>
    <t>number of virtualized servers in Group 4</t>
  </si>
  <si>
    <t>number of new physical servers in Group 4</t>
  </si>
  <si>
    <t>newServerPowerGroup4</t>
  </si>
  <si>
    <t>power in watts of a server in group 4</t>
  </si>
  <si>
    <t>backupTimeGroup4V</t>
  </si>
  <si>
    <t>numberOfBackUpsGroup4V</t>
  </si>
  <si>
    <t>number of backup of physical servers + virtual servers per year - Group 4</t>
  </si>
  <si>
    <t>hours per backup of physical servers + virtual servers - Group 4</t>
  </si>
  <si>
    <t>Server Maintenance - Group 4</t>
  </si>
  <si>
    <t>Server Administration Group 4 - Physical</t>
  </si>
  <si>
    <t>Server Administration Group 4 - Virtual</t>
  </si>
  <si>
    <t>Group 4 Backup</t>
  </si>
  <si>
    <t>Variables Used In The Current Scenario  Spreadsheet</t>
  </si>
  <si>
    <t>GroupA consists of this many 3500W servers</t>
  </si>
  <si>
    <t>cost of a new group 2 server</t>
  </si>
  <si>
    <t>Shared Variables</t>
  </si>
  <si>
    <t>These are not constants but are variables which are shared across both scenarios</t>
  </si>
  <si>
    <t>Group 2 consists of this many 4500W servers</t>
  </si>
  <si>
    <t>Group 4B consists of this many 3300W servers - backup servers</t>
  </si>
  <si>
    <t>Variables Used In The Current Scenario Spreadsheet</t>
  </si>
  <si>
    <t>Current Scenario Yearly Costs</t>
  </si>
  <si>
    <t>Variables Used In The Proposed Scenario Spreadsheet</t>
  </si>
  <si>
    <t xml:space="preserve">cost of maintenance contract year 1 - servers in group 1  </t>
  </si>
  <si>
    <t>hoursInAdminDay</t>
  </si>
  <si>
    <t>hoursInAdminWeek</t>
  </si>
  <si>
    <t>Server Backup - Group 2</t>
  </si>
  <si>
    <t>Power - Group 4</t>
  </si>
  <si>
    <t>weeksAdminTimeProposed</t>
  </si>
  <si>
    <t>weeks of administrative time per server, physical and virtual</t>
  </si>
  <si>
    <t>weeksAdministrativeTimeGroup4A</t>
  </si>
  <si>
    <t>weeksAdministrativeTimeGroup4B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</si>
</sst>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C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3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3" borderId="1" xfId="0" applyFont="1" applyFill="1" applyBorder="1"/>
    <xf numFmtId="0" fontId="3" fillId="0" borderId="1" xfId="0" applyFont="1" applyFill="1" applyBorder="1" applyAlignment="1">
      <alignment horizontal="center"/>
    </xf>
    <xf numFmtId="0" fontId="4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8" fontId="0" fillId="4" borderId="1" xfId="0" applyNumberFormat="1" applyFill="1" applyBorder="1" applyAlignment="1">
      <alignment horizontal="center"/>
    </xf>
    <xf numFmtId="40" fontId="0" fillId="4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4" fontId="0" fillId="6" borderId="1" xfId="0" applyNumberFormat="1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2" xfId="0" applyFill="1" applyBorder="1"/>
    <xf numFmtId="0" fontId="0" fillId="7" borderId="1" xfId="0" applyFill="1" applyBorder="1"/>
    <xf numFmtId="4" fontId="0" fillId="7" borderId="1" xfId="0" applyNumberFormat="1" applyFill="1" applyBorder="1" applyAlignment="1">
      <alignment horizontal="right"/>
    </xf>
    <xf numFmtId="0" fontId="0" fillId="7" borderId="6" xfId="0" applyFill="1" applyBorder="1"/>
    <xf numFmtId="0" fontId="0" fillId="7" borderId="7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4" fontId="0" fillId="7" borderId="1" xfId="0" applyNumberFormat="1" applyFill="1" applyBorder="1"/>
    <xf numFmtId="4" fontId="0" fillId="5" borderId="1" xfId="0" applyNumberFormat="1" applyFill="1" applyBorder="1"/>
    <xf numFmtId="0" fontId="1" fillId="7" borderId="1" xfId="0" applyFont="1" applyFill="1" applyBorder="1" applyAlignment="1">
      <alignment horizontal="left"/>
    </xf>
    <xf numFmtId="0" fontId="3" fillId="4" borderId="1" xfId="0" applyFont="1" applyFill="1" applyBorder="1"/>
    <xf numFmtId="4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left"/>
    </xf>
    <xf numFmtId="4" fontId="0" fillId="8" borderId="1" xfId="0" applyNumberFormat="1" applyFill="1" applyBorder="1" applyAlignment="1">
      <alignment horizontal="right"/>
    </xf>
    <xf numFmtId="0" fontId="0" fillId="2" borderId="6" xfId="0" applyFill="1" applyBorder="1"/>
    <xf numFmtId="0" fontId="0" fillId="9" borderId="1" xfId="0" applyFill="1" applyBorder="1"/>
    <xf numFmtId="4" fontId="0" fillId="9" borderId="1" xfId="0" applyNumberFormat="1" applyFill="1" applyBorder="1"/>
    <xf numFmtId="4" fontId="0" fillId="10" borderId="1" xfId="0" applyNumberFormat="1" applyFill="1" applyBorder="1"/>
    <xf numFmtId="0" fontId="1" fillId="7" borderId="1" xfId="0" applyFont="1" applyFill="1" applyBorder="1"/>
    <xf numFmtId="4" fontId="0" fillId="7" borderId="9" xfId="0" applyNumberFormat="1" applyFill="1" applyBorder="1"/>
    <xf numFmtId="4" fontId="0" fillId="7" borderId="10" xfId="0" applyNumberFormat="1" applyFill="1" applyBorder="1"/>
    <xf numFmtId="0" fontId="1" fillId="5" borderId="1" xfId="0" applyFont="1" applyFill="1" applyBorder="1" applyAlignment="1">
      <alignment horizontal="left"/>
    </xf>
    <xf numFmtId="4" fontId="0" fillId="8" borderId="1" xfId="0" applyNumberFormat="1" applyFill="1" applyBorder="1"/>
    <xf numFmtId="4" fontId="0" fillId="11" borderId="1" xfId="0" applyNumberFormat="1" applyFill="1" applyBorder="1"/>
    <xf numFmtId="0" fontId="1" fillId="11" borderId="1" xfId="0" applyFont="1" applyFill="1" applyBorder="1" applyAlignment="1">
      <alignment horizontal="right"/>
    </xf>
    <xf numFmtId="0" fontId="1" fillId="8" borderId="1" xfId="0" applyFont="1" applyFill="1" applyBorder="1"/>
    <xf numFmtId="4" fontId="0" fillId="7" borderId="11" xfId="0" applyNumberFormat="1" applyFill="1" applyBorder="1" applyAlignment="1"/>
    <xf numFmtId="4" fontId="0" fillId="7" borderId="6" xfId="0" applyNumberFormat="1" applyFill="1" applyBorder="1" applyAlignment="1"/>
    <xf numFmtId="4" fontId="0" fillId="7" borderId="7" xfId="0" applyNumberFormat="1" applyFill="1" applyBorder="1" applyAlignment="1"/>
    <xf numFmtId="0" fontId="1" fillId="7" borderId="8" xfId="0" applyFont="1" applyFill="1" applyBorder="1"/>
    <xf numFmtId="0" fontId="1" fillId="7" borderId="8" xfId="0" applyFont="1" applyFill="1" applyBorder="1" applyAlignment="1">
      <alignment horizontal="right"/>
    </xf>
    <xf numFmtId="0" fontId="5" fillId="5" borderId="1" xfId="0" applyFont="1" applyFill="1" applyBorder="1"/>
    <xf numFmtId="0" fontId="5" fillId="5" borderId="12" xfId="0" applyFont="1" applyFill="1" applyBorder="1"/>
    <xf numFmtId="0" fontId="5" fillId="5" borderId="5" xfId="0" applyFont="1" applyFill="1" applyBorder="1"/>
    <xf numFmtId="0" fontId="1" fillId="8" borderId="8" xfId="0" applyFont="1" applyFill="1" applyBorder="1" applyAlignment="1">
      <alignment horizontal="left"/>
    </xf>
    <xf numFmtId="0" fontId="1" fillId="11" borderId="1" xfId="0" applyFont="1" applyFill="1" applyBorder="1"/>
    <xf numFmtId="0" fontId="0" fillId="0" borderId="0" xfId="0" applyBorder="1"/>
    <xf numFmtId="4" fontId="0" fillId="4" borderId="0" xfId="0" applyNumberFormat="1" applyFill="1" applyBorder="1"/>
    <xf numFmtId="4" fontId="0" fillId="12" borderId="1" xfId="0" applyNumberFormat="1" applyFill="1" applyBorder="1"/>
    <xf numFmtId="0" fontId="0" fillId="7" borderId="1" xfId="0" applyFont="1" applyFill="1" applyBorder="1"/>
    <xf numFmtId="0" fontId="1" fillId="12" borderId="1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4" fontId="6" fillId="9" borderId="1" xfId="0" applyNumberFormat="1" applyFont="1" applyFill="1" applyBorder="1"/>
    <xf numFmtId="4" fontId="6" fillId="13" borderId="1" xfId="0" applyNumberFormat="1" applyFont="1" applyFill="1" applyBorder="1"/>
    <xf numFmtId="0" fontId="5" fillId="11" borderId="1" xfId="0" applyFont="1" applyFill="1" applyBorder="1" applyAlignment="1">
      <alignment horizontal="right"/>
    </xf>
    <xf numFmtId="4" fontId="5" fillId="11" borderId="1" xfId="0" applyNumberFormat="1" applyFont="1" applyFill="1" applyBorder="1"/>
    <xf numFmtId="0" fontId="0" fillId="0" borderId="0" xfId="0" applyFill="1"/>
    <xf numFmtId="0" fontId="0" fillId="8" borderId="1" xfId="0" applyFont="1" applyFill="1" applyBorder="1"/>
    <xf numFmtId="0" fontId="0" fillId="8" borderId="1" xfId="0" applyFill="1" applyBorder="1"/>
    <xf numFmtId="0" fontId="0" fillId="7" borderId="13" xfId="0" applyFill="1" applyBorder="1" applyAlignment="1">
      <alignment horizontal="right"/>
    </xf>
    <xf numFmtId="1" fontId="0" fillId="0" borderId="1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0" fillId="3" borderId="1" xfId="0" applyFont="1" applyFill="1" applyBorder="1"/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/>
    <xf numFmtId="9" fontId="0" fillId="4" borderId="1" xfId="0" applyNumberFormat="1" applyFill="1" applyBorder="1" applyAlignment="1">
      <alignment horizontal="center"/>
    </xf>
    <xf numFmtId="4" fontId="0" fillId="0" borderId="5" xfId="0" applyNumberFormat="1" applyFill="1" applyBorder="1" applyAlignment="1">
      <alignment horizontal="right"/>
    </xf>
    <xf numFmtId="9" fontId="0" fillId="0" borderId="1" xfId="1" applyFont="1" applyBorder="1" applyAlignment="1">
      <alignment horizontal="center"/>
    </xf>
    <xf numFmtId="0" fontId="0" fillId="0" borderId="13" xfId="0" applyFill="1" applyBorder="1"/>
    <xf numFmtId="0" fontId="5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left"/>
    </xf>
    <xf numFmtId="0" fontId="9" fillId="3" borderId="9" xfId="0" applyFont="1" applyFill="1" applyBorder="1" applyAlignment="1">
      <alignment horizontal="left"/>
    </xf>
    <xf numFmtId="0" fontId="9" fillId="3" borderId="10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9" borderId="1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7" borderId="12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0" fillId="7" borderId="4" xfId="0" applyFill="1" applyBorder="1" applyAlignment="1">
      <alignment horizontal="right"/>
    </xf>
    <xf numFmtId="0" fontId="0" fillId="7" borderId="11" xfId="0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4" fontId="0" fillId="7" borderId="12" xfId="0" applyNumberFormat="1" applyFill="1" applyBorder="1"/>
    <xf numFmtId="4" fontId="0" fillId="7" borderId="3" xfId="0" applyNumberFormat="1" applyFill="1" applyBorder="1"/>
    <xf numFmtId="4" fontId="0" fillId="7" borderId="4" xfId="0" applyNumberFormat="1" applyFill="1" applyBorder="1"/>
    <xf numFmtId="4" fontId="0" fillId="7" borderId="11" xfId="0" applyNumberFormat="1" applyFill="1" applyBorder="1"/>
    <xf numFmtId="4" fontId="0" fillId="7" borderId="6" xfId="0" applyNumberFormat="1" applyFill="1" applyBorder="1"/>
    <xf numFmtId="4" fontId="0" fillId="7" borderId="7" xfId="0" applyNumberFormat="1" applyFill="1" applyBorder="1"/>
    <xf numFmtId="0" fontId="0" fillId="9" borderId="1" xfId="0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/>
    </xf>
    <xf numFmtId="4" fontId="0" fillId="7" borderId="9" xfId="0" applyNumberFormat="1" applyFill="1" applyBorder="1" applyAlignment="1">
      <alignment horizontal="center"/>
    </xf>
    <xf numFmtId="4" fontId="0" fillId="7" borderId="10" xfId="0" applyNumberForma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9" borderId="1" xfId="0" applyFont="1" applyFill="1" applyBorder="1" applyAlignment="1">
      <alignment horizontal="right"/>
    </xf>
    <xf numFmtId="0" fontId="6" fillId="13" borderId="1" xfId="0" applyFont="1" applyFill="1" applyBorder="1" applyAlignment="1">
      <alignment horizontal="right"/>
    </xf>
    <xf numFmtId="0" fontId="8" fillId="14" borderId="12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opLeftCell="B1" zoomScaleNormal="100" workbookViewId="0">
      <selection activeCell="C30" sqref="C30"/>
    </sheetView>
  </sheetViews>
  <sheetFormatPr defaultColWidth="8.85546875" defaultRowHeight="15" x14ac:dyDescent="0.25"/>
  <cols>
    <col min="1" max="1" width="17.28515625" hidden="1" customWidth="1"/>
    <col min="2" max="2" width="14.42578125" style="1" customWidth="1"/>
    <col min="3" max="3" width="36.28515625" customWidth="1"/>
    <col min="4" max="4" width="65.42578125" customWidth="1"/>
  </cols>
  <sheetData>
    <row r="1" spans="1:4" ht="18.75" x14ac:dyDescent="0.3">
      <c r="A1" s="93" t="s">
        <v>32</v>
      </c>
      <c r="B1" s="94"/>
      <c r="C1" s="94"/>
      <c r="D1" s="94"/>
    </row>
    <row r="2" spans="1:4" ht="18.75" x14ac:dyDescent="0.3">
      <c r="A2" s="3" t="s">
        <v>1</v>
      </c>
      <c r="B2" s="4"/>
      <c r="C2" s="5"/>
      <c r="D2" s="5"/>
    </row>
    <row r="3" spans="1:4" x14ac:dyDescent="0.25">
      <c r="A3" s="5"/>
      <c r="B3" s="6" t="s">
        <v>25</v>
      </c>
      <c r="C3" s="6" t="s">
        <v>27</v>
      </c>
      <c r="D3" s="6" t="s">
        <v>26</v>
      </c>
    </row>
    <row r="4" spans="1:4" x14ac:dyDescent="0.25">
      <c r="A4" s="5"/>
      <c r="B4" s="8"/>
      <c r="C4" s="15" t="s">
        <v>226</v>
      </c>
      <c r="D4" s="15" t="s">
        <v>227</v>
      </c>
    </row>
    <row r="5" spans="1:4" x14ac:dyDescent="0.25">
      <c r="A5" s="5"/>
      <c r="B5" s="10"/>
      <c r="C5" s="15"/>
      <c r="D5" s="15"/>
    </row>
    <row r="6" spans="1:4" x14ac:dyDescent="0.25">
      <c r="A6" s="5"/>
      <c r="B6" s="9"/>
      <c r="C6" s="15" t="s">
        <v>228</v>
      </c>
      <c r="D6" s="15" t="s">
        <v>229</v>
      </c>
    </row>
    <row r="7" spans="1:4" ht="18.75" x14ac:dyDescent="0.3">
      <c r="A7" s="36"/>
      <c r="B7" s="12"/>
      <c r="C7" s="15"/>
      <c r="D7" s="15"/>
    </row>
    <row r="8" spans="1:4" x14ac:dyDescent="0.25">
      <c r="A8" s="15"/>
      <c r="B8" s="8"/>
      <c r="C8" s="15" t="s">
        <v>230</v>
      </c>
      <c r="D8" s="15" t="s">
        <v>231</v>
      </c>
    </row>
    <row r="9" spans="1:4" x14ac:dyDescent="0.25">
      <c r="A9" s="15"/>
      <c r="B9" s="9"/>
      <c r="C9" s="5"/>
      <c r="D9" s="5"/>
    </row>
    <row r="10" spans="1:4" x14ac:dyDescent="0.25">
      <c r="A10" s="15"/>
      <c r="B10" s="9"/>
      <c r="C10" s="15" t="s">
        <v>232</v>
      </c>
      <c r="D10" s="15" t="s">
        <v>233</v>
      </c>
    </row>
    <row r="11" spans="1:4" ht="18.75" x14ac:dyDescent="0.3">
      <c r="A11" s="11" t="s">
        <v>3</v>
      </c>
      <c r="B11" s="38"/>
      <c r="C11" s="7"/>
      <c r="D11" s="7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0"/>
  <sheetViews>
    <sheetView zoomScaleNormal="100" workbookViewId="0">
      <selection activeCell="B5" sqref="B5"/>
    </sheetView>
  </sheetViews>
  <sheetFormatPr defaultColWidth="8.85546875" defaultRowHeight="15" x14ac:dyDescent="0.25"/>
  <cols>
    <col min="1" max="2" width="14.7109375" customWidth="1"/>
    <col min="3" max="3" width="39.28515625" customWidth="1"/>
    <col min="4" max="4" width="65.42578125" customWidth="1"/>
  </cols>
  <sheetData>
    <row r="1" spans="1:4" ht="18.75" x14ac:dyDescent="0.3">
      <c r="A1" s="93" t="s">
        <v>252</v>
      </c>
      <c r="B1" s="93"/>
      <c r="C1" s="94"/>
      <c r="D1" s="94"/>
    </row>
    <row r="2" spans="1:4" ht="18.75" x14ac:dyDescent="0.3">
      <c r="A2" s="3" t="s">
        <v>1</v>
      </c>
      <c r="B2" s="3"/>
      <c r="C2" s="5"/>
      <c r="D2" s="5"/>
    </row>
    <row r="3" spans="1:4" x14ac:dyDescent="0.25">
      <c r="A3" s="5"/>
      <c r="B3" s="5" t="s">
        <v>25</v>
      </c>
      <c r="C3" s="7" t="s">
        <v>27</v>
      </c>
      <c r="D3" s="7" t="s">
        <v>26</v>
      </c>
    </row>
    <row r="4" spans="1:4" ht="9" customHeight="1" x14ac:dyDescent="0.25">
      <c r="A4" s="9"/>
      <c r="B4" s="9"/>
      <c r="C4" s="15"/>
      <c r="D4" s="15"/>
    </row>
    <row r="5" spans="1:4" x14ac:dyDescent="0.25">
      <c r="A5" s="9"/>
      <c r="B5" s="14"/>
      <c r="C5" s="15" t="s">
        <v>151</v>
      </c>
      <c r="D5" s="15" t="s">
        <v>183</v>
      </c>
    </row>
    <row r="6" spans="1:4" x14ac:dyDescent="0.25">
      <c r="A6" s="9"/>
      <c r="B6" s="14"/>
      <c r="C6" s="15" t="s">
        <v>39</v>
      </c>
      <c r="D6" s="15" t="s">
        <v>184</v>
      </c>
    </row>
    <row r="7" spans="1:4" x14ac:dyDescent="0.25">
      <c r="A7" s="9"/>
      <c r="B7" s="14"/>
      <c r="C7" s="15" t="s">
        <v>152</v>
      </c>
      <c r="D7" s="15" t="s">
        <v>185</v>
      </c>
    </row>
    <row r="8" spans="1:4" x14ac:dyDescent="0.25">
      <c r="A8" s="9"/>
      <c r="B8" s="14"/>
      <c r="C8" s="15" t="s">
        <v>157</v>
      </c>
      <c r="D8" s="15" t="s">
        <v>186</v>
      </c>
    </row>
    <row r="9" spans="1:4" x14ac:dyDescent="0.25">
      <c r="A9" s="9"/>
      <c r="B9" s="14"/>
      <c r="C9" s="15" t="s">
        <v>158</v>
      </c>
      <c r="D9" s="15" t="s">
        <v>187</v>
      </c>
    </row>
    <row r="10" spans="1:4" ht="8.25" customHeight="1" x14ac:dyDescent="0.25">
      <c r="A10" s="9"/>
      <c r="B10" s="9"/>
      <c r="C10" s="15"/>
      <c r="D10" s="15"/>
    </row>
    <row r="11" spans="1:4" x14ac:dyDescent="0.25">
      <c r="A11" s="9"/>
      <c r="B11" s="14"/>
      <c r="C11" s="15" t="s">
        <v>159</v>
      </c>
      <c r="D11" s="15" t="s">
        <v>189</v>
      </c>
    </row>
    <row r="12" spans="1:4" x14ac:dyDescent="0.25">
      <c r="A12" s="9"/>
      <c r="B12" s="14"/>
      <c r="C12" s="15" t="s">
        <v>40</v>
      </c>
      <c r="D12" s="15" t="s">
        <v>190</v>
      </c>
    </row>
    <row r="13" spans="1:4" x14ac:dyDescent="0.25">
      <c r="A13" s="9"/>
      <c r="B13" s="14"/>
      <c r="C13" s="15" t="s">
        <v>160</v>
      </c>
      <c r="D13" s="15" t="s">
        <v>188</v>
      </c>
    </row>
    <row r="14" spans="1:4" x14ac:dyDescent="0.25">
      <c r="A14" s="9"/>
      <c r="B14" s="14"/>
      <c r="C14" s="15" t="s">
        <v>161</v>
      </c>
      <c r="D14" s="15" t="s">
        <v>191</v>
      </c>
    </row>
    <row r="15" spans="1:4" x14ac:dyDescent="0.25">
      <c r="A15" s="9"/>
      <c r="B15" s="14"/>
      <c r="C15" s="15" t="s">
        <v>162</v>
      </c>
      <c r="D15" s="15" t="s">
        <v>192</v>
      </c>
    </row>
    <row r="16" spans="1:4" ht="9" customHeight="1" x14ac:dyDescent="0.25">
      <c r="A16" s="9"/>
      <c r="B16" s="9"/>
      <c r="C16" s="15"/>
      <c r="D16" s="15"/>
    </row>
    <row r="17" spans="1:7" x14ac:dyDescent="0.25">
      <c r="A17" s="9"/>
      <c r="B17" s="14"/>
      <c r="C17" s="15" t="s">
        <v>163</v>
      </c>
      <c r="D17" s="15" t="s">
        <v>193</v>
      </c>
    </row>
    <row r="18" spans="1:7" x14ac:dyDescent="0.25">
      <c r="A18" s="9"/>
      <c r="B18" s="14"/>
      <c r="C18" s="15" t="s">
        <v>41</v>
      </c>
      <c r="D18" s="15" t="s">
        <v>118</v>
      </c>
    </row>
    <row r="19" spans="1:7" x14ac:dyDescent="0.25">
      <c r="A19" s="9"/>
      <c r="B19" s="14"/>
      <c r="C19" s="15" t="s">
        <v>164</v>
      </c>
      <c r="D19" s="15" t="s">
        <v>194</v>
      </c>
    </row>
    <row r="20" spans="1:7" x14ac:dyDescent="0.25">
      <c r="A20" s="9"/>
      <c r="B20" s="14"/>
      <c r="C20" s="15" t="s">
        <v>165</v>
      </c>
      <c r="D20" s="15" t="s">
        <v>195</v>
      </c>
    </row>
    <row r="21" spans="1:7" x14ac:dyDescent="0.25">
      <c r="A21" s="9"/>
      <c r="B21" s="14"/>
      <c r="C21" s="15" t="s">
        <v>166</v>
      </c>
      <c r="D21" s="15" t="s">
        <v>196</v>
      </c>
    </row>
    <row r="22" spans="1:7" ht="9.75" customHeight="1" x14ac:dyDescent="0.25">
      <c r="A22" s="9"/>
      <c r="B22" s="14"/>
      <c r="C22" s="15"/>
      <c r="D22" s="15"/>
    </row>
    <row r="23" spans="1:7" x14ac:dyDescent="0.25">
      <c r="A23" s="9"/>
      <c r="B23" s="16"/>
      <c r="C23" s="15" t="s">
        <v>167</v>
      </c>
      <c r="D23" s="15" t="s">
        <v>197</v>
      </c>
    </row>
    <row r="24" spans="1:7" x14ac:dyDescent="0.25">
      <c r="A24" s="9"/>
      <c r="B24" s="16"/>
      <c r="C24" s="15" t="s">
        <v>42</v>
      </c>
      <c r="D24" s="15" t="s">
        <v>119</v>
      </c>
    </row>
    <row r="25" spans="1:7" x14ac:dyDescent="0.25">
      <c r="A25" s="9"/>
      <c r="B25" s="16"/>
      <c r="C25" s="15" t="s">
        <v>168</v>
      </c>
      <c r="D25" s="15" t="s">
        <v>198</v>
      </c>
    </row>
    <row r="26" spans="1:7" x14ac:dyDescent="0.25">
      <c r="A26" s="9"/>
      <c r="B26" s="16"/>
      <c r="C26" s="15" t="s">
        <v>169</v>
      </c>
      <c r="D26" s="15" t="s">
        <v>199</v>
      </c>
    </row>
    <row r="27" spans="1:7" x14ac:dyDescent="0.25">
      <c r="A27" s="9"/>
      <c r="B27" s="16"/>
      <c r="C27" s="15" t="s">
        <v>170</v>
      </c>
      <c r="D27" s="15" t="s">
        <v>200</v>
      </c>
    </row>
    <row r="28" spans="1:7" ht="9.75" customHeight="1" x14ac:dyDescent="0.25">
      <c r="A28" s="9"/>
      <c r="B28" s="16"/>
      <c r="C28" s="15"/>
      <c r="D28" s="15"/>
      <c r="G28" s="5"/>
    </row>
    <row r="29" spans="1:7" x14ac:dyDescent="0.25">
      <c r="A29" s="9"/>
      <c r="B29" s="16"/>
      <c r="C29" s="15" t="s">
        <v>33</v>
      </c>
      <c r="D29" s="15" t="s">
        <v>34</v>
      </c>
    </row>
    <row r="30" spans="1:7" x14ac:dyDescent="0.25">
      <c r="A30" s="9"/>
      <c r="B30" s="16"/>
      <c r="C30" s="15" t="s">
        <v>35</v>
      </c>
      <c r="D30" s="15" t="s">
        <v>38</v>
      </c>
    </row>
    <row r="31" spans="1:7" x14ac:dyDescent="0.25">
      <c r="A31" s="9"/>
      <c r="B31" s="16"/>
      <c r="C31" s="15" t="s">
        <v>36</v>
      </c>
      <c r="D31" s="15" t="s">
        <v>37</v>
      </c>
    </row>
    <row r="32" spans="1:7" ht="10.5" customHeight="1" x14ac:dyDescent="0.25">
      <c r="A32" s="5"/>
      <c r="B32" s="16"/>
      <c r="C32" s="15"/>
      <c r="D32" s="15"/>
    </row>
    <row r="33" spans="1:4" x14ac:dyDescent="0.25">
      <c r="A33" s="5"/>
      <c r="B33" s="16"/>
      <c r="C33" s="15" t="s">
        <v>43</v>
      </c>
      <c r="D33" s="15" t="s">
        <v>44</v>
      </c>
    </row>
    <row r="34" spans="1:4" x14ac:dyDescent="0.25">
      <c r="A34" s="5"/>
      <c r="B34" s="17"/>
      <c r="C34" s="15" t="s">
        <v>45</v>
      </c>
      <c r="D34" s="15" t="s">
        <v>46</v>
      </c>
    </row>
    <row r="35" spans="1:4" x14ac:dyDescent="0.25">
      <c r="A35" s="5"/>
      <c r="B35" s="17"/>
      <c r="C35" s="15" t="s">
        <v>48</v>
      </c>
      <c r="D35" s="15" t="s">
        <v>49</v>
      </c>
    </row>
    <row r="36" spans="1:4" x14ac:dyDescent="0.25">
      <c r="A36" s="5"/>
      <c r="B36" s="14"/>
      <c r="C36" s="15"/>
      <c r="D36" s="15"/>
    </row>
    <row r="37" spans="1:4" ht="18.75" x14ac:dyDescent="0.3">
      <c r="A37" s="11" t="s">
        <v>3</v>
      </c>
      <c r="B37" s="12"/>
      <c r="C37" s="5"/>
      <c r="D37" s="5"/>
    </row>
    <row r="38" spans="1:4" x14ac:dyDescent="0.25">
      <c r="A38" s="5"/>
      <c r="B38" s="8"/>
      <c r="C38" s="5" t="s">
        <v>58</v>
      </c>
      <c r="D38" s="5" t="s">
        <v>57</v>
      </c>
    </row>
    <row r="39" spans="1:4" x14ac:dyDescent="0.25">
      <c r="A39" s="5"/>
      <c r="B39" s="10"/>
      <c r="C39" s="5" t="s">
        <v>59</v>
      </c>
      <c r="D39" s="5" t="s">
        <v>60</v>
      </c>
    </row>
    <row r="40" spans="1:4" x14ac:dyDescent="0.25">
      <c r="A40" s="5"/>
      <c r="B40" s="10"/>
      <c r="C40" s="5" t="s">
        <v>171</v>
      </c>
      <c r="D40" s="5" t="s">
        <v>201</v>
      </c>
    </row>
    <row r="41" spans="1:4" x14ac:dyDescent="0.25">
      <c r="A41" s="5"/>
      <c r="B41" s="10"/>
      <c r="C41" s="5" t="s">
        <v>56</v>
      </c>
      <c r="D41" s="5" t="s">
        <v>202</v>
      </c>
    </row>
    <row r="42" spans="1:4" x14ac:dyDescent="0.25">
      <c r="A42" s="5"/>
      <c r="B42" s="10"/>
      <c r="C42" s="5" t="s">
        <v>172</v>
      </c>
      <c r="D42" s="5" t="s">
        <v>203</v>
      </c>
    </row>
    <row r="43" spans="1:4" x14ac:dyDescent="0.25">
      <c r="A43" s="5"/>
      <c r="B43" s="10"/>
      <c r="C43" s="5" t="s">
        <v>173</v>
      </c>
      <c r="D43" s="5" t="s">
        <v>204</v>
      </c>
    </row>
    <row r="44" spans="1:4" x14ac:dyDescent="0.25">
      <c r="A44" s="5"/>
      <c r="B44" s="10"/>
      <c r="C44" s="5" t="s">
        <v>174</v>
      </c>
      <c r="D44" s="5" t="s">
        <v>205</v>
      </c>
    </row>
    <row r="45" spans="1:4" x14ac:dyDescent="0.25">
      <c r="A45" s="5"/>
      <c r="B45" s="10"/>
      <c r="C45" s="5"/>
      <c r="D45" s="5"/>
    </row>
    <row r="46" spans="1:4" x14ac:dyDescent="0.25">
      <c r="A46" s="5"/>
      <c r="B46" s="10"/>
      <c r="C46" s="5" t="s">
        <v>175</v>
      </c>
      <c r="D46" s="5" t="s">
        <v>206</v>
      </c>
    </row>
    <row r="47" spans="1:4" x14ac:dyDescent="0.25">
      <c r="A47" s="5"/>
      <c r="B47" s="10"/>
      <c r="C47" s="5" t="s">
        <v>65</v>
      </c>
      <c r="D47" s="5" t="s">
        <v>66</v>
      </c>
    </row>
    <row r="48" spans="1:4" x14ac:dyDescent="0.25">
      <c r="A48" s="5"/>
      <c r="B48" s="10"/>
      <c r="C48" s="5" t="s">
        <v>176</v>
      </c>
      <c r="D48" s="5" t="s">
        <v>207</v>
      </c>
    </row>
    <row r="49" spans="1:4" x14ac:dyDescent="0.25">
      <c r="A49" s="5"/>
      <c r="B49" s="10"/>
      <c r="C49" s="5" t="s">
        <v>177</v>
      </c>
      <c r="D49" s="5" t="s">
        <v>208</v>
      </c>
    </row>
    <row r="50" spans="1:4" x14ac:dyDescent="0.25">
      <c r="A50" s="5"/>
      <c r="B50" s="10"/>
      <c r="C50" s="5" t="s">
        <v>178</v>
      </c>
      <c r="D50" s="5" t="s">
        <v>209</v>
      </c>
    </row>
    <row r="51" spans="1:4" x14ac:dyDescent="0.25">
      <c r="A51" s="5"/>
      <c r="B51" s="8"/>
      <c r="C51" s="5"/>
      <c r="D51" s="5"/>
    </row>
    <row r="52" spans="1:4" x14ac:dyDescent="0.25">
      <c r="A52" s="5"/>
      <c r="B52" s="10"/>
      <c r="C52" s="5" t="s">
        <v>179</v>
      </c>
      <c r="D52" s="5" t="s">
        <v>210</v>
      </c>
    </row>
    <row r="53" spans="1:4" x14ac:dyDescent="0.25">
      <c r="A53" s="5"/>
      <c r="B53" s="10"/>
      <c r="C53" s="5" t="s">
        <v>67</v>
      </c>
      <c r="D53" s="5" t="s">
        <v>68</v>
      </c>
    </row>
    <row r="54" spans="1:4" x14ac:dyDescent="0.25">
      <c r="A54" s="5"/>
      <c r="B54" s="10"/>
      <c r="C54" s="5" t="s">
        <v>180</v>
      </c>
      <c r="D54" s="5" t="s">
        <v>211</v>
      </c>
    </row>
    <row r="55" spans="1:4" x14ac:dyDescent="0.25">
      <c r="A55" s="5"/>
      <c r="B55" s="10"/>
      <c r="C55" s="5" t="s">
        <v>181</v>
      </c>
      <c r="D55" s="5" t="s">
        <v>212</v>
      </c>
    </row>
    <row r="56" spans="1:4" x14ac:dyDescent="0.25">
      <c r="A56" s="5"/>
      <c r="B56" s="10"/>
      <c r="C56" s="5" t="s">
        <v>182</v>
      </c>
      <c r="D56" s="5" t="s">
        <v>213</v>
      </c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26"/>
  <sheetViews>
    <sheetView zoomScaleNormal="100" workbookViewId="0">
      <selection activeCell="F18" sqref="F18"/>
    </sheetView>
  </sheetViews>
  <sheetFormatPr defaultColWidth="8.85546875" defaultRowHeight="15" x14ac:dyDescent="0.25"/>
  <cols>
    <col min="1" max="1" width="25.85546875" customWidth="1"/>
    <col min="2" max="2" width="14.28515625" customWidth="1"/>
    <col min="3" max="3" width="42.140625" customWidth="1"/>
    <col min="4" max="4" width="65.28515625" customWidth="1"/>
  </cols>
  <sheetData>
    <row r="2" spans="1:4" ht="18.75" x14ac:dyDescent="0.3">
      <c r="A2" s="13" t="s">
        <v>31</v>
      </c>
      <c r="B2" s="83"/>
      <c r="C2" s="7"/>
      <c r="D2" s="7"/>
    </row>
    <row r="3" spans="1:4" x14ac:dyDescent="0.25">
      <c r="A3" s="5"/>
      <c r="B3" s="9">
        <v>8760</v>
      </c>
      <c r="C3" s="5" t="s">
        <v>54</v>
      </c>
      <c r="D3" s="5" t="s">
        <v>28</v>
      </c>
    </row>
    <row r="4" spans="1:4" x14ac:dyDescent="0.25">
      <c r="A4" s="5"/>
      <c r="B4" s="9">
        <v>12</v>
      </c>
      <c r="C4" s="5" t="s">
        <v>53</v>
      </c>
      <c r="D4" s="5" t="s">
        <v>62</v>
      </c>
    </row>
    <row r="5" spans="1:4" x14ac:dyDescent="0.25">
      <c r="A5" s="5"/>
      <c r="B5" s="9">
        <v>52</v>
      </c>
      <c r="C5" s="5" t="s">
        <v>61</v>
      </c>
      <c r="D5" s="5" t="s">
        <v>63</v>
      </c>
    </row>
    <row r="6" spans="1:4" x14ac:dyDescent="0.25">
      <c r="A6" s="5"/>
      <c r="B6" s="9">
        <v>365</v>
      </c>
      <c r="C6" s="5" t="s">
        <v>114</v>
      </c>
      <c r="D6" s="5" t="s">
        <v>115</v>
      </c>
    </row>
    <row r="7" spans="1:4" x14ac:dyDescent="0.25">
      <c r="A7" s="5"/>
      <c r="B7" s="9">
        <v>1000</v>
      </c>
      <c r="C7" s="5" t="s">
        <v>116</v>
      </c>
      <c r="D7" s="5" t="s">
        <v>117</v>
      </c>
    </row>
    <row r="8" spans="1:4" x14ac:dyDescent="0.25">
      <c r="A8" s="5"/>
      <c r="B8" s="9">
        <v>24</v>
      </c>
      <c r="C8" s="5" t="s">
        <v>29</v>
      </c>
      <c r="D8" s="5"/>
    </row>
    <row r="9" spans="1:4" x14ac:dyDescent="0.25">
      <c r="A9" s="5"/>
      <c r="B9" s="5"/>
      <c r="C9" s="5"/>
      <c r="D9" s="5"/>
    </row>
    <row r="10" spans="1:4" ht="18.75" x14ac:dyDescent="0.3">
      <c r="A10" s="13" t="s">
        <v>255</v>
      </c>
      <c r="B10" s="95" t="s">
        <v>256</v>
      </c>
      <c r="C10" s="96"/>
      <c r="D10" s="97"/>
    </row>
    <row r="11" spans="1:4" x14ac:dyDescent="0.25">
      <c r="A11" s="5"/>
      <c r="B11" s="8">
        <v>75</v>
      </c>
      <c r="C11" s="5" t="s">
        <v>58</v>
      </c>
      <c r="D11" s="5" t="s">
        <v>57</v>
      </c>
    </row>
    <row r="12" spans="1:4" x14ac:dyDescent="0.25">
      <c r="A12" s="5"/>
      <c r="B12" s="17">
        <v>1.02</v>
      </c>
      <c r="C12" s="5" t="s">
        <v>59</v>
      </c>
      <c r="D12" s="5" t="s">
        <v>60</v>
      </c>
    </row>
    <row r="13" spans="1:4" x14ac:dyDescent="0.25">
      <c r="A13" s="5"/>
      <c r="B13" s="16">
        <v>4500</v>
      </c>
      <c r="C13" s="15" t="s">
        <v>33</v>
      </c>
      <c r="D13" s="15" t="s">
        <v>34</v>
      </c>
    </row>
    <row r="14" spans="1:4" x14ac:dyDescent="0.25">
      <c r="A14" s="5"/>
      <c r="B14" s="16">
        <v>6500</v>
      </c>
      <c r="C14" s="15" t="s">
        <v>35</v>
      </c>
      <c r="D14" s="15" t="s">
        <v>38</v>
      </c>
    </row>
    <row r="15" spans="1:4" x14ac:dyDescent="0.25">
      <c r="A15" s="5"/>
      <c r="B15" s="16">
        <v>10000</v>
      </c>
      <c r="C15" s="15" t="s">
        <v>36</v>
      </c>
      <c r="D15" s="15" t="s">
        <v>37</v>
      </c>
    </row>
    <row r="16" spans="1:4" x14ac:dyDescent="0.25">
      <c r="A16" s="5"/>
      <c r="B16" s="9"/>
      <c r="C16" s="5"/>
      <c r="D16" s="5"/>
    </row>
    <row r="17" spans="1:4" x14ac:dyDescent="0.25">
      <c r="A17" s="5"/>
      <c r="B17" s="17">
        <v>1.03</v>
      </c>
      <c r="C17" s="15" t="s">
        <v>96</v>
      </c>
      <c r="D17" s="15" t="s">
        <v>49</v>
      </c>
    </row>
    <row r="18" spans="1:4" x14ac:dyDescent="0.25">
      <c r="A18" s="5"/>
      <c r="B18" s="16">
        <v>0.13</v>
      </c>
      <c r="C18" s="15" t="s">
        <v>43</v>
      </c>
      <c r="D18" s="15" t="s">
        <v>44</v>
      </c>
    </row>
    <row r="19" spans="1:4" x14ac:dyDescent="0.25">
      <c r="A19" s="5"/>
      <c r="B19" s="17">
        <v>1.02</v>
      </c>
      <c r="C19" s="15" t="s">
        <v>45</v>
      </c>
      <c r="D19" s="15" t="s">
        <v>46</v>
      </c>
    </row>
    <row r="20" spans="1:4" x14ac:dyDescent="0.25">
      <c r="A20" s="5"/>
      <c r="B20" s="9"/>
      <c r="C20" s="5"/>
      <c r="D20" s="5"/>
    </row>
    <row r="21" spans="1:4" x14ac:dyDescent="0.25">
      <c r="A21" s="5"/>
      <c r="B21" s="9">
        <v>10</v>
      </c>
      <c r="C21" s="5" t="s">
        <v>263</v>
      </c>
      <c r="D21" s="5" t="s">
        <v>30</v>
      </c>
    </row>
    <row r="22" spans="1:4" x14ac:dyDescent="0.25">
      <c r="A22" s="5"/>
      <c r="B22" s="9">
        <v>70</v>
      </c>
      <c r="C22" s="5" t="s">
        <v>264</v>
      </c>
      <c r="D22" s="5" t="s">
        <v>64</v>
      </c>
    </row>
    <row r="23" spans="1:4" x14ac:dyDescent="0.25">
      <c r="A23" s="5"/>
      <c r="B23" s="9"/>
      <c r="C23" s="5"/>
      <c r="D23" s="5"/>
    </row>
    <row r="24" spans="1:4" x14ac:dyDescent="0.25">
      <c r="A24" s="5"/>
      <c r="B24" s="9"/>
      <c r="C24" s="5"/>
      <c r="D24" s="5"/>
    </row>
    <row r="25" spans="1:4" x14ac:dyDescent="0.25">
      <c r="A25" s="5"/>
      <c r="B25" s="9"/>
      <c r="C25" s="5"/>
      <c r="D25" s="5"/>
    </row>
    <row r="26" spans="1:4" x14ac:dyDescent="0.25">
      <c r="A26" s="5"/>
      <c r="B26" s="9"/>
      <c r="C26" s="5"/>
      <c r="D26" s="5"/>
    </row>
  </sheetData>
  <mergeCells count="1">
    <mergeCell ref="B10:D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3"/>
  <sheetViews>
    <sheetView zoomScaleNormal="100" workbookViewId="0">
      <selection activeCell="F33" sqref="F33"/>
    </sheetView>
  </sheetViews>
  <sheetFormatPr defaultColWidth="8.85546875" defaultRowHeight="15" x14ac:dyDescent="0.25"/>
  <cols>
    <col min="1" max="2" width="14.7109375" customWidth="1"/>
    <col min="3" max="3" width="36.28515625" customWidth="1"/>
    <col min="4" max="4" width="65.42578125" customWidth="1"/>
    <col min="6" max="6" width="57" customWidth="1"/>
  </cols>
  <sheetData>
    <row r="1" spans="1:4" ht="18.75" x14ac:dyDescent="0.3">
      <c r="A1" s="93" t="s">
        <v>259</v>
      </c>
      <c r="B1" s="93"/>
      <c r="C1" s="94"/>
      <c r="D1" s="94"/>
    </row>
    <row r="2" spans="1:4" ht="18.75" x14ac:dyDescent="0.3">
      <c r="A2" s="3" t="s">
        <v>1</v>
      </c>
      <c r="B2" s="3"/>
      <c r="C2" s="7"/>
      <c r="D2" s="7"/>
    </row>
    <row r="3" spans="1:4" x14ac:dyDescent="0.25">
      <c r="A3" s="7"/>
      <c r="B3" s="7" t="s">
        <v>25</v>
      </c>
      <c r="C3" s="7" t="s">
        <v>27</v>
      </c>
      <c r="D3" s="7" t="s">
        <v>26</v>
      </c>
    </row>
    <row r="4" spans="1:4" ht="9" customHeight="1" x14ac:dyDescent="0.25">
      <c r="A4" s="9"/>
      <c r="B4" s="9"/>
      <c r="C4" s="15"/>
      <c r="D4" s="15"/>
    </row>
    <row r="5" spans="1:4" x14ac:dyDescent="0.25">
      <c r="A5" s="9"/>
      <c r="B5" s="14">
        <v>750</v>
      </c>
      <c r="C5" s="15" t="s">
        <v>151</v>
      </c>
      <c r="D5" s="15" t="s">
        <v>253</v>
      </c>
    </row>
    <row r="6" spans="1:4" x14ac:dyDescent="0.25">
      <c r="A6" s="9"/>
      <c r="B6" s="14">
        <v>800</v>
      </c>
      <c r="C6" s="15" t="s">
        <v>39</v>
      </c>
      <c r="D6" s="15" t="s">
        <v>257</v>
      </c>
    </row>
    <row r="7" spans="1:4" x14ac:dyDescent="0.25">
      <c r="A7" s="9"/>
      <c r="B7" s="14">
        <v>75</v>
      </c>
      <c r="C7" s="15" t="s">
        <v>152</v>
      </c>
      <c r="D7" s="15" t="s">
        <v>185</v>
      </c>
    </row>
    <row r="8" spans="1:4" x14ac:dyDescent="0.25">
      <c r="A8" s="9"/>
      <c r="B8" s="14">
        <v>200</v>
      </c>
      <c r="C8" s="15" t="s">
        <v>157</v>
      </c>
      <c r="D8" s="15" t="s">
        <v>186</v>
      </c>
    </row>
    <row r="9" spans="1:4" x14ac:dyDescent="0.25">
      <c r="A9" s="9"/>
      <c r="B9" s="14">
        <v>175</v>
      </c>
      <c r="C9" s="15" t="s">
        <v>158</v>
      </c>
      <c r="D9" s="15" t="s">
        <v>258</v>
      </c>
    </row>
    <row r="10" spans="1:4" ht="8.25" customHeight="1" x14ac:dyDescent="0.25">
      <c r="A10" s="9"/>
      <c r="B10" s="9"/>
      <c r="C10" s="15"/>
      <c r="D10" s="15"/>
    </row>
    <row r="11" spans="1:4" x14ac:dyDescent="0.25">
      <c r="A11" s="9"/>
      <c r="B11" s="14">
        <v>3500</v>
      </c>
      <c r="C11" s="15" t="s">
        <v>159</v>
      </c>
      <c r="D11" s="15" t="s">
        <v>189</v>
      </c>
    </row>
    <row r="12" spans="1:4" x14ac:dyDescent="0.25">
      <c r="A12" s="9"/>
      <c r="B12" s="14">
        <v>4500</v>
      </c>
      <c r="C12" s="15" t="s">
        <v>40</v>
      </c>
      <c r="D12" s="15" t="s">
        <v>190</v>
      </c>
    </row>
    <row r="13" spans="1:4" x14ac:dyDescent="0.25">
      <c r="A13" s="9"/>
      <c r="B13" s="14">
        <v>2800</v>
      </c>
      <c r="C13" s="15" t="s">
        <v>160</v>
      </c>
      <c r="D13" s="15" t="s">
        <v>188</v>
      </c>
    </row>
    <row r="14" spans="1:4" x14ac:dyDescent="0.25">
      <c r="A14" s="9"/>
      <c r="B14" s="14">
        <v>3800</v>
      </c>
      <c r="C14" s="15" t="s">
        <v>161</v>
      </c>
      <c r="D14" s="15" t="s">
        <v>191</v>
      </c>
    </row>
    <row r="15" spans="1:4" x14ac:dyDescent="0.25">
      <c r="A15" s="9"/>
      <c r="B15" s="14">
        <v>3300</v>
      </c>
      <c r="C15" s="15" t="s">
        <v>162</v>
      </c>
      <c r="D15" s="15" t="s">
        <v>192</v>
      </c>
    </row>
    <row r="16" spans="1:4" ht="9" customHeight="1" x14ac:dyDescent="0.25">
      <c r="A16" s="9"/>
      <c r="B16" s="9"/>
      <c r="C16" s="15"/>
      <c r="D16" s="15"/>
    </row>
    <row r="17" spans="1:4" x14ac:dyDescent="0.25">
      <c r="A17" s="9"/>
      <c r="B17" s="89">
        <v>0.15</v>
      </c>
      <c r="C17" s="15" t="s">
        <v>163</v>
      </c>
      <c r="D17" s="15" t="s">
        <v>193</v>
      </c>
    </row>
    <row r="18" spans="1:4" x14ac:dyDescent="0.25">
      <c r="A18" s="9"/>
      <c r="B18" s="89">
        <v>0.22</v>
      </c>
      <c r="C18" s="15" t="s">
        <v>41</v>
      </c>
      <c r="D18" s="15" t="s">
        <v>118</v>
      </c>
    </row>
    <row r="19" spans="1:4" x14ac:dyDescent="0.25">
      <c r="A19" s="9"/>
      <c r="B19" s="89">
        <v>0.1</v>
      </c>
      <c r="C19" s="15" t="s">
        <v>164</v>
      </c>
      <c r="D19" s="15" t="s">
        <v>194</v>
      </c>
    </row>
    <row r="20" spans="1:4" x14ac:dyDescent="0.25">
      <c r="A20" s="9"/>
      <c r="B20" s="89">
        <v>0.01</v>
      </c>
      <c r="C20" s="15" t="s">
        <v>165</v>
      </c>
      <c r="D20" s="15" t="s">
        <v>195</v>
      </c>
    </row>
    <row r="21" spans="1:4" x14ac:dyDescent="0.25">
      <c r="A21" s="9"/>
      <c r="B21" s="89">
        <v>0.01</v>
      </c>
      <c r="C21" s="15" t="s">
        <v>166</v>
      </c>
      <c r="D21" s="15" t="s">
        <v>196</v>
      </c>
    </row>
    <row r="22" spans="1:4" ht="9.75" customHeight="1" x14ac:dyDescent="0.25">
      <c r="A22" s="9"/>
      <c r="B22" s="14"/>
      <c r="C22" s="15"/>
      <c r="D22" s="15"/>
    </row>
    <row r="23" spans="1:4" x14ac:dyDescent="0.25">
      <c r="A23" s="9"/>
      <c r="B23" s="16">
        <v>1500</v>
      </c>
      <c r="C23" s="15" t="s">
        <v>167</v>
      </c>
      <c r="D23" s="15" t="s">
        <v>262</v>
      </c>
    </row>
    <row r="24" spans="1:4" x14ac:dyDescent="0.25">
      <c r="A24" s="9"/>
      <c r="B24" s="16">
        <v>1750</v>
      </c>
      <c r="C24" s="15" t="s">
        <v>42</v>
      </c>
      <c r="D24" s="15" t="s">
        <v>119</v>
      </c>
    </row>
    <row r="25" spans="1:4" x14ac:dyDescent="0.25">
      <c r="A25" s="9"/>
      <c r="B25" s="16">
        <v>1000</v>
      </c>
      <c r="C25" s="15" t="s">
        <v>168</v>
      </c>
      <c r="D25" s="15" t="s">
        <v>198</v>
      </c>
    </row>
    <row r="26" spans="1:4" x14ac:dyDescent="0.25">
      <c r="A26" s="9"/>
      <c r="B26" s="16">
        <v>1100</v>
      </c>
      <c r="C26" s="15" t="s">
        <v>169</v>
      </c>
      <c r="D26" s="15" t="s">
        <v>199</v>
      </c>
    </row>
    <row r="27" spans="1:4" x14ac:dyDescent="0.25">
      <c r="A27" s="9"/>
      <c r="B27" s="16">
        <v>750</v>
      </c>
      <c r="C27" s="15" t="s">
        <v>170</v>
      </c>
      <c r="D27" s="15" t="s">
        <v>200</v>
      </c>
    </row>
    <row r="28" spans="1:4" ht="9.75" customHeight="1" x14ac:dyDescent="0.25">
      <c r="A28" s="9"/>
      <c r="B28" s="16"/>
      <c r="C28" s="15"/>
      <c r="D28" s="15"/>
    </row>
    <row r="29" spans="1:4" ht="10.5" customHeight="1" x14ac:dyDescent="0.25">
      <c r="A29" s="5"/>
      <c r="B29" s="16"/>
      <c r="C29" s="15"/>
      <c r="D29" s="15"/>
    </row>
    <row r="30" spans="1:4" x14ac:dyDescent="0.25">
      <c r="A30" s="5"/>
      <c r="B30" s="14"/>
      <c r="C30" s="15"/>
      <c r="D30" s="15"/>
    </row>
    <row r="31" spans="1:4" ht="18.75" x14ac:dyDescent="0.3">
      <c r="A31" s="11" t="s">
        <v>3</v>
      </c>
      <c r="B31" s="38"/>
      <c r="C31" s="7"/>
      <c r="D31" s="7"/>
    </row>
    <row r="32" spans="1:4" ht="17.100000000000001" customHeight="1" x14ac:dyDescent="0.3">
      <c r="A32" s="11"/>
      <c r="B32" s="7" t="s">
        <v>25</v>
      </c>
      <c r="C32" s="7" t="s">
        <v>27</v>
      </c>
      <c r="D32" s="7" t="s">
        <v>26</v>
      </c>
    </row>
    <row r="33" spans="1:4" x14ac:dyDescent="0.25">
      <c r="A33" s="5"/>
      <c r="B33" s="10">
        <v>2.5</v>
      </c>
      <c r="C33" s="5" t="s">
        <v>171</v>
      </c>
      <c r="D33" s="5" t="s">
        <v>201</v>
      </c>
    </row>
    <row r="34" spans="1:4" x14ac:dyDescent="0.25">
      <c r="A34" s="5"/>
      <c r="B34" s="10">
        <v>3.5</v>
      </c>
      <c r="C34" s="5" t="s">
        <v>56</v>
      </c>
      <c r="D34" s="5" t="s">
        <v>202</v>
      </c>
    </row>
    <row r="35" spans="1:4" x14ac:dyDescent="0.25">
      <c r="A35" s="5"/>
      <c r="B35" s="10">
        <v>1.5</v>
      </c>
      <c r="C35" s="5" t="s">
        <v>172</v>
      </c>
      <c r="D35" s="5" t="s">
        <v>203</v>
      </c>
    </row>
    <row r="36" spans="1:4" x14ac:dyDescent="0.25">
      <c r="A36" s="5"/>
      <c r="B36" s="10">
        <v>2</v>
      </c>
      <c r="C36" s="5" t="s">
        <v>269</v>
      </c>
      <c r="D36" s="5" t="s">
        <v>204</v>
      </c>
    </row>
    <row r="37" spans="1:4" x14ac:dyDescent="0.25">
      <c r="A37" s="5"/>
      <c r="B37" s="10">
        <v>1</v>
      </c>
      <c r="C37" s="5" t="s">
        <v>270</v>
      </c>
      <c r="D37" s="5" t="s">
        <v>205</v>
      </c>
    </row>
    <row r="38" spans="1:4" x14ac:dyDescent="0.25">
      <c r="A38" s="5"/>
      <c r="B38" s="10"/>
      <c r="C38" s="5"/>
      <c r="D38" s="5"/>
    </row>
    <row r="39" spans="1:4" x14ac:dyDescent="0.25">
      <c r="A39" s="5"/>
      <c r="B39" s="10">
        <v>0.75</v>
      </c>
      <c r="C39" s="5" t="s">
        <v>175</v>
      </c>
      <c r="D39" s="5" t="s">
        <v>206</v>
      </c>
    </row>
    <row r="40" spans="1:4" x14ac:dyDescent="0.25">
      <c r="A40" s="5"/>
      <c r="B40" s="10">
        <v>1</v>
      </c>
      <c r="C40" s="5" t="s">
        <v>65</v>
      </c>
      <c r="D40" s="5" t="s">
        <v>66</v>
      </c>
    </row>
    <row r="41" spans="1:4" x14ac:dyDescent="0.25">
      <c r="A41" s="5"/>
      <c r="B41" s="10">
        <v>2.25</v>
      </c>
      <c r="C41" s="5" t="s">
        <v>176</v>
      </c>
      <c r="D41" s="5" t="s">
        <v>207</v>
      </c>
    </row>
    <row r="42" spans="1:4" x14ac:dyDescent="0.25">
      <c r="A42" s="5"/>
      <c r="B42" s="10">
        <v>1.5</v>
      </c>
      <c r="C42" s="5" t="s">
        <v>177</v>
      </c>
      <c r="D42" s="5" t="s">
        <v>208</v>
      </c>
    </row>
    <row r="43" spans="1:4" x14ac:dyDescent="0.25">
      <c r="A43" s="5"/>
      <c r="B43" s="10">
        <v>2</v>
      </c>
      <c r="C43" s="5" t="s">
        <v>178</v>
      </c>
      <c r="D43" s="5" t="s">
        <v>209</v>
      </c>
    </row>
    <row r="44" spans="1:4" x14ac:dyDescent="0.25">
      <c r="A44" s="5"/>
      <c r="B44" s="8"/>
      <c r="C44" s="5"/>
      <c r="D44" s="5"/>
    </row>
    <row r="45" spans="1:4" x14ac:dyDescent="0.25">
      <c r="A45" s="5"/>
      <c r="B45" s="10">
        <v>365</v>
      </c>
      <c r="C45" s="5" t="s">
        <v>179</v>
      </c>
      <c r="D45" s="5" t="s">
        <v>210</v>
      </c>
    </row>
    <row r="46" spans="1:4" x14ac:dyDescent="0.25">
      <c r="A46" s="5"/>
      <c r="B46" s="10">
        <v>365</v>
      </c>
      <c r="C46" s="5" t="s">
        <v>67</v>
      </c>
      <c r="D46" s="5" t="s">
        <v>68</v>
      </c>
    </row>
    <row r="47" spans="1:4" x14ac:dyDescent="0.25">
      <c r="A47" s="5"/>
      <c r="B47" s="10">
        <v>52</v>
      </c>
      <c r="C47" s="5" t="s">
        <v>180</v>
      </c>
      <c r="D47" s="5" t="s">
        <v>211</v>
      </c>
    </row>
    <row r="48" spans="1:4" x14ac:dyDescent="0.25">
      <c r="A48" s="5"/>
      <c r="B48" s="10">
        <v>52</v>
      </c>
      <c r="C48" s="5" t="s">
        <v>181</v>
      </c>
      <c r="D48" s="5" t="s">
        <v>212</v>
      </c>
    </row>
    <row r="49" spans="1:4" x14ac:dyDescent="0.25">
      <c r="A49" s="5"/>
      <c r="B49" s="10">
        <v>26</v>
      </c>
      <c r="C49" s="5" t="s">
        <v>182</v>
      </c>
      <c r="D49" s="5" t="s">
        <v>213</v>
      </c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</sheetData>
  <mergeCells count="1">
    <mergeCell ref="A1:D1"/>
  </mergeCells>
  <printOptions gridLines="1"/>
  <pageMargins left="0.35" right="0.27" top="0.75" bottom="0.75" header="0.4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8"/>
  <sheetViews>
    <sheetView zoomScaleNormal="100" workbookViewId="0">
      <selection activeCell="B5" sqref="B5"/>
    </sheetView>
  </sheetViews>
  <sheetFormatPr defaultColWidth="8.85546875" defaultRowHeight="15" x14ac:dyDescent="0.25"/>
  <cols>
    <col min="1" max="1" width="38" customWidth="1"/>
    <col min="2" max="2" width="22" customWidth="1"/>
    <col min="3" max="3" width="15" customWidth="1"/>
    <col min="4" max="4" width="14.42578125" customWidth="1"/>
    <col min="5" max="5" width="14.28515625" customWidth="1"/>
    <col min="6" max="6" width="14.7109375" customWidth="1"/>
    <col min="7" max="7" width="17.42578125" customWidth="1"/>
    <col min="8" max="8" width="13.85546875" bestFit="1" customWidth="1"/>
    <col min="9" max="9" width="18.140625" customWidth="1"/>
  </cols>
  <sheetData>
    <row r="1" spans="1:9" ht="21" x14ac:dyDescent="0.35">
      <c r="A1" s="98" t="s">
        <v>260</v>
      </c>
      <c r="B1" s="98"/>
      <c r="C1" s="98"/>
      <c r="D1" s="98"/>
      <c r="E1" s="98"/>
      <c r="F1" s="98"/>
      <c r="G1" s="45"/>
    </row>
    <row r="2" spans="1:9" x14ac:dyDescent="0.25">
      <c r="A2" s="31" t="s">
        <v>0</v>
      </c>
      <c r="B2" s="99" t="s">
        <v>5</v>
      </c>
      <c r="C2" s="100"/>
      <c r="D2" s="100"/>
      <c r="E2" s="100"/>
      <c r="F2" s="101"/>
      <c r="G2" s="102" t="s">
        <v>140</v>
      </c>
    </row>
    <row r="3" spans="1:9" x14ac:dyDescent="0.25">
      <c r="A3" s="27"/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103"/>
    </row>
    <row r="4" spans="1:9" ht="18.75" x14ac:dyDescent="0.3">
      <c r="A4" s="62" t="s">
        <v>1</v>
      </c>
      <c r="B4" s="18"/>
      <c r="C4" s="18"/>
      <c r="D4" s="18"/>
      <c r="E4" s="18"/>
      <c r="F4" s="18"/>
      <c r="G4" s="18"/>
    </row>
    <row r="5" spans="1:9" x14ac:dyDescent="0.25">
      <c r="A5" s="32" t="s">
        <v>153</v>
      </c>
      <c r="B5" s="28">
        <f>(((serverPowerGroup1*serverLoadGroup1)/wattsInAKilowatt)*hoursInADay)*(numServersGroup1)*(costkwHYear1)*(daysInAYear)</f>
        <v>448402.50000000006</v>
      </c>
      <c r="C5" s="28">
        <f t="shared" ref="C5:F7" si="0">(B5 * powerRateIncrease)</f>
        <v>457370.55000000005</v>
      </c>
      <c r="D5" s="28">
        <f t="shared" si="0"/>
        <v>466517.96100000007</v>
      </c>
      <c r="E5" s="28">
        <f t="shared" si="0"/>
        <v>475848.32022000005</v>
      </c>
      <c r="F5" s="28">
        <f t="shared" si="0"/>
        <v>485365.28662440006</v>
      </c>
      <c r="G5" s="47">
        <f>SUM(B5:F5)</f>
        <v>2333504.6178444005</v>
      </c>
      <c r="H5" s="37"/>
    </row>
    <row r="6" spans="1:9" x14ac:dyDescent="0.25">
      <c r="A6" s="32" t="s">
        <v>47</v>
      </c>
      <c r="B6" s="28">
        <f>(((serverPowerGroup2*serverLoadGroup2)/wattsInAKilowatt)*hoursInADay)*(numServersGroup2)*(costkwHYear1)*(daysInAYear)</f>
        <v>901929.6</v>
      </c>
      <c r="C6" s="28">
        <f t="shared" si="0"/>
        <v>919968.19200000004</v>
      </c>
      <c r="D6" s="28">
        <f t="shared" si="0"/>
        <v>938367.55584000004</v>
      </c>
      <c r="E6" s="28">
        <f t="shared" si="0"/>
        <v>957134.90695680003</v>
      </c>
      <c r="F6" s="28">
        <f t="shared" si="0"/>
        <v>976277.6050959361</v>
      </c>
      <c r="G6" s="47">
        <f>SUM(B6:F6)</f>
        <v>4693677.8598927362</v>
      </c>
    </row>
    <row r="7" spans="1:9" x14ac:dyDescent="0.25">
      <c r="A7" s="32" t="s">
        <v>154</v>
      </c>
      <c r="B7" s="28">
        <f>(((serverPowerGroup3*serverLoadGroup3)/wattsInAKilowatt)*hoursInADay)*(numServersGroup3)*(costkwHYear1)*(daysInAYear)</f>
        <v>23914.800000000003</v>
      </c>
      <c r="C7" s="28">
        <f t="shared" si="0"/>
        <v>24393.096000000005</v>
      </c>
      <c r="D7" s="28">
        <f t="shared" si="0"/>
        <v>24880.957920000004</v>
      </c>
      <c r="E7" s="28">
        <f t="shared" si="0"/>
        <v>25378.577078400005</v>
      </c>
      <c r="F7" s="28">
        <f t="shared" si="0"/>
        <v>25886.148619968004</v>
      </c>
      <c r="G7" s="47">
        <f>SUM(B7:F7)</f>
        <v>124453.57961836802</v>
      </c>
    </row>
    <row r="8" spans="1:9" x14ac:dyDescent="0.25">
      <c r="A8" s="32" t="s">
        <v>214</v>
      </c>
      <c r="B8" s="28">
        <f>(newServerPowerGroup1 / wattsInAKilowatt)*hoursInADay*daysInAYear*numNewServersGroup1*costkwHYear1</f>
        <v>375690.12</v>
      </c>
      <c r="C8" s="28">
        <f>(B8 * powerRateIncrease)</f>
        <v>383203.92239999998</v>
      </c>
      <c r="D8" s="28">
        <f t="shared" ref="C8:E9" si="1">(C8 * powerRateIncrease)</f>
        <v>390868.000848</v>
      </c>
      <c r="E8" s="28">
        <f t="shared" si="1"/>
        <v>398685.36086496001</v>
      </c>
      <c r="F8" s="28">
        <f>(E8 * powerRateIncrease)</f>
        <v>406659.06808225921</v>
      </c>
      <c r="G8" s="47">
        <f>SUM(B8:F8)</f>
        <v>1955106.472195219</v>
      </c>
      <c r="H8" s="78"/>
    </row>
    <row r="9" spans="1:9" x14ac:dyDescent="0.25">
      <c r="A9" s="32" t="s">
        <v>215</v>
      </c>
      <c r="B9" s="28">
        <f>(((serverPowerGroup4B*serverLoadGroup4B)/wattsInAKilowatt)*hoursInADay)*(numServersGroup4B)*(costkwHYear1)*(daysInAYear)</f>
        <v>6576.5700000000006</v>
      </c>
      <c r="C9" s="28">
        <f t="shared" si="1"/>
        <v>6708.1014000000005</v>
      </c>
      <c r="D9" s="28">
        <f t="shared" si="1"/>
        <v>6842.2634280000002</v>
      </c>
      <c r="E9" s="28">
        <f t="shared" si="1"/>
        <v>6979.1086965600007</v>
      </c>
      <c r="F9" s="28">
        <f>(E9 * powerRateIncrease)</f>
        <v>7118.6908704912012</v>
      </c>
      <c r="G9" s="47">
        <f>SUM(B9:F9)</f>
        <v>34224.7343950512</v>
      </c>
      <c r="H9" s="78"/>
    </row>
    <row r="10" spans="1:9" x14ac:dyDescent="0.25">
      <c r="A10" s="43" t="s">
        <v>138</v>
      </c>
      <c r="B10" s="44">
        <f t="shared" ref="B10:G10" si="2">SUM(B5:B9)</f>
        <v>1756513.59</v>
      </c>
      <c r="C10" s="44">
        <f t="shared" si="2"/>
        <v>1791643.8618000001</v>
      </c>
      <c r="D10" s="44">
        <f t="shared" si="2"/>
        <v>1827476.7390360001</v>
      </c>
      <c r="E10" s="44">
        <f t="shared" si="2"/>
        <v>1864026.2738167201</v>
      </c>
      <c r="F10" s="44">
        <f t="shared" si="2"/>
        <v>1901306.7992930545</v>
      </c>
      <c r="G10" s="48">
        <f t="shared" si="2"/>
        <v>9140967.2639457751</v>
      </c>
      <c r="H10" s="90"/>
      <c r="I10" s="67"/>
    </row>
    <row r="11" spans="1:9" ht="14.25" customHeight="1" x14ac:dyDescent="0.25">
      <c r="A11" s="99"/>
      <c r="B11" s="100"/>
      <c r="C11" s="100"/>
      <c r="D11" s="100"/>
      <c r="E11" s="100"/>
      <c r="F11" s="101"/>
      <c r="G11" s="27"/>
      <c r="H11" s="78"/>
    </row>
    <row r="12" spans="1:9" x14ac:dyDescent="0.25">
      <c r="A12" s="32" t="s">
        <v>155</v>
      </c>
      <c r="B12" s="28">
        <f>(maintenanceCostYear1Group1 * numServersGroup1)</f>
        <v>1125000</v>
      </c>
      <c r="C12" s="28">
        <f>B12* administrativeRateIncrease</f>
        <v>1147500</v>
      </c>
      <c r="D12" s="28">
        <f t="shared" ref="C12:F16" si="3">(C12 * serverMaintenanceRateIncrease)</f>
        <v>1181925</v>
      </c>
      <c r="E12" s="28">
        <f t="shared" si="3"/>
        <v>1217382.75</v>
      </c>
      <c r="F12" s="28">
        <f t="shared" si="3"/>
        <v>1253904.2324999999</v>
      </c>
      <c r="G12" s="47">
        <f>SUM(B12:F12)</f>
        <v>5925711.9824999999</v>
      </c>
      <c r="H12" s="78"/>
    </row>
    <row r="13" spans="1:9" x14ac:dyDescent="0.25">
      <c r="A13" s="32" t="s">
        <v>50</v>
      </c>
      <c r="B13" s="28">
        <f>(maintenanceCostYear1Group2 * numServersGroup2)</f>
        <v>1400000</v>
      </c>
      <c r="C13" s="28">
        <f t="shared" si="3"/>
        <v>1442000</v>
      </c>
      <c r="D13" s="28">
        <f t="shared" si="3"/>
        <v>1485260</v>
      </c>
      <c r="E13" s="28">
        <f t="shared" si="3"/>
        <v>1529817.8</v>
      </c>
      <c r="F13" s="28">
        <f t="shared" si="3"/>
        <v>1575712.334</v>
      </c>
      <c r="G13" s="47">
        <f>SUM(B13:F13)</f>
        <v>7432790.1339999996</v>
      </c>
      <c r="H13" s="37"/>
    </row>
    <row r="14" spans="1:9" x14ac:dyDescent="0.25">
      <c r="A14" s="32" t="s">
        <v>156</v>
      </c>
      <c r="B14" s="28">
        <f>(maintenanceCostYear1Group3 * numServersGroup3)</f>
        <v>75000</v>
      </c>
      <c r="C14" s="28">
        <f t="shared" si="3"/>
        <v>77250</v>
      </c>
      <c r="D14" s="28">
        <f t="shared" si="3"/>
        <v>79567.5</v>
      </c>
      <c r="E14" s="28">
        <f t="shared" si="3"/>
        <v>81954.525000000009</v>
      </c>
      <c r="F14" s="28">
        <f t="shared" si="3"/>
        <v>84413.16075000001</v>
      </c>
      <c r="G14" s="47">
        <f>SUM(B14:F14)</f>
        <v>398185.18575000006</v>
      </c>
    </row>
    <row r="15" spans="1:9" x14ac:dyDescent="0.25">
      <c r="A15" s="32" t="s">
        <v>216</v>
      </c>
      <c r="B15" s="28">
        <f>(maintenanceCostYear1Group4A * numServersGroup4A)</f>
        <v>220000</v>
      </c>
      <c r="C15" s="28">
        <f t="shared" si="3"/>
        <v>226600</v>
      </c>
      <c r="D15" s="28">
        <f t="shared" si="3"/>
        <v>233398</v>
      </c>
      <c r="E15" s="28">
        <f t="shared" si="3"/>
        <v>240399.94</v>
      </c>
      <c r="F15" s="28">
        <f t="shared" si="3"/>
        <v>247611.9382</v>
      </c>
      <c r="G15" s="47">
        <f>SUM(B15:F15)</f>
        <v>1168009.8781999999</v>
      </c>
    </row>
    <row r="16" spans="1:9" x14ac:dyDescent="0.25">
      <c r="A16" s="32" t="s">
        <v>217</v>
      </c>
      <c r="B16" s="28">
        <f>(maintenanceCostYear1Group4B * numServersGroup4B)</f>
        <v>131250</v>
      </c>
      <c r="C16" s="28">
        <f t="shared" si="3"/>
        <v>135187.5</v>
      </c>
      <c r="D16" s="28">
        <f t="shared" si="3"/>
        <v>139243.125</v>
      </c>
      <c r="E16" s="28">
        <f t="shared" si="3"/>
        <v>143420.41875000001</v>
      </c>
      <c r="F16" s="28">
        <f t="shared" si="3"/>
        <v>147723.03131250001</v>
      </c>
      <c r="G16" s="47">
        <f>SUM(B16:F16)</f>
        <v>696824.07506249996</v>
      </c>
    </row>
    <row r="17" spans="1:9" x14ac:dyDescent="0.25">
      <c r="A17" s="43" t="s">
        <v>139</v>
      </c>
      <c r="B17" s="44">
        <f t="shared" ref="B17:G17" si="4">SUM(B12:B16)</f>
        <v>2951250</v>
      </c>
      <c r="C17" s="44">
        <f t="shared" si="4"/>
        <v>3028537.5</v>
      </c>
      <c r="D17" s="44">
        <f t="shared" si="4"/>
        <v>3119393.625</v>
      </c>
      <c r="E17" s="44">
        <f t="shared" si="4"/>
        <v>3212975.4337499999</v>
      </c>
      <c r="F17" s="44">
        <f t="shared" si="4"/>
        <v>3309364.6967624999</v>
      </c>
      <c r="G17" s="48">
        <f t="shared" si="4"/>
        <v>15621521.2555125</v>
      </c>
    </row>
    <row r="18" spans="1:9" ht="15.75" customHeight="1" x14ac:dyDescent="0.25">
      <c r="A18" s="99"/>
      <c r="B18" s="100"/>
      <c r="C18" s="100"/>
      <c r="D18" s="100"/>
      <c r="E18" s="100"/>
      <c r="F18" s="101"/>
      <c r="G18" s="27"/>
    </row>
    <row r="19" spans="1:9" x14ac:dyDescent="0.25">
      <c r="A19" s="32" t="s">
        <v>51</v>
      </c>
      <c r="B19" s="28">
        <f>(securityFirmMonthlyCharge * monthsInAYear)</f>
        <v>54000</v>
      </c>
      <c r="C19" s="28">
        <f>(securityFirmMonthlyCharge * monthsInAYear)</f>
        <v>54000</v>
      </c>
      <c r="D19" s="28">
        <f>(securityFirmMonthlyCharge * monthsInAYear)</f>
        <v>54000</v>
      </c>
      <c r="E19" s="28">
        <f>(securityFirmMonthlyCharge * monthsInAYear)</f>
        <v>54000</v>
      </c>
      <c r="F19" s="28">
        <f>(securityFirmMonthlyCharge * monthsInAYear)</f>
        <v>54000</v>
      </c>
      <c r="G19" s="47">
        <f>SUM(B19:F19)</f>
        <v>270000</v>
      </c>
    </row>
    <row r="20" spans="1:9" x14ac:dyDescent="0.25">
      <c r="A20" s="32" t="s">
        <v>52</v>
      </c>
      <c r="B20" s="28">
        <f>(dataStorageMonthlyChargeYears1And2 * monthsInAYear)</f>
        <v>78000</v>
      </c>
      <c r="C20" s="28">
        <f>(dataStorageMonthlyChargeYears1And2 * monthsInAYear)</f>
        <v>78000</v>
      </c>
      <c r="D20" s="28">
        <f>(dataStorageMonthlyChargeYears3Thru5 * monthsInAYear)</f>
        <v>120000</v>
      </c>
      <c r="E20" s="28">
        <f>(dataStorageMonthlyChargeYears3Thru5 * monthsInAYear)</f>
        <v>120000</v>
      </c>
      <c r="F20" s="28">
        <f>(dataStorageMonthlyChargeYears3Thru5 * monthsInAYear)</f>
        <v>120000</v>
      </c>
      <c r="G20" s="47">
        <f>SUM(B20:F20)</f>
        <v>516000</v>
      </c>
    </row>
    <row r="21" spans="1:9" ht="15.75" customHeight="1" x14ac:dyDescent="0.25">
      <c r="A21" s="99"/>
      <c r="B21" s="100"/>
      <c r="C21" s="100"/>
      <c r="D21" s="100"/>
      <c r="E21" s="100"/>
      <c r="F21" s="101"/>
      <c r="G21" s="46"/>
    </row>
    <row r="22" spans="1:9" x14ac:dyDescent="0.25">
      <c r="A22" s="56" t="s">
        <v>2</v>
      </c>
      <c r="B22" s="44">
        <f>SUM(B10, B17, B19, B20)</f>
        <v>4839763.59</v>
      </c>
      <c r="C22" s="44">
        <f>SUM(C10, C17, C19, C20)</f>
        <v>4952181.3618000001</v>
      </c>
      <c r="D22" s="44">
        <f>SUM(D10, D17, D19, D20)</f>
        <v>5120870.3640360003</v>
      </c>
      <c r="E22" s="44">
        <f>SUM(E10, E17, E19, E20)</f>
        <v>5251001.7075667195</v>
      </c>
      <c r="F22" s="44">
        <f>SUM(F10, F17, F19, F20)</f>
        <v>5384671.4960555546</v>
      </c>
      <c r="G22" s="48">
        <f>SUM(B22:F22)</f>
        <v>25548488.519458275</v>
      </c>
      <c r="H22" s="37"/>
      <c r="I22" s="37"/>
    </row>
    <row r="23" spans="1:9" ht="14.25" customHeight="1" x14ac:dyDescent="0.25">
      <c r="A23" s="39"/>
      <c r="B23" s="40"/>
      <c r="C23" s="40"/>
      <c r="D23" s="40"/>
      <c r="E23" s="40"/>
      <c r="F23" s="40"/>
      <c r="G23" s="41"/>
    </row>
    <row r="24" spans="1:9" x14ac:dyDescent="0.25">
      <c r="A24" s="42" t="s">
        <v>11</v>
      </c>
      <c r="B24" s="48">
        <f>SUM(B22:F22)</f>
        <v>25548488.519458275</v>
      </c>
      <c r="C24" s="57"/>
      <c r="D24" s="58"/>
      <c r="E24" s="58"/>
      <c r="F24" s="59"/>
      <c r="G24" s="27"/>
    </row>
    <row r="25" spans="1:9" x14ac:dyDescent="0.25">
      <c r="A25" s="99"/>
      <c r="B25" s="100"/>
      <c r="C25" s="100"/>
      <c r="D25" s="100"/>
      <c r="E25" s="100"/>
      <c r="F25" s="101"/>
      <c r="G25" s="27"/>
    </row>
    <row r="26" spans="1:9" ht="18.75" x14ac:dyDescent="0.3">
      <c r="A26" s="62" t="s">
        <v>3</v>
      </c>
      <c r="B26" s="18"/>
      <c r="C26" s="18"/>
      <c r="D26" s="18"/>
      <c r="E26" s="18"/>
      <c r="F26" s="18"/>
      <c r="G26" s="18"/>
    </row>
    <row r="27" spans="1:9" x14ac:dyDescent="0.25">
      <c r="A27" s="32" t="s">
        <v>218</v>
      </c>
      <c r="B27" s="33">
        <f>(weeksAdministrativeTimeGroup1 * hoursInAdminWeek) * administrativeCostPerHourYear1 * numServersGroup1</f>
        <v>9843750</v>
      </c>
      <c r="C27" s="33">
        <f t="shared" ref="C27:F31" si="5">(B27 * administrativeRateIncrease)</f>
        <v>10040625</v>
      </c>
      <c r="D27" s="33">
        <f t="shared" si="5"/>
        <v>10241437.5</v>
      </c>
      <c r="E27" s="33">
        <f t="shared" si="5"/>
        <v>10446266.25</v>
      </c>
      <c r="F27" s="33">
        <f t="shared" si="5"/>
        <v>10655191.574999999</v>
      </c>
      <c r="G27" s="47">
        <f t="shared" ref="G27:G32" si="6">SUM(B27:F27)</f>
        <v>51227270.325000003</v>
      </c>
    </row>
    <row r="28" spans="1:9" x14ac:dyDescent="0.25">
      <c r="A28" s="32" t="s">
        <v>55</v>
      </c>
      <c r="B28" s="33">
        <f>(weeksAdministrativeTimeGroup2 * hoursInAdminWeek) * administrativeCostPerHourYear1 * numServersGroup2</f>
        <v>14700000</v>
      </c>
      <c r="C28" s="33">
        <f t="shared" si="5"/>
        <v>14994000</v>
      </c>
      <c r="D28" s="33">
        <f t="shared" si="5"/>
        <v>15293880</v>
      </c>
      <c r="E28" s="33">
        <f t="shared" si="5"/>
        <v>15599757.6</v>
      </c>
      <c r="F28" s="33">
        <f t="shared" si="5"/>
        <v>15911752.752</v>
      </c>
      <c r="G28" s="47">
        <f t="shared" si="6"/>
        <v>76499390.351999998</v>
      </c>
    </row>
    <row r="29" spans="1:9" x14ac:dyDescent="0.25">
      <c r="A29" s="32" t="s">
        <v>219</v>
      </c>
      <c r="B29" s="33">
        <f>(weeksAdministrativeTimeGroup3 * hoursInAdminWeek) * administrativeCostPerHourYear1 * numServersGroup3</f>
        <v>590625</v>
      </c>
      <c r="C29" s="33">
        <f t="shared" si="5"/>
        <v>602437.5</v>
      </c>
      <c r="D29" s="33">
        <f t="shared" si="5"/>
        <v>614486.25</v>
      </c>
      <c r="E29" s="33">
        <f t="shared" si="5"/>
        <v>626775.97499999998</v>
      </c>
      <c r="F29" s="33">
        <f t="shared" si="5"/>
        <v>639311.49450000003</v>
      </c>
      <c r="G29" s="47">
        <f t="shared" si="6"/>
        <v>3073636.2195000001</v>
      </c>
    </row>
    <row r="30" spans="1:9" x14ac:dyDescent="0.25">
      <c r="A30" s="32" t="s">
        <v>220</v>
      </c>
      <c r="B30" s="33">
        <f>(weeksAdministrativeTImeGroup4A * hoursInAdminWeek) * administrativeCostPerHourYear1 * numServersGroup4A</f>
        <v>2100000</v>
      </c>
      <c r="C30" s="33">
        <f t="shared" si="5"/>
        <v>2142000</v>
      </c>
      <c r="D30" s="33">
        <f t="shared" si="5"/>
        <v>2184840</v>
      </c>
      <c r="E30" s="33">
        <f t="shared" si="5"/>
        <v>2228536.7999999998</v>
      </c>
      <c r="F30" s="33">
        <f t="shared" si="5"/>
        <v>2273107.5359999998</v>
      </c>
      <c r="G30" s="47">
        <f t="shared" si="6"/>
        <v>10928484.336000001</v>
      </c>
    </row>
    <row r="31" spans="1:9" x14ac:dyDescent="0.25">
      <c r="A31" s="32" t="s">
        <v>221</v>
      </c>
      <c r="B31" s="33">
        <f>(weeksAdministrativeTImeGroup4B * hoursInAdminWeek) * administrativeCostPerHourYear1 * numServersGroup4B</f>
        <v>918750</v>
      </c>
      <c r="C31" s="33">
        <f t="shared" si="5"/>
        <v>937125</v>
      </c>
      <c r="D31" s="33">
        <f t="shared" si="5"/>
        <v>955867.5</v>
      </c>
      <c r="E31" s="33">
        <f t="shared" si="5"/>
        <v>974984.85</v>
      </c>
      <c r="F31" s="33">
        <f t="shared" si="5"/>
        <v>994484.54700000002</v>
      </c>
      <c r="G31" s="47">
        <f t="shared" si="6"/>
        <v>4781211.8969999999</v>
      </c>
    </row>
    <row r="32" spans="1:9" x14ac:dyDescent="0.25">
      <c r="A32" s="52" t="s">
        <v>141</v>
      </c>
      <c r="B32" s="34">
        <f>SUM(B27:B31)</f>
        <v>28153125</v>
      </c>
      <c r="C32" s="34">
        <f>SUM(C27:C31)</f>
        <v>28716187.5</v>
      </c>
      <c r="D32" s="34">
        <f>SUM(D27:D31)</f>
        <v>29290511.25</v>
      </c>
      <c r="E32" s="34">
        <f>SUM(E27:E31)</f>
        <v>29876321.475000005</v>
      </c>
      <c r="F32" s="34">
        <f>SUM(F27:F31)</f>
        <v>30473847.904499996</v>
      </c>
      <c r="G32" s="48">
        <f t="shared" si="6"/>
        <v>146509993.1295</v>
      </c>
      <c r="H32" s="37"/>
      <c r="I32" s="37"/>
    </row>
    <row r="33" spans="1:9" ht="9.75" customHeight="1" x14ac:dyDescent="0.25">
      <c r="A33" s="104"/>
      <c r="B33" s="105"/>
      <c r="C33" s="105"/>
      <c r="D33" s="105"/>
      <c r="E33" s="105"/>
      <c r="F33" s="105"/>
      <c r="G33" s="106"/>
    </row>
    <row r="34" spans="1:9" ht="0.75" customHeight="1" x14ac:dyDescent="0.25">
      <c r="A34" s="107"/>
      <c r="B34" s="108"/>
      <c r="C34" s="108"/>
      <c r="D34" s="108"/>
      <c r="E34" s="108"/>
      <c r="F34" s="108"/>
      <c r="G34" s="109"/>
    </row>
    <row r="35" spans="1:9" x14ac:dyDescent="0.25">
      <c r="A35" s="32" t="s">
        <v>222</v>
      </c>
      <c r="B35" s="33">
        <f>(hoursPerBackupGroup1 * numberOfBackupsPerYearGroup1) * numServersGroup1 * administrativeCostPerHourYear1</f>
        <v>15398437.5</v>
      </c>
      <c r="C35" s="33">
        <f t="shared" ref="C35:F39" si="7">(B35 * administrativeRateIncrease)</f>
        <v>15706406.25</v>
      </c>
      <c r="D35" s="33">
        <f t="shared" si="7"/>
        <v>16020534.375</v>
      </c>
      <c r="E35" s="33">
        <f t="shared" si="7"/>
        <v>16340945.0625</v>
      </c>
      <c r="F35" s="33">
        <f t="shared" si="7"/>
        <v>16667763.963750001</v>
      </c>
      <c r="G35" s="47">
        <f t="shared" ref="G35:G40" si="8">SUM(B35:F35)</f>
        <v>80134087.151250005</v>
      </c>
    </row>
    <row r="36" spans="1:9" x14ac:dyDescent="0.25">
      <c r="A36" s="32" t="s">
        <v>265</v>
      </c>
      <c r="B36" s="33">
        <f>(hoursPerBackupGroup2 * numberOfBackupsPerYearGroup2) * numServersGroup2 * administrativeCostPerHourYear1</f>
        <v>21900000</v>
      </c>
      <c r="C36" s="33">
        <f t="shared" si="7"/>
        <v>22338000</v>
      </c>
      <c r="D36" s="33">
        <f t="shared" si="7"/>
        <v>22784760</v>
      </c>
      <c r="E36" s="33">
        <f t="shared" si="7"/>
        <v>23240455.199999999</v>
      </c>
      <c r="F36" s="33">
        <f t="shared" si="7"/>
        <v>23705264.304000001</v>
      </c>
      <c r="G36" s="47">
        <f t="shared" si="8"/>
        <v>113968479.50400001</v>
      </c>
    </row>
    <row r="37" spans="1:9" x14ac:dyDescent="0.25">
      <c r="A37" s="32" t="s">
        <v>223</v>
      </c>
      <c r="B37" s="33">
        <f>(hoursPerBackupGroup3 * numberOfBackupsPerYearGroup3) * numServersGroup3 * administrativeCostPerHourYear1</f>
        <v>658125</v>
      </c>
      <c r="C37" s="33">
        <f t="shared" si="7"/>
        <v>671287.5</v>
      </c>
      <c r="D37" s="33">
        <f t="shared" si="7"/>
        <v>684713.25</v>
      </c>
      <c r="E37" s="33">
        <f t="shared" si="7"/>
        <v>698407.51500000001</v>
      </c>
      <c r="F37" s="33">
        <f t="shared" si="7"/>
        <v>712375.66529999999</v>
      </c>
      <c r="G37" s="47">
        <f t="shared" si="8"/>
        <v>3424908.9303000001</v>
      </c>
    </row>
    <row r="38" spans="1:9" x14ac:dyDescent="0.25">
      <c r="A38" s="32" t="s">
        <v>224</v>
      </c>
      <c r="B38" s="33">
        <f>(hoursPerBackupGroup4A * numberOfBackupsPerYearGroup4A) * numServersGroup4A * administrativeCostPerHourYear1</f>
        <v>1170000</v>
      </c>
      <c r="C38" s="33">
        <f t="shared" si="7"/>
        <v>1193400</v>
      </c>
      <c r="D38" s="33">
        <f t="shared" si="7"/>
        <v>1217268</v>
      </c>
      <c r="E38" s="33">
        <f t="shared" si="7"/>
        <v>1241613.3600000001</v>
      </c>
      <c r="F38" s="33">
        <f t="shared" si="7"/>
        <v>1266445.6272000002</v>
      </c>
      <c r="G38" s="47">
        <f t="shared" si="8"/>
        <v>6088726.9872000003</v>
      </c>
    </row>
    <row r="39" spans="1:9" x14ac:dyDescent="0.25">
      <c r="A39" s="32" t="s">
        <v>225</v>
      </c>
      <c r="B39" s="33">
        <f>(hoursPerBackupGroup4B * numberOfBackupsPerYearGroup4B) * numServersGroup4B * administrativeCostPerHourYear1</f>
        <v>682500</v>
      </c>
      <c r="C39" s="33">
        <f t="shared" si="7"/>
        <v>696150</v>
      </c>
      <c r="D39" s="33">
        <f t="shared" si="7"/>
        <v>710073</v>
      </c>
      <c r="E39" s="33">
        <f t="shared" si="7"/>
        <v>724274.46</v>
      </c>
      <c r="F39" s="33">
        <f t="shared" si="7"/>
        <v>738759.94920000003</v>
      </c>
      <c r="G39" s="47">
        <f t="shared" si="8"/>
        <v>3551757.4092000001</v>
      </c>
    </row>
    <row r="40" spans="1:9" x14ac:dyDescent="0.25">
      <c r="A40" s="52" t="s">
        <v>142</v>
      </c>
      <c r="B40" s="34">
        <f>SUM(B35:B39)</f>
        <v>39809062.5</v>
      </c>
      <c r="C40" s="34">
        <f>SUM(C35:C39)</f>
        <v>40605243.75</v>
      </c>
      <c r="D40" s="34">
        <f>SUM(D35:D39)</f>
        <v>41417348.625</v>
      </c>
      <c r="E40" s="34">
        <f>SUM(E35:E39)</f>
        <v>42245695.597500004</v>
      </c>
      <c r="F40" s="34">
        <f>SUM(F35:F39)</f>
        <v>43090609.509449996</v>
      </c>
      <c r="G40" s="48">
        <f t="shared" si="8"/>
        <v>207167959.98194999</v>
      </c>
      <c r="H40" s="37"/>
    </row>
    <row r="41" spans="1:9" x14ac:dyDescent="0.25">
      <c r="A41" s="99"/>
      <c r="B41" s="100"/>
      <c r="C41" s="100"/>
      <c r="D41" s="100"/>
      <c r="E41" s="100"/>
      <c r="F41" s="101"/>
      <c r="G41" s="46"/>
    </row>
    <row r="42" spans="1:9" x14ac:dyDescent="0.25">
      <c r="A42" s="56" t="s">
        <v>4</v>
      </c>
      <c r="B42" s="53">
        <f t="shared" ref="B42:G42" si="9">SUM(B32,B40)</f>
        <v>67962187.5</v>
      </c>
      <c r="C42" s="53">
        <f t="shared" si="9"/>
        <v>69321431.25</v>
      </c>
      <c r="D42" s="53">
        <f t="shared" si="9"/>
        <v>70707859.875</v>
      </c>
      <c r="E42" s="53">
        <f t="shared" si="9"/>
        <v>72122017.072500005</v>
      </c>
      <c r="F42" s="53">
        <f t="shared" si="9"/>
        <v>73564457.413949996</v>
      </c>
      <c r="G42" s="48">
        <f t="shared" si="9"/>
        <v>353677953.11144996</v>
      </c>
      <c r="I42" s="37"/>
    </row>
    <row r="43" spans="1:9" x14ac:dyDescent="0.25">
      <c r="A43" s="60"/>
      <c r="B43" s="50"/>
      <c r="C43" s="50"/>
      <c r="D43" s="50"/>
      <c r="E43" s="50"/>
      <c r="F43" s="51"/>
      <c r="G43" s="47"/>
    </row>
    <row r="44" spans="1:9" x14ac:dyDescent="0.25">
      <c r="A44" s="61" t="s">
        <v>12</v>
      </c>
      <c r="B44" s="48">
        <f>SUM(G32,G40)</f>
        <v>353677953.11144996</v>
      </c>
      <c r="C44" s="50"/>
      <c r="D44" s="50"/>
      <c r="E44" s="50"/>
      <c r="F44" s="51"/>
      <c r="G44" s="47"/>
    </row>
    <row r="45" spans="1:9" x14ac:dyDescent="0.25">
      <c r="A45" s="99"/>
      <c r="B45" s="100"/>
      <c r="C45" s="100"/>
      <c r="D45" s="100"/>
      <c r="E45" s="100"/>
      <c r="F45" s="101"/>
      <c r="G45" s="46"/>
    </row>
    <row r="46" spans="1:9" x14ac:dyDescent="0.25">
      <c r="A46" s="43" t="s">
        <v>143</v>
      </c>
      <c r="B46" s="53">
        <f>SUM(B22, B42)</f>
        <v>72801951.090000004</v>
      </c>
      <c r="C46" s="53">
        <f>SUM(C22, C42)</f>
        <v>74273612.6118</v>
      </c>
      <c r="D46" s="53">
        <f>SUM(D22, D42)</f>
        <v>75828730.239035994</v>
      </c>
      <c r="E46" s="53">
        <f>SUM(E22, E42)</f>
        <v>77373018.780066729</v>
      </c>
      <c r="F46" s="53">
        <f>SUM(F22, F42)</f>
        <v>78949128.910005555</v>
      </c>
      <c r="G46" s="54">
        <f>SUM(B46:F46)</f>
        <v>379226441.63090825</v>
      </c>
    </row>
    <row r="47" spans="1:9" x14ac:dyDescent="0.25">
      <c r="A47" s="35"/>
      <c r="B47" s="33"/>
      <c r="C47" s="110"/>
      <c r="D47" s="111"/>
      <c r="E47" s="111"/>
      <c r="F47" s="111"/>
      <c r="G47" s="112"/>
    </row>
    <row r="48" spans="1:9" x14ac:dyDescent="0.25">
      <c r="A48" s="55" t="s">
        <v>150</v>
      </c>
      <c r="B48" s="54">
        <f>SUM(B46:F46)</f>
        <v>379226441.63090825</v>
      </c>
      <c r="C48" s="113"/>
      <c r="D48" s="114"/>
      <c r="E48" s="114"/>
      <c r="F48" s="114"/>
      <c r="G48" s="115"/>
    </row>
  </sheetData>
  <mergeCells count="11">
    <mergeCell ref="A41:F41"/>
    <mergeCell ref="A45:F45"/>
    <mergeCell ref="G2:G3"/>
    <mergeCell ref="A33:G34"/>
    <mergeCell ref="C47:G48"/>
    <mergeCell ref="A18:F18"/>
    <mergeCell ref="A1:F1"/>
    <mergeCell ref="B2:F2"/>
    <mergeCell ref="A21:F21"/>
    <mergeCell ref="A11:F11"/>
    <mergeCell ref="A25:F25"/>
  </mergeCells>
  <printOptions gridLines="1"/>
  <pageMargins left="0.38" right="0.28000000000000003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6"/>
  <sheetViews>
    <sheetView zoomScaleNormal="100" workbookViewId="0">
      <selection activeCell="B31" sqref="B31"/>
    </sheetView>
  </sheetViews>
  <sheetFormatPr defaultColWidth="8.85546875" defaultRowHeight="15" x14ac:dyDescent="0.25"/>
  <cols>
    <col min="1" max="2" width="14.42578125" customWidth="1"/>
    <col min="3" max="3" width="36.85546875" customWidth="1"/>
    <col min="4" max="4" width="81.28515625" customWidth="1"/>
  </cols>
  <sheetData>
    <row r="1" spans="1:4" ht="18.75" x14ac:dyDescent="0.3">
      <c r="A1" s="93" t="s">
        <v>261</v>
      </c>
      <c r="B1" s="94"/>
      <c r="C1" s="94"/>
      <c r="D1" s="94"/>
    </row>
    <row r="2" spans="1:4" ht="18.75" x14ac:dyDescent="0.3">
      <c r="A2" s="3" t="s">
        <v>1</v>
      </c>
      <c r="B2" s="84"/>
      <c r="C2" s="85"/>
      <c r="D2" s="85"/>
    </row>
    <row r="3" spans="1:4" x14ac:dyDescent="0.25">
      <c r="A3" s="85"/>
      <c r="B3" s="87" t="s">
        <v>25</v>
      </c>
      <c r="C3" s="88" t="s">
        <v>27</v>
      </c>
      <c r="D3" s="88" t="s">
        <v>26</v>
      </c>
    </row>
    <row r="4" spans="1:4" ht="9" customHeight="1" x14ac:dyDescent="0.25">
      <c r="A4" s="9"/>
      <c r="B4" s="14"/>
      <c r="C4" s="15"/>
      <c r="D4" s="15"/>
    </row>
    <row r="5" spans="1:4" x14ac:dyDescent="0.25">
      <c r="A5" s="5"/>
      <c r="B5" s="8">
        <v>35745.85</v>
      </c>
      <c r="C5" s="5" t="s">
        <v>79</v>
      </c>
      <c r="D5" s="5" t="s">
        <v>80</v>
      </c>
    </row>
    <row r="6" spans="1:4" x14ac:dyDescent="0.25">
      <c r="A6" s="5"/>
      <c r="B6" s="8">
        <f>0.12*costNewGroup1Server</f>
        <v>4289.5019999999995</v>
      </c>
      <c r="C6" s="5" t="s">
        <v>82</v>
      </c>
      <c r="D6" s="5" t="s">
        <v>81</v>
      </c>
    </row>
    <row r="7" spans="1:4" x14ac:dyDescent="0.25">
      <c r="A7" s="5"/>
      <c r="B7" s="8"/>
      <c r="C7" s="5"/>
      <c r="D7" s="5"/>
    </row>
    <row r="8" spans="1:4" x14ac:dyDescent="0.25">
      <c r="A8" s="5"/>
      <c r="B8" s="8">
        <v>35745.85</v>
      </c>
      <c r="C8" s="5" t="s">
        <v>69</v>
      </c>
      <c r="D8" s="5" t="s">
        <v>254</v>
      </c>
    </row>
    <row r="9" spans="1:4" x14ac:dyDescent="0.25">
      <c r="A9" s="5"/>
      <c r="B9" s="8">
        <f>0.12*costNewGroup2Server</f>
        <v>4289.5019999999995</v>
      </c>
      <c r="C9" s="5" t="s">
        <v>70</v>
      </c>
      <c r="D9" s="5" t="s">
        <v>71</v>
      </c>
    </row>
    <row r="10" spans="1:4" x14ac:dyDescent="0.25">
      <c r="A10" s="5"/>
      <c r="B10" s="8"/>
      <c r="C10" s="5"/>
      <c r="D10" s="5"/>
    </row>
    <row r="11" spans="1:4" x14ac:dyDescent="0.25">
      <c r="A11" s="5"/>
      <c r="B11" s="8">
        <v>14319</v>
      </c>
      <c r="C11" s="5" t="s">
        <v>83</v>
      </c>
      <c r="D11" s="5" t="s">
        <v>84</v>
      </c>
    </row>
    <row r="12" spans="1:4" x14ac:dyDescent="0.25">
      <c r="A12" s="5"/>
      <c r="B12" s="8">
        <f>0.12*costNewGroup3Server</f>
        <v>1718.28</v>
      </c>
      <c r="C12" s="5" t="s">
        <v>85</v>
      </c>
      <c r="D12" s="5" t="s">
        <v>86</v>
      </c>
    </row>
    <row r="13" spans="1:4" x14ac:dyDescent="0.25">
      <c r="A13" s="5"/>
      <c r="B13" s="8"/>
      <c r="C13" s="5"/>
      <c r="D13" s="5"/>
    </row>
    <row r="14" spans="1:4" x14ac:dyDescent="0.25">
      <c r="A14" s="5"/>
      <c r="B14" s="8">
        <v>14319</v>
      </c>
      <c r="C14" s="5" t="s">
        <v>234</v>
      </c>
      <c r="D14" s="5" t="s">
        <v>238</v>
      </c>
    </row>
    <row r="15" spans="1:4" x14ac:dyDescent="0.25">
      <c r="A15" s="5"/>
      <c r="B15" s="8">
        <f>0.12*costNewGroup4Server</f>
        <v>1718.28</v>
      </c>
      <c r="C15" s="5" t="s">
        <v>235</v>
      </c>
      <c r="D15" s="5" t="s">
        <v>239</v>
      </c>
    </row>
    <row r="16" spans="1:4" x14ac:dyDescent="0.25">
      <c r="A16" s="5"/>
      <c r="B16" s="5"/>
      <c r="C16" s="5"/>
      <c r="D16" s="5"/>
    </row>
    <row r="17" spans="1:4" x14ac:dyDescent="0.25">
      <c r="A17" s="5"/>
      <c r="B17" s="82">
        <v>100</v>
      </c>
      <c r="C17" s="5" t="s">
        <v>72</v>
      </c>
      <c r="D17" s="5" t="s">
        <v>73</v>
      </c>
    </row>
    <row r="18" spans="1:4" x14ac:dyDescent="0.25">
      <c r="A18" s="5"/>
      <c r="B18" s="82">
        <v>450</v>
      </c>
      <c r="C18" s="5" t="s">
        <v>74</v>
      </c>
      <c r="D18" s="5" t="s">
        <v>132</v>
      </c>
    </row>
    <row r="19" spans="1:4" x14ac:dyDescent="0.25">
      <c r="A19" s="5"/>
      <c r="B19" s="82">
        <v>60</v>
      </c>
      <c r="C19" s="5" t="s">
        <v>75</v>
      </c>
      <c r="D19" s="5" t="s">
        <v>76</v>
      </c>
    </row>
    <row r="20" spans="1:4" x14ac:dyDescent="0.25">
      <c r="A20" s="5"/>
      <c r="B20" s="82">
        <v>350</v>
      </c>
      <c r="C20" s="5" t="s">
        <v>77</v>
      </c>
      <c r="D20" s="5" t="s">
        <v>133</v>
      </c>
    </row>
    <row r="21" spans="1:4" x14ac:dyDescent="0.25">
      <c r="A21" s="5"/>
      <c r="B21" s="82">
        <v>10</v>
      </c>
      <c r="C21" s="5" t="s">
        <v>78</v>
      </c>
      <c r="D21" s="5" t="s">
        <v>87</v>
      </c>
    </row>
    <row r="22" spans="1:4" x14ac:dyDescent="0.25">
      <c r="A22" s="5"/>
      <c r="B22" s="82">
        <v>30</v>
      </c>
      <c r="C22" s="5" t="s">
        <v>88</v>
      </c>
      <c r="D22" s="5" t="s">
        <v>134</v>
      </c>
    </row>
    <row r="23" spans="1:4" x14ac:dyDescent="0.25">
      <c r="A23" s="5"/>
      <c r="B23" s="82">
        <v>30</v>
      </c>
      <c r="C23" s="5" t="s">
        <v>236</v>
      </c>
      <c r="D23" s="5" t="s">
        <v>241</v>
      </c>
    </row>
    <row r="24" spans="1:4" x14ac:dyDescent="0.25">
      <c r="A24" s="5"/>
      <c r="B24" s="82">
        <v>100</v>
      </c>
      <c r="C24" s="5" t="s">
        <v>237</v>
      </c>
      <c r="D24" s="5" t="s">
        <v>240</v>
      </c>
    </row>
    <row r="25" spans="1:4" x14ac:dyDescent="0.25">
      <c r="A25" s="5"/>
      <c r="B25" s="9"/>
      <c r="C25" s="5"/>
      <c r="D25" s="5"/>
    </row>
    <row r="26" spans="1:4" x14ac:dyDescent="0.25">
      <c r="A26" s="5"/>
      <c r="B26" s="9"/>
      <c r="C26" s="5"/>
      <c r="D26" s="5"/>
    </row>
    <row r="27" spans="1:4" x14ac:dyDescent="0.25">
      <c r="A27" s="5"/>
      <c r="B27" s="9">
        <v>3299</v>
      </c>
      <c r="C27" s="5" t="s">
        <v>89</v>
      </c>
      <c r="D27" s="5" t="s">
        <v>135</v>
      </c>
    </row>
    <row r="28" spans="1:4" x14ac:dyDescent="0.25">
      <c r="A28" s="5"/>
      <c r="B28" s="9">
        <v>2708</v>
      </c>
      <c r="C28" s="5" t="s">
        <v>90</v>
      </c>
      <c r="D28" s="5" t="s">
        <v>136</v>
      </c>
    </row>
    <row r="29" spans="1:4" x14ac:dyDescent="0.25">
      <c r="A29" s="5"/>
      <c r="B29" s="9">
        <v>974</v>
      </c>
      <c r="C29" s="5" t="s">
        <v>91</v>
      </c>
      <c r="D29" s="5" t="s">
        <v>137</v>
      </c>
    </row>
    <row r="30" spans="1:4" x14ac:dyDescent="0.25">
      <c r="A30" s="5"/>
      <c r="B30" s="9">
        <v>779</v>
      </c>
      <c r="C30" s="5" t="s">
        <v>242</v>
      </c>
      <c r="D30" s="5" t="s">
        <v>243</v>
      </c>
    </row>
    <row r="31" spans="1:4" x14ac:dyDescent="0.25">
      <c r="A31" s="5"/>
      <c r="B31" s="9"/>
      <c r="C31" s="5"/>
      <c r="D31" s="5"/>
    </row>
    <row r="32" spans="1:4" x14ac:dyDescent="0.25">
      <c r="A32" s="5"/>
      <c r="B32" s="8">
        <v>6500</v>
      </c>
      <c r="C32" s="5" t="s">
        <v>92</v>
      </c>
      <c r="D32" s="5" t="s">
        <v>93</v>
      </c>
    </row>
    <row r="33" spans="1:4" x14ac:dyDescent="0.25">
      <c r="A33" s="5"/>
      <c r="B33" s="9">
        <v>0.15</v>
      </c>
      <c r="C33" s="5" t="s">
        <v>95</v>
      </c>
      <c r="D33" s="5" t="s">
        <v>94</v>
      </c>
    </row>
    <row r="34" spans="1:4" x14ac:dyDescent="0.25">
      <c r="A34" s="5"/>
      <c r="B34" s="9"/>
      <c r="C34" s="5"/>
      <c r="D34" s="5"/>
    </row>
    <row r="35" spans="1:4" x14ac:dyDescent="0.25">
      <c r="A35" s="5"/>
      <c r="B35" s="9"/>
      <c r="C35" s="5"/>
      <c r="D35" s="5"/>
    </row>
    <row r="36" spans="1:4" x14ac:dyDescent="0.25">
      <c r="A36" s="5"/>
      <c r="B36" s="8">
        <v>5500</v>
      </c>
      <c r="C36" s="5" t="s">
        <v>97</v>
      </c>
      <c r="D36" s="5" t="s">
        <v>98</v>
      </c>
    </row>
    <row r="37" spans="1:4" x14ac:dyDescent="0.25">
      <c r="A37" s="5"/>
      <c r="B37" s="9">
        <v>4</v>
      </c>
      <c r="C37" s="5" t="s">
        <v>102</v>
      </c>
      <c r="D37" s="5" t="s">
        <v>100</v>
      </c>
    </row>
    <row r="38" spans="1:4" x14ac:dyDescent="0.25">
      <c r="A38" s="5"/>
      <c r="B38" s="9">
        <v>2</v>
      </c>
      <c r="C38" s="5" t="s">
        <v>99</v>
      </c>
      <c r="D38" s="5" t="s">
        <v>101</v>
      </c>
    </row>
    <row r="39" spans="1:4" x14ac:dyDescent="0.25">
      <c r="A39" s="5"/>
      <c r="B39" s="9"/>
      <c r="C39" s="5"/>
      <c r="D39" s="5"/>
    </row>
    <row r="40" spans="1:4" ht="18.75" x14ac:dyDescent="0.3">
      <c r="A40" s="11" t="s">
        <v>3</v>
      </c>
      <c r="B40" s="38"/>
      <c r="C40" s="85"/>
      <c r="D40" s="85"/>
    </row>
    <row r="41" spans="1:4" ht="18.75" x14ac:dyDescent="0.3">
      <c r="A41" s="11"/>
      <c r="B41" s="86" t="s">
        <v>25</v>
      </c>
      <c r="C41" s="86" t="s">
        <v>27</v>
      </c>
      <c r="D41" s="86" t="s">
        <v>26</v>
      </c>
    </row>
    <row r="42" spans="1:4" x14ac:dyDescent="0.25">
      <c r="A42" s="5"/>
      <c r="B42" s="1">
        <v>10</v>
      </c>
      <c r="C42" s="92" t="s">
        <v>267</v>
      </c>
      <c r="D42" s="92" t="s">
        <v>268</v>
      </c>
    </row>
    <row r="43" spans="1:4" x14ac:dyDescent="0.25">
      <c r="A43" s="5"/>
      <c r="B43" s="91">
        <v>0.55000000000000004</v>
      </c>
      <c r="C43" s="5" t="s">
        <v>109</v>
      </c>
      <c r="D43" s="5" t="s">
        <v>110</v>
      </c>
    </row>
    <row r="44" spans="1:4" x14ac:dyDescent="0.25">
      <c r="A44" s="5"/>
      <c r="B44" s="9"/>
      <c r="C44" s="5"/>
      <c r="D44" s="5"/>
    </row>
    <row r="45" spans="1:4" x14ac:dyDescent="0.25">
      <c r="A45" s="5"/>
      <c r="B45" s="9">
        <v>1.5</v>
      </c>
      <c r="C45" s="5" t="s">
        <v>124</v>
      </c>
      <c r="D45" s="5" t="s">
        <v>126</v>
      </c>
    </row>
    <row r="46" spans="1:4" x14ac:dyDescent="0.25">
      <c r="A46" s="5"/>
      <c r="B46" s="9">
        <v>1.5</v>
      </c>
      <c r="C46" s="5" t="s">
        <v>123</v>
      </c>
      <c r="D46" s="5" t="s">
        <v>127</v>
      </c>
    </row>
    <row r="47" spans="1:4" x14ac:dyDescent="0.25">
      <c r="A47" s="5"/>
      <c r="B47" s="9">
        <v>1.5</v>
      </c>
      <c r="C47" s="5" t="s">
        <v>125</v>
      </c>
      <c r="D47" s="5" t="s">
        <v>128</v>
      </c>
    </row>
    <row r="48" spans="1:4" x14ac:dyDescent="0.25">
      <c r="A48" s="5"/>
      <c r="B48" s="9">
        <v>2</v>
      </c>
      <c r="C48" s="5" t="s">
        <v>244</v>
      </c>
      <c r="D48" s="5" t="s">
        <v>247</v>
      </c>
    </row>
    <row r="49" spans="1:4" x14ac:dyDescent="0.25">
      <c r="A49" s="5"/>
      <c r="B49" s="9"/>
      <c r="C49" s="5"/>
      <c r="D49" s="5"/>
    </row>
    <row r="50" spans="1:4" x14ac:dyDescent="0.25">
      <c r="A50" s="5"/>
      <c r="B50" s="9">
        <v>365</v>
      </c>
      <c r="C50" s="5" t="s">
        <v>122</v>
      </c>
      <c r="D50" s="5" t="s">
        <v>129</v>
      </c>
    </row>
    <row r="51" spans="1:4" x14ac:dyDescent="0.25">
      <c r="A51" s="5"/>
      <c r="B51" s="9">
        <v>365</v>
      </c>
      <c r="C51" s="5" t="s">
        <v>121</v>
      </c>
      <c r="D51" s="5" t="s">
        <v>130</v>
      </c>
    </row>
    <row r="52" spans="1:4" x14ac:dyDescent="0.25">
      <c r="A52" s="5"/>
      <c r="B52" s="9">
        <v>365</v>
      </c>
      <c r="C52" s="5" t="s">
        <v>120</v>
      </c>
      <c r="D52" s="5" t="s">
        <v>131</v>
      </c>
    </row>
    <row r="53" spans="1:4" x14ac:dyDescent="0.25">
      <c r="A53" s="5"/>
      <c r="B53" s="9">
        <v>52</v>
      </c>
      <c r="C53" s="5" t="s">
        <v>245</v>
      </c>
      <c r="D53" s="5" t="s">
        <v>246</v>
      </c>
    </row>
    <row r="62" spans="1:4" x14ac:dyDescent="0.25">
      <c r="D62" s="1"/>
    </row>
    <row r="63" spans="1:4" x14ac:dyDescent="0.25">
      <c r="B63" s="1"/>
    </row>
    <row r="64" spans="1:4" x14ac:dyDescent="0.25">
      <c r="B64" s="1"/>
    </row>
    <row r="66" spans="2:2" x14ac:dyDescent="0.25">
      <c r="B66" s="1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7"/>
  <sheetViews>
    <sheetView topLeftCell="A9" zoomScaleNormal="100" workbookViewId="0">
      <selection activeCell="B28" sqref="B28"/>
    </sheetView>
  </sheetViews>
  <sheetFormatPr defaultColWidth="8.85546875" defaultRowHeight="15" x14ac:dyDescent="0.25"/>
  <cols>
    <col min="1" max="1" width="37.7109375" customWidth="1"/>
    <col min="2" max="2" width="17.85546875" customWidth="1"/>
    <col min="3" max="3" width="14" customWidth="1"/>
    <col min="4" max="4" width="13.42578125" customWidth="1"/>
    <col min="5" max="5" width="13.7109375" customWidth="1"/>
    <col min="6" max="6" width="15" customWidth="1"/>
    <col min="7" max="7" width="18.85546875" customWidth="1"/>
    <col min="8" max="9" width="13.85546875" bestFit="1" customWidth="1"/>
  </cols>
  <sheetData>
    <row r="1" spans="1:7" s="2" customFormat="1" ht="21" x14ac:dyDescent="0.35">
      <c r="A1" s="120" t="s">
        <v>145</v>
      </c>
      <c r="B1" s="121"/>
      <c r="C1" s="121"/>
      <c r="D1" s="121"/>
      <c r="E1" s="121"/>
      <c r="F1" s="122"/>
    </row>
    <row r="2" spans="1:7" x14ac:dyDescent="0.25">
      <c r="A2" s="31" t="s">
        <v>0</v>
      </c>
      <c r="B2" s="123" t="s">
        <v>5</v>
      </c>
      <c r="C2" s="123"/>
      <c r="D2" s="123"/>
      <c r="E2" s="123"/>
      <c r="F2" s="123"/>
      <c r="G2" s="116" t="s">
        <v>140</v>
      </c>
    </row>
    <row r="3" spans="1:7" x14ac:dyDescent="0.25">
      <c r="A3" s="27"/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116"/>
    </row>
    <row r="4" spans="1:7" ht="18.75" x14ac:dyDescent="0.3">
      <c r="A4" s="63" t="s">
        <v>1</v>
      </c>
      <c r="B4" s="21"/>
      <c r="C4" s="21"/>
      <c r="D4" s="21"/>
      <c r="E4" s="21"/>
      <c r="F4" s="22"/>
      <c r="G4" s="18"/>
    </row>
    <row r="5" spans="1:7" x14ac:dyDescent="0.25">
      <c r="A5" s="32" t="s">
        <v>13</v>
      </c>
      <c r="B5" s="33">
        <f>numNewServersGroup1*costNewGroup1Server+numNewServersGroup2*costNewGroup2Server+numNewServersGroup3*costNewGroup3Server+numNewServersGroup4*costNewGroup4Server</f>
        <v>6292096</v>
      </c>
      <c r="C5" s="33">
        <v>0</v>
      </c>
      <c r="D5" s="33">
        <v>0</v>
      </c>
      <c r="E5" s="33">
        <v>0</v>
      </c>
      <c r="F5" s="33">
        <v>0</v>
      </c>
      <c r="G5" s="47">
        <f>SUM(B5:F5)</f>
        <v>6292096</v>
      </c>
    </row>
    <row r="6" spans="1:7" x14ac:dyDescent="0.25">
      <c r="A6" s="32" t="s">
        <v>14</v>
      </c>
      <c r="B6" s="33">
        <f>virtualizationSoftwareCost*(numNewServersGroup1+numNewServersGroup2+numNewServersGroup3+numNewServersGroup4)</f>
        <v>1300000</v>
      </c>
      <c r="C6" s="33">
        <v>0</v>
      </c>
      <c r="D6" s="33">
        <v>0</v>
      </c>
      <c r="E6" s="33">
        <v>0</v>
      </c>
      <c r="F6" s="33">
        <v>0</v>
      </c>
      <c r="G6" s="47">
        <f t="shared" ref="G6:G18" si="0">SUM(B6:F6)</f>
        <v>1300000</v>
      </c>
    </row>
    <row r="7" spans="1:7" x14ac:dyDescent="0.25">
      <c r="A7" s="32" t="s">
        <v>15</v>
      </c>
      <c r="B7" s="33">
        <v>0</v>
      </c>
      <c r="C7" s="33">
        <f>virtualizationSoftwareCost*virtualizationSoftwareMaintenanceRate*(numNewServersGroup1+numNewServersGroup2+numNewServersGroup3+numNewServersGroup4)</f>
        <v>195000</v>
      </c>
      <c r="D7" s="33">
        <f>virtualizationSoftwareCost*virtualizationSoftwareMaintenanceRate*(numNewServersGroup1+numNewServersGroup2+numNewServersGroup3+numNewServersGroup4)</f>
        <v>195000</v>
      </c>
      <c r="E7" s="33">
        <f>virtualizationSoftwareCost*virtualizationSoftwareMaintenanceRate*(numNewServersGroup1+numNewServersGroup2+numNewServersGroup3+numNewServersGroup4)</f>
        <v>195000</v>
      </c>
      <c r="F7" s="33">
        <f>virtualizationSoftwareCost*virtualizationSoftwareMaintenanceRate*(numNewServersGroup1+numNewServersGroup2+numNewServersGroup3+numNewServersGroup4)</f>
        <v>195000</v>
      </c>
      <c r="G7" s="47">
        <f t="shared" si="0"/>
        <v>780000</v>
      </c>
    </row>
    <row r="8" spans="1:7" x14ac:dyDescent="0.25">
      <c r="A8" s="32" t="s">
        <v>153</v>
      </c>
      <c r="B8" s="28">
        <f>(newServerPowerGroup1 / wattsInAKilowatt)*hoursInADay*daysInAYear*numNewServersGroup1*costkwHYear1</f>
        <v>375690.12</v>
      </c>
      <c r="C8" s="28">
        <f t="shared" ref="C8:F11" si="1">B8*powerRateIncrease</f>
        <v>383203.92239999998</v>
      </c>
      <c r="D8" s="28">
        <f t="shared" si="1"/>
        <v>390868.000848</v>
      </c>
      <c r="E8" s="28">
        <f t="shared" si="1"/>
        <v>398685.36086496001</v>
      </c>
      <c r="F8" s="28">
        <f t="shared" si="1"/>
        <v>406659.06808225921</v>
      </c>
      <c r="G8" s="47">
        <f t="shared" si="0"/>
        <v>1955106.472195219</v>
      </c>
    </row>
    <row r="9" spans="1:7" x14ac:dyDescent="0.25">
      <c r="A9" s="32" t="s">
        <v>47</v>
      </c>
      <c r="B9" s="28">
        <f>(newServerPowerGroup2 / wattsInAKilowatt)*hoursInADay*daysInAYear*numNewServersGroup2*costkwHYear1</f>
        <v>185032.22400000002</v>
      </c>
      <c r="C9" s="28">
        <f t="shared" si="1"/>
        <v>188732.86848000003</v>
      </c>
      <c r="D9" s="28">
        <f t="shared" si="1"/>
        <v>192507.52584960003</v>
      </c>
      <c r="E9" s="28">
        <f t="shared" si="1"/>
        <v>196357.67636659203</v>
      </c>
      <c r="F9" s="28">
        <f t="shared" si="1"/>
        <v>200284.82989392389</v>
      </c>
      <c r="G9" s="47">
        <f t="shared" si="0"/>
        <v>962915.12459011609</v>
      </c>
    </row>
    <row r="10" spans="1:7" x14ac:dyDescent="0.25">
      <c r="A10" s="32" t="s">
        <v>154</v>
      </c>
      <c r="B10" s="28">
        <f>(newServerPowerGroup3 / wattsInAKilowatt)*hoursInADay*daysInAYear*numNewServersGroup3*costkwHYear1</f>
        <v>11091.912</v>
      </c>
      <c r="C10" s="28">
        <f t="shared" si="1"/>
        <v>11313.750240000001</v>
      </c>
      <c r="D10" s="28">
        <f t="shared" si="1"/>
        <v>11540.025244800001</v>
      </c>
      <c r="E10" s="28">
        <f t="shared" si="1"/>
        <v>11770.825749696001</v>
      </c>
      <c r="F10" s="28">
        <f t="shared" si="1"/>
        <v>12006.242264689921</v>
      </c>
      <c r="G10" s="47">
        <f t="shared" si="0"/>
        <v>57722.755499185922</v>
      </c>
    </row>
    <row r="11" spans="1:7" x14ac:dyDescent="0.25">
      <c r="A11" s="32" t="s">
        <v>266</v>
      </c>
      <c r="B11" s="28">
        <f>(newServerPowerGroup4 / wattsInAKilowatt)*hoursInADay*daysInAYear*numNewServersGroup4*costkwHYear1</f>
        <v>26613.756000000001</v>
      </c>
      <c r="C11" s="28">
        <f t="shared" si="1"/>
        <v>27146.031120000003</v>
      </c>
      <c r="D11" s="28">
        <f t="shared" si="1"/>
        <v>27688.951742400004</v>
      </c>
      <c r="E11" s="28">
        <f t="shared" si="1"/>
        <v>28242.730777248005</v>
      </c>
      <c r="F11" s="28">
        <f t="shared" si="1"/>
        <v>28807.585392792967</v>
      </c>
      <c r="G11" s="47">
        <f t="shared" si="0"/>
        <v>138499.05503244099</v>
      </c>
    </row>
    <row r="12" spans="1:7" x14ac:dyDescent="0.25">
      <c r="A12" s="32" t="s">
        <v>155</v>
      </c>
      <c r="B12" s="28">
        <f>year1Group1ServerMaintenance*numNewServersGroup1</f>
        <v>428950.19999999995</v>
      </c>
      <c r="C12" s="28">
        <f t="shared" ref="C12:F15" si="2">B12*serverMaintenanceRateIncrease</f>
        <v>441818.70599999995</v>
      </c>
      <c r="D12" s="28">
        <f t="shared" si="2"/>
        <v>455073.26717999997</v>
      </c>
      <c r="E12" s="28">
        <f t="shared" si="2"/>
        <v>468725.4651954</v>
      </c>
      <c r="F12" s="28">
        <f t="shared" si="2"/>
        <v>482787.22915126203</v>
      </c>
      <c r="G12" s="47">
        <f t="shared" si="0"/>
        <v>2277354.8675266621</v>
      </c>
    </row>
    <row r="13" spans="1:7" x14ac:dyDescent="0.25">
      <c r="A13" s="32" t="s">
        <v>50</v>
      </c>
      <c r="B13" s="28">
        <f>year1Group2ServerMaintenance*numNewServersGroup2</f>
        <v>257370.11999999997</v>
      </c>
      <c r="C13" s="28">
        <f t="shared" si="2"/>
        <v>265091.22359999997</v>
      </c>
      <c r="D13" s="28">
        <f t="shared" si="2"/>
        <v>273043.96030799998</v>
      </c>
      <c r="E13" s="28">
        <f t="shared" si="2"/>
        <v>281235.27911723999</v>
      </c>
      <c r="F13" s="28">
        <f t="shared" si="2"/>
        <v>289672.33749075717</v>
      </c>
      <c r="G13" s="47">
        <f t="shared" si="0"/>
        <v>1366412.9205159971</v>
      </c>
    </row>
    <row r="14" spans="1:7" x14ac:dyDescent="0.25">
      <c r="A14" s="32" t="s">
        <v>156</v>
      </c>
      <c r="B14" s="28">
        <f>year1Group3ServerMaintenance*numNewServersGroup3</f>
        <v>17182.8</v>
      </c>
      <c r="C14" s="28">
        <f t="shared" si="2"/>
        <v>17698.284</v>
      </c>
      <c r="D14" s="28">
        <f t="shared" si="2"/>
        <v>18229.232520000001</v>
      </c>
      <c r="E14" s="28">
        <f t="shared" si="2"/>
        <v>18776.109495600002</v>
      </c>
      <c r="F14" s="28">
        <f t="shared" si="2"/>
        <v>19339.392780468002</v>
      </c>
      <c r="G14" s="47">
        <f t="shared" si="0"/>
        <v>91225.818796068008</v>
      </c>
    </row>
    <row r="15" spans="1:7" x14ac:dyDescent="0.25">
      <c r="A15" s="32" t="s">
        <v>248</v>
      </c>
      <c r="B15" s="28">
        <f>year1Group4ServerMaintenance*numNewServersGroup4</f>
        <v>51548.4</v>
      </c>
      <c r="C15" s="28">
        <f t="shared" si="2"/>
        <v>53094.852000000006</v>
      </c>
      <c r="D15" s="28">
        <f t="shared" si="2"/>
        <v>54687.697560000008</v>
      </c>
      <c r="E15" s="28">
        <f t="shared" si="2"/>
        <v>56328.328486800012</v>
      </c>
      <c r="F15" s="28">
        <f t="shared" si="2"/>
        <v>58018.178341404011</v>
      </c>
      <c r="G15" s="47">
        <f t="shared" si="0"/>
        <v>273677.45638820401</v>
      </c>
    </row>
    <row r="16" spans="1:7" x14ac:dyDescent="0.25">
      <c r="A16" s="32" t="s">
        <v>16</v>
      </c>
      <c r="B16" s="28">
        <f>empsTrainedYears1And2*trainingCostPerEmployee</f>
        <v>22000</v>
      </c>
      <c r="C16" s="28">
        <f>empsTrainedYears1And2*trainingCostPerEmployee</f>
        <v>22000</v>
      </c>
      <c r="D16" s="28">
        <f>empsTrainedYears3Thru5*trainingCostPerEmployee</f>
        <v>11000</v>
      </c>
      <c r="E16" s="28">
        <f>empsTrainedYears3Thru5*trainingCostPerEmployee</f>
        <v>11000</v>
      </c>
      <c r="F16" s="28">
        <f>empsTrainedYears3Thru5*trainingCostPerEmployee</f>
        <v>11000</v>
      </c>
      <c r="G16" s="47">
        <f t="shared" si="0"/>
        <v>77000</v>
      </c>
    </row>
    <row r="17" spans="1:8" x14ac:dyDescent="0.25">
      <c r="A17" s="32" t="s">
        <v>51</v>
      </c>
      <c r="B17" s="28">
        <f>securityFirmMonthlyCharge*monthsInAYear</f>
        <v>54000</v>
      </c>
      <c r="C17" s="28">
        <f>securityFirmMonthlyCharge*monthsInAYear</f>
        <v>54000</v>
      </c>
      <c r="D17" s="28">
        <f>securityFirmMonthlyCharge*monthsInAYear</f>
        <v>54000</v>
      </c>
      <c r="E17" s="28">
        <f>securityFirmMonthlyCharge*monthsInAYear</f>
        <v>54000</v>
      </c>
      <c r="F17" s="28">
        <f>securityFirmMonthlyCharge*monthsInAYear</f>
        <v>54000</v>
      </c>
      <c r="G17" s="47">
        <f t="shared" si="0"/>
        <v>270000</v>
      </c>
    </row>
    <row r="18" spans="1:8" x14ac:dyDescent="0.25">
      <c r="A18" s="32" t="s">
        <v>52</v>
      </c>
      <c r="B18" s="28">
        <f>(dataStorageMonthlyChargeYears1And2 * monthsInAYear)</f>
        <v>78000</v>
      </c>
      <c r="C18" s="28">
        <f>(dataStorageMonthlyChargeYears1And2 * monthsInAYear)</f>
        <v>78000</v>
      </c>
      <c r="D18" s="28">
        <f>(dataStorageMonthlyChargeYears3Thru5 * monthsInAYear)</f>
        <v>120000</v>
      </c>
      <c r="E18" s="28">
        <f>(dataStorageMonthlyChargeYears3Thru5 * monthsInAYear)</f>
        <v>120000</v>
      </c>
      <c r="F18" s="28">
        <f>(dataStorageMonthlyChargeYears3Thru5 * monthsInAYear)</f>
        <v>120000</v>
      </c>
      <c r="G18" s="47">
        <f t="shared" si="0"/>
        <v>516000</v>
      </c>
    </row>
    <row r="19" spans="1:8" ht="15" customHeight="1" x14ac:dyDescent="0.25">
      <c r="A19" s="99"/>
      <c r="B19" s="100"/>
      <c r="C19" s="100"/>
      <c r="D19" s="100"/>
      <c r="E19" s="100"/>
      <c r="F19" s="101"/>
      <c r="G19" s="27"/>
    </row>
    <row r="20" spans="1:8" ht="17.25" customHeight="1" x14ac:dyDescent="0.25">
      <c r="A20" s="56" t="s">
        <v>2</v>
      </c>
      <c r="B20" s="44">
        <f>SUM(B5:B18)</f>
        <v>9099575.5319999997</v>
      </c>
      <c r="C20" s="44">
        <f t="shared" ref="C20:E20" si="3">SUM(C5:C18)</f>
        <v>1737099.63784</v>
      </c>
      <c r="D20" s="44">
        <f t="shared" si="3"/>
        <v>1803638.6612528001</v>
      </c>
      <c r="E20" s="44">
        <f t="shared" si="3"/>
        <v>1840121.7760535362</v>
      </c>
      <c r="F20" s="44">
        <f>SUM(F5:F18)</f>
        <v>1877574.8633975573</v>
      </c>
      <c r="G20" s="48">
        <f>SUM(G5:G18)</f>
        <v>16358010.470543893</v>
      </c>
    </row>
    <row r="21" spans="1:8" ht="14.25" customHeight="1" x14ac:dyDescent="0.25">
      <c r="A21" s="99"/>
      <c r="B21" s="100"/>
      <c r="C21" s="100"/>
      <c r="D21" s="100"/>
      <c r="E21" s="100"/>
      <c r="F21" s="101"/>
      <c r="G21" s="27"/>
    </row>
    <row r="22" spans="1:8" x14ac:dyDescent="0.25">
      <c r="A22" s="49" t="s">
        <v>20</v>
      </c>
      <c r="B22" s="48">
        <f>G20</f>
        <v>16358010.470543893</v>
      </c>
      <c r="C22" s="117"/>
      <c r="D22" s="118"/>
      <c r="E22" s="118"/>
      <c r="F22" s="119"/>
      <c r="G22" s="27"/>
    </row>
    <row r="23" spans="1:8" x14ac:dyDescent="0.25">
      <c r="A23" s="99"/>
      <c r="B23" s="100"/>
      <c r="C23" s="100"/>
      <c r="D23" s="100"/>
      <c r="E23" s="100"/>
      <c r="F23" s="101"/>
      <c r="G23" s="27"/>
    </row>
    <row r="24" spans="1:8" ht="18.75" x14ac:dyDescent="0.3">
      <c r="A24" s="64" t="s">
        <v>3</v>
      </c>
      <c r="B24" s="19"/>
      <c r="C24" s="19"/>
      <c r="D24" s="19"/>
      <c r="E24" s="19"/>
      <c r="F24" s="20"/>
      <c r="G24" s="18"/>
    </row>
    <row r="25" spans="1:8" x14ac:dyDescent="0.25">
      <c r="A25" s="32" t="s">
        <v>103</v>
      </c>
      <c r="B25" s="33">
        <f>(weeksAdminTimeProposed * hoursInAdminWeek) * administrativeCostPerHourYear1 * numNewServersGroup1</f>
        <v>5250000</v>
      </c>
      <c r="C25" s="33">
        <f t="shared" ref="C25:F32" si="4">B25*administrativeRateIncrease</f>
        <v>5355000</v>
      </c>
      <c r="D25" s="33">
        <f t="shared" si="4"/>
        <v>5462100</v>
      </c>
      <c r="E25" s="33">
        <f t="shared" si="4"/>
        <v>5571342</v>
      </c>
      <c r="F25" s="33">
        <f t="shared" si="4"/>
        <v>5682768.8399999999</v>
      </c>
      <c r="G25" s="47">
        <f>SUM(B25:F25)</f>
        <v>27321210.84</v>
      </c>
    </row>
    <row r="26" spans="1:8" x14ac:dyDescent="0.25">
      <c r="A26" s="32" t="s">
        <v>106</v>
      </c>
      <c r="B26" s="33">
        <f>(weeksAdminTimeProposed * hoursInAdminWeek) * administrativeCostPerHourYear1 * numVirtualServersGroup1 * adminCostOnVirtualServer</f>
        <v>12993750.000000002</v>
      </c>
      <c r="C26" s="33">
        <f t="shared" si="4"/>
        <v>13253625.000000002</v>
      </c>
      <c r="D26" s="33">
        <f t="shared" si="4"/>
        <v>13518697.500000002</v>
      </c>
      <c r="E26" s="33">
        <f t="shared" si="4"/>
        <v>13789071.450000003</v>
      </c>
      <c r="F26" s="33">
        <f t="shared" si="4"/>
        <v>14064852.879000003</v>
      </c>
      <c r="G26" s="47">
        <f t="shared" ref="G26:G32" si="5">SUM(B26:F26)</f>
        <v>67619996.829000011</v>
      </c>
      <c r="H26" s="37"/>
    </row>
    <row r="27" spans="1:8" x14ac:dyDescent="0.25">
      <c r="A27" s="32" t="s">
        <v>104</v>
      </c>
      <c r="B27" s="33">
        <f>(weeksAdminTimeProposed * hoursInAdminWeek) * administrativeCostPerHourYear1 * numNewServersGroup2</f>
        <v>3150000</v>
      </c>
      <c r="C27" s="33">
        <f t="shared" si="4"/>
        <v>3213000</v>
      </c>
      <c r="D27" s="33">
        <f t="shared" si="4"/>
        <v>3277260</v>
      </c>
      <c r="E27" s="33">
        <f t="shared" si="4"/>
        <v>3342805.2</v>
      </c>
      <c r="F27" s="33">
        <f t="shared" si="4"/>
        <v>3409661.3040000005</v>
      </c>
      <c r="G27" s="47">
        <f>SUM(B27:F27)</f>
        <v>16392726.504000001</v>
      </c>
    </row>
    <row r="28" spans="1:8" x14ac:dyDescent="0.25">
      <c r="A28" s="32" t="s">
        <v>107</v>
      </c>
      <c r="B28" s="33">
        <f>(weeksAdminTimeProposed * hoursInAdminWeek) * administrativeCostPerHourYear1 * numVirtualServersGroup2 * adminCostOnVirtualServer</f>
        <v>10106250</v>
      </c>
      <c r="C28" s="33">
        <f t="shared" si="4"/>
        <v>10308375</v>
      </c>
      <c r="D28" s="33">
        <f t="shared" si="4"/>
        <v>10514542.5</v>
      </c>
      <c r="E28" s="33">
        <f t="shared" si="4"/>
        <v>10724833.35</v>
      </c>
      <c r="F28" s="33">
        <f t="shared" si="4"/>
        <v>10939330.016999999</v>
      </c>
      <c r="G28" s="47">
        <f t="shared" si="5"/>
        <v>52593330.866999999</v>
      </c>
    </row>
    <row r="29" spans="1:8" x14ac:dyDescent="0.25">
      <c r="A29" s="32" t="s">
        <v>105</v>
      </c>
      <c r="B29" s="33">
        <f>(weeksAdminTimeProposed * hoursInAdminWeek) * administrativeCostPerHourYear1 * numNewServersGroup3</f>
        <v>525000</v>
      </c>
      <c r="C29" s="33">
        <f t="shared" si="4"/>
        <v>535500</v>
      </c>
      <c r="D29" s="33">
        <f t="shared" si="4"/>
        <v>546210</v>
      </c>
      <c r="E29" s="33">
        <f t="shared" si="4"/>
        <v>557134.19999999995</v>
      </c>
      <c r="F29" s="33">
        <f t="shared" si="4"/>
        <v>568276.88399999996</v>
      </c>
      <c r="G29" s="47">
        <f t="shared" si="5"/>
        <v>2732121.0840000003</v>
      </c>
    </row>
    <row r="30" spans="1:8" x14ac:dyDescent="0.25">
      <c r="A30" s="32" t="s">
        <v>108</v>
      </c>
      <c r="B30" s="33">
        <f>(weeksAdminTimeProposed * hoursInAdminWeek) * administrativeCostPerHourYear1 * numVirtualServersGroup3 * adminCostOnVirtualServer</f>
        <v>866250.00000000012</v>
      </c>
      <c r="C30" s="33">
        <f t="shared" si="4"/>
        <v>883575.00000000012</v>
      </c>
      <c r="D30" s="33">
        <f t="shared" si="4"/>
        <v>901246.50000000012</v>
      </c>
      <c r="E30" s="33">
        <f t="shared" si="4"/>
        <v>919271.43000000017</v>
      </c>
      <c r="F30" s="33">
        <f t="shared" si="4"/>
        <v>937656.85860000015</v>
      </c>
      <c r="G30" s="47">
        <f t="shared" si="5"/>
        <v>4507999.7886000006</v>
      </c>
    </row>
    <row r="31" spans="1:8" x14ac:dyDescent="0.25">
      <c r="A31" s="32" t="s">
        <v>249</v>
      </c>
      <c r="B31" s="33">
        <f>(weeksAdminTimeProposed * hoursInAdminWeek) * administrativeCostPerHourYear1 * numNewServersGroup4</f>
        <v>1575000</v>
      </c>
      <c r="C31" s="33">
        <f t="shared" si="4"/>
        <v>1606500</v>
      </c>
      <c r="D31" s="33">
        <f t="shared" si="4"/>
        <v>1638630</v>
      </c>
      <c r="E31" s="33">
        <f t="shared" si="4"/>
        <v>1671402.6</v>
      </c>
      <c r="F31" s="33">
        <f t="shared" si="4"/>
        <v>1704830.6520000002</v>
      </c>
      <c r="G31" s="47">
        <f t="shared" si="5"/>
        <v>8196363.2520000003</v>
      </c>
    </row>
    <row r="32" spans="1:8" x14ac:dyDescent="0.25">
      <c r="A32" s="81" t="s">
        <v>250</v>
      </c>
      <c r="B32" s="33">
        <f>(weeksAdminTimeProposed * hoursInAdminWeek) * administrativeCostPerHourYear1 * numVirtualServersGroup4 * adminCostOnVirtualServer</f>
        <v>2887500.0000000005</v>
      </c>
      <c r="C32" s="33">
        <f t="shared" si="4"/>
        <v>2945250.0000000005</v>
      </c>
      <c r="D32" s="33">
        <f t="shared" si="4"/>
        <v>3004155.0000000005</v>
      </c>
      <c r="E32" s="33">
        <f t="shared" si="4"/>
        <v>3064238.1000000006</v>
      </c>
      <c r="F32" s="33">
        <f t="shared" si="4"/>
        <v>3125522.8620000007</v>
      </c>
      <c r="G32" s="47">
        <f t="shared" si="5"/>
        <v>15026665.962000001</v>
      </c>
    </row>
    <row r="33" spans="1:9" x14ac:dyDescent="0.25">
      <c r="A33" s="65" t="s">
        <v>146</v>
      </c>
      <c r="B33" s="53">
        <f>SUM(B25:B32)</f>
        <v>37353750</v>
      </c>
      <c r="C33" s="53">
        <f t="shared" ref="C33:F33" si="6">SUM(C25:C32)</f>
        <v>38100825</v>
      </c>
      <c r="D33" s="53">
        <f t="shared" si="6"/>
        <v>38862841.5</v>
      </c>
      <c r="E33" s="53">
        <f t="shared" si="6"/>
        <v>39640098.330000006</v>
      </c>
      <c r="F33" s="53">
        <f t="shared" si="6"/>
        <v>40432900.296600014</v>
      </c>
      <c r="G33" s="48">
        <f>SUM(G25:G32)</f>
        <v>194390415.12660003</v>
      </c>
      <c r="H33" s="37"/>
    </row>
    <row r="34" spans="1:9" ht="15" customHeight="1" x14ac:dyDescent="0.25">
      <c r="A34" s="99"/>
      <c r="B34" s="100"/>
      <c r="C34" s="100"/>
      <c r="D34" s="100"/>
      <c r="E34" s="100"/>
      <c r="F34" s="101"/>
      <c r="G34" s="27"/>
    </row>
    <row r="35" spans="1:9" x14ac:dyDescent="0.25">
      <c r="A35" s="32" t="s">
        <v>111</v>
      </c>
      <c r="B35" s="33">
        <f>backupTimeGroup1V*numberOfBackUpsGroup1V*numNewServersGroup1*administrativeCostPerHourYear1</f>
        <v>4106250</v>
      </c>
      <c r="C35" s="33">
        <f t="shared" ref="C35:F38" si="7">B35*administrativeRateIncrease</f>
        <v>4188375</v>
      </c>
      <c r="D35" s="33">
        <f t="shared" si="7"/>
        <v>4272142.5</v>
      </c>
      <c r="E35" s="33">
        <f t="shared" si="7"/>
        <v>4357585.3499999996</v>
      </c>
      <c r="F35" s="33">
        <f t="shared" si="7"/>
        <v>4444737.057</v>
      </c>
      <c r="G35" s="47">
        <f>SUM(B35:F35)</f>
        <v>21369089.907000002</v>
      </c>
    </row>
    <row r="36" spans="1:9" x14ac:dyDescent="0.25">
      <c r="A36" s="32" t="s">
        <v>112</v>
      </c>
      <c r="B36" s="33">
        <f>backupTimeGroup2V*numberOfBackUpsGroup2V*numNewServersGroup2*administrativeCostPerHourYear1</f>
        <v>2463750</v>
      </c>
      <c r="C36" s="33">
        <f t="shared" si="7"/>
        <v>2513025</v>
      </c>
      <c r="D36" s="33">
        <f t="shared" si="7"/>
        <v>2563285.5</v>
      </c>
      <c r="E36" s="33">
        <f t="shared" si="7"/>
        <v>2614551.21</v>
      </c>
      <c r="F36" s="33">
        <f t="shared" si="7"/>
        <v>2666842.2341999998</v>
      </c>
      <c r="G36" s="47">
        <f t="shared" ref="G36:G38" si="8">SUM(B36:F36)</f>
        <v>12821453.944200002</v>
      </c>
    </row>
    <row r="37" spans="1:9" x14ac:dyDescent="0.25">
      <c r="A37" s="32" t="s">
        <v>113</v>
      </c>
      <c r="B37" s="33">
        <f>backupTimeGroup3V*numberOfBackUpsGroup3V*numNewServersGroup3*administrativeCostPerHourYear1</f>
        <v>410625</v>
      </c>
      <c r="C37" s="33">
        <f t="shared" si="7"/>
        <v>418837.5</v>
      </c>
      <c r="D37" s="33">
        <f t="shared" si="7"/>
        <v>427214.25</v>
      </c>
      <c r="E37" s="33">
        <f t="shared" si="7"/>
        <v>435758.53500000003</v>
      </c>
      <c r="F37" s="33">
        <f t="shared" si="7"/>
        <v>444473.70570000005</v>
      </c>
      <c r="G37" s="47">
        <f t="shared" si="8"/>
        <v>2136908.9907</v>
      </c>
    </row>
    <row r="38" spans="1:9" x14ac:dyDescent="0.25">
      <c r="A38" s="32" t="s">
        <v>251</v>
      </c>
      <c r="B38" s="33">
        <f>backupTimeGroup4V*numberOfBackUpsGroup4V*numNewServersGroup4*administrativeCostPerHourYear1</f>
        <v>234000</v>
      </c>
      <c r="C38" s="33">
        <f t="shared" si="7"/>
        <v>238680</v>
      </c>
      <c r="D38" s="33">
        <f t="shared" si="7"/>
        <v>243453.6</v>
      </c>
      <c r="E38" s="33">
        <f t="shared" si="7"/>
        <v>248322.67200000002</v>
      </c>
      <c r="F38" s="33">
        <f t="shared" si="7"/>
        <v>253289.12544000003</v>
      </c>
      <c r="G38" s="47">
        <f t="shared" si="8"/>
        <v>1217745.39744</v>
      </c>
    </row>
    <row r="39" spans="1:9" x14ac:dyDescent="0.25">
      <c r="A39" s="65" t="s">
        <v>147</v>
      </c>
      <c r="B39" s="53">
        <f>SUM(B35:B38)</f>
        <v>7214625</v>
      </c>
      <c r="C39" s="53">
        <f t="shared" ref="C39:F39" si="9">SUM(C35:C38)</f>
        <v>7358917.5</v>
      </c>
      <c r="D39" s="53">
        <f t="shared" si="9"/>
        <v>7506095.8499999996</v>
      </c>
      <c r="E39" s="53">
        <f t="shared" si="9"/>
        <v>7656217.767</v>
      </c>
      <c r="F39" s="53">
        <f t="shared" si="9"/>
        <v>7809342.1223399993</v>
      </c>
      <c r="G39" s="48">
        <f>SUM(G35:G38)</f>
        <v>37545198.23934</v>
      </c>
      <c r="I39" s="37"/>
    </row>
    <row r="40" spans="1:9" ht="15.75" customHeight="1" x14ac:dyDescent="0.25">
      <c r="A40" s="99"/>
      <c r="B40" s="100"/>
      <c r="C40" s="100"/>
      <c r="D40" s="100"/>
      <c r="E40" s="100"/>
      <c r="F40" s="101"/>
      <c r="G40" s="27"/>
    </row>
    <row r="41" spans="1:9" x14ac:dyDescent="0.25">
      <c r="A41" s="56" t="s">
        <v>4</v>
      </c>
      <c r="B41" s="53">
        <f>SUM(B33,B39)</f>
        <v>44568375</v>
      </c>
      <c r="C41" s="53">
        <f t="shared" ref="C41:F41" si="10">SUM(C33,C39)</f>
        <v>45459742.5</v>
      </c>
      <c r="D41" s="53">
        <f t="shared" si="10"/>
        <v>46368937.350000001</v>
      </c>
      <c r="E41" s="53">
        <f t="shared" si="10"/>
        <v>47296316.097000003</v>
      </c>
      <c r="F41" s="53">
        <f t="shared" si="10"/>
        <v>48242242.418940015</v>
      </c>
      <c r="G41" s="48">
        <f>G33+G39</f>
        <v>231935613.36594003</v>
      </c>
      <c r="H41" s="37"/>
      <c r="I41" s="37"/>
    </row>
    <row r="42" spans="1:9" ht="13.5" customHeight="1" x14ac:dyDescent="0.25">
      <c r="A42" s="99"/>
      <c r="B42" s="100"/>
      <c r="C42" s="100"/>
      <c r="D42" s="100"/>
      <c r="E42" s="100"/>
      <c r="F42" s="101"/>
      <c r="G42" s="27"/>
    </row>
    <row r="43" spans="1:9" x14ac:dyDescent="0.25">
      <c r="A43" s="42" t="s">
        <v>12</v>
      </c>
      <c r="B43" s="48">
        <f>G41</f>
        <v>231935613.36594003</v>
      </c>
      <c r="C43" s="117"/>
      <c r="D43" s="118"/>
      <c r="E43" s="118"/>
      <c r="F43" s="119"/>
      <c r="G43" s="27"/>
    </row>
    <row r="44" spans="1:9" x14ac:dyDescent="0.25">
      <c r="A44" s="61"/>
      <c r="B44" s="50"/>
      <c r="C44" s="50"/>
      <c r="D44" s="50"/>
      <c r="E44" s="50"/>
      <c r="F44" s="51"/>
      <c r="G44" s="27"/>
    </row>
    <row r="45" spans="1:9" x14ac:dyDescent="0.25">
      <c r="A45" s="65" t="s">
        <v>148</v>
      </c>
      <c r="B45" s="53">
        <f>SUM(B20, B41)</f>
        <v>53667950.531999998</v>
      </c>
      <c r="C45" s="53">
        <f t="shared" ref="C45:F45" si="11">SUM(C20, C41)</f>
        <v>47196842.137840003</v>
      </c>
      <c r="D45" s="53">
        <f t="shared" si="11"/>
        <v>48172576.011252798</v>
      </c>
      <c r="E45" s="53">
        <f t="shared" si="11"/>
        <v>49136437.873053536</v>
      </c>
      <c r="F45" s="53">
        <f t="shared" si="11"/>
        <v>50119817.282337576</v>
      </c>
      <c r="G45" s="54">
        <f>B22+B43</f>
        <v>248293623.83648393</v>
      </c>
    </row>
    <row r="46" spans="1:9" x14ac:dyDescent="0.25">
      <c r="A46" s="99"/>
      <c r="B46" s="100"/>
      <c r="C46" s="100"/>
      <c r="D46" s="100"/>
      <c r="E46" s="100"/>
      <c r="F46" s="101"/>
      <c r="G46" s="27"/>
    </row>
    <row r="47" spans="1:9" x14ac:dyDescent="0.25">
      <c r="A47" s="66" t="s">
        <v>149</v>
      </c>
      <c r="B47" s="54">
        <f>G45</f>
        <v>248293623.83648393</v>
      </c>
      <c r="C47" s="33"/>
      <c r="D47" s="33"/>
      <c r="E47" s="33"/>
      <c r="F47" s="33"/>
      <c r="G47" s="27"/>
    </row>
  </sheetData>
  <mergeCells count="12">
    <mergeCell ref="A46:F46"/>
    <mergeCell ref="A1:F1"/>
    <mergeCell ref="B2:F2"/>
    <mergeCell ref="A21:F21"/>
    <mergeCell ref="A23:F23"/>
    <mergeCell ref="C22:F22"/>
    <mergeCell ref="A19:F19"/>
    <mergeCell ref="G2:G3"/>
    <mergeCell ref="C43:F43"/>
    <mergeCell ref="A34:F34"/>
    <mergeCell ref="A40:F40"/>
    <mergeCell ref="A42:F42"/>
  </mergeCells>
  <printOptions gridLines="1"/>
  <pageMargins left="0.27" right="0.19" top="0.75" bottom="0.75" header="0.3" footer="0.3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4"/>
  <sheetViews>
    <sheetView tabSelected="1" zoomScaleNormal="100" workbookViewId="0">
      <selection activeCell="G26" sqref="G26"/>
    </sheetView>
  </sheetViews>
  <sheetFormatPr defaultColWidth="8.85546875" defaultRowHeight="15" x14ac:dyDescent="0.25"/>
  <cols>
    <col min="1" max="1" width="28.28515625" customWidth="1"/>
    <col min="2" max="2" width="24.140625" customWidth="1"/>
    <col min="3" max="3" width="24.42578125" customWidth="1"/>
    <col min="4" max="4" width="14.140625" customWidth="1"/>
    <col min="5" max="5" width="15.7109375" customWidth="1"/>
    <col min="6" max="6" width="15.42578125" customWidth="1"/>
    <col min="7" max="7" width="15.140625" customWidth="1"/>
  </cols>
  <sheetData>
    <row r="1" spans="1:8" ht="21" x14ac:dyDescent="0.35">
      <c r="A1" s="126" t="s">
        <v>17</v>
      </c>
      <c r="B1" s="127"/>
      <c r="C1" s="127"/>
      <c r="D1" s="127"/>
      <c r="E1" s="127"/>
      <c r="F1" s="127"/>
      <c r="G1" s="128"/>
    </row>
    <row r="2" spans="1:8" ht="9" customHeight="1" x14ac:dyDescent="0.25">
      <c r="A2" s="123"/>
      <c r="B2" s="123"/>
      <c r="C2" s="123"/>
      <c r="D2" s="123"/>
      <c r="E2" s="123"/>
      <c r="F2" s="123"/>
      <c r="G2" s="123"/>
    </row>
    <row r="3" spans="1:8" x14ac:dyDescent="0.25">
      <c r="A3" s="27"/>
      <c r="B3" s="31" t="s">
        <v>0</v>
      </c>
      <c r="C3" s="99" t="s">
        <v>5</v>
      </c>
      <c r="D3" s="100"/>
      <c r="E3" s="100"/>
      <c r="F3" s="100"/>
      <c r="G3" s="101"/>
    </row>
    <row r="4" spans="1:8" x14ac:dyDescent="0.25">
      <c r="A4" s="27"/>
      <c r="B4" s="27"/>
      <c r="C4" s="31" t="s">
        <v>6</v>
      </c>
      <c r="D4" s="31" t="s">
        <v>7</v>
      </c>
      <c r="E4" s="31" t="s">
        <v>8</v>
      </c>
      <c r="F4" s="31" t="s">
        <v>9</v>
      </c>
      <c r="G4" s="39" t="s">
        <v>10</v>
      </c>
      <c r="H4" s="67"/>
    </row>
    <row r="5" spans="1:8" ht="18.75" x14ac:dyDescent="0.3">
      <c r="A5" s="64" t="s">
        <v>18</v>
      </c>
      <c r="B5" s="19"/>
      <c r="C5" s="19"/>
      <c r="D5" s="19"/>
      <c r="E5" s="19"/>
      <c r="F5" s="19"/>
      <c r="G5" s="19"/>
      <c r="H5" s="67"/>
    </row>
    <row r="6" spans="1:8" ht="20.100000000000001" customHeight="1" x14ac:dyDescent="0.25">
      <c r="A6" s="27"/>
      <c r="B6" s="70" t="s">
        <v>2</v>
      </c>
      <c r="C6" s="28">
        <f>'Current Cost Structure'!B22</f>
        <v>4839763.59</v>
      </c>
      <c r="D6" s="28">
        <f>'Current Cost Structure'!C22</f>
        <v>4952181.3618000001</v>
      </c>
      <c r="E6" s="28">
        <f>'Current Cost Structure'!D22</f>
        <v>5120870.3640360003</v>
      </c>
      <c r="F6" s="28">
        <f>'Current Cost Structure'!E22</f>
        <v>5251001.7075667195</v>
      </c>
      <c r="G6" s="28">
        <f>'Current Cost Structure'!F22</f>
        <v>5384671.4960555546</v>
      </c>
      <c r="H6" s="68"/>
    </row>
    <row r="7" spans="1:8" ht="20.100000000000001" customHeight="1" x14ac:dyDescent="0.25">
      <c r="A7" s="27"/>
      <c r="B7" s="79" t="s">
        <v>20</v>
      </c>
      <c r="C7" s="44">
        <f>'Current Cost Structure'!B24</f>
        <v>25548488.519458275</v>
      </c>
      <c r="D7" s="27"/>
      <c r="E7" s="27"/>
      <c r="F7" s="27"/>
      <c r="G7" s="27"/>
      <c r="H7" s="67"/>
    </row>
    <row r="8" spans="1:8" ht="20.100000000000001" customHeight="1" x14ac:dyDescent="0.25">
      <c r="A8" s="27"/>
      <c r="B8" s="70" t="s">
        <v>4</v>
      </c>
      <c r="C8" s="28">
        <f>'Current Cost Structure'!B42</f>
        <v>67962187.5</v>
      </c>
      <c r="D8" s="28">
        <f>'Current Cost Structure'!C42</f>
        <v>69321431.25</v>
      </c>
      <c r="E8" s="28">
        <f>'Current Cost Structure'!D42</f>
        <v>70707859.875</v>
      </c>
      <c r="F8" s="28">
        <f>'Current Cost Structure'!E42</f>
        <v>72122017.072500005</v>
      </c>
      <c r="G8" s="28">
        <f>'Current Cost Structure'!F42</f>
        <v>73564457.413949996</v>
      </c>
    </row>
    <row r="9" spans="1:8" ht="20.100000000000001" customHeight="1" x14ac:dyDescent="0.25">
      <c r="A9" s="27"/>
      <c r="B9" s="79" t="s">
        <v>21</v>
      </c>
      <c r="C9" s="44">
        <f>'Current Cost Structure'!B44</f>
        <v>353677953.11144996</v>
      </c>
      <c r="D9" s="27"/>
      <c r="E9" s="27"/>
      <c r="F9" s="27"/>
      <c r="G9" s="27"/>
    </row>
    <row r="10" spans="1:8" ht="20.100000000000001" customHeight="1" x14ac:dyDescent="0.25">
      <c r="A10" s="71" t="s">
        <v>144</v>
      </c>
      <c r="B10" s="69"/>
      <c r="C10" s="117">
        <f>'Current Cost Structure'!B48</f>
        <v>379226441.63090825</v>
      </c>
      <c r="D10" s="118"/>
      <c r="E10" s="118"/>
      <c r="F10" s="118"/>
      <c r="G10" s="119"/>
    </row>
    <row r="11" spans="1:8" ht="18.75" customHeight="1" x14ac:dyDescent="0.25">
      <c r="A11" s="99"/>
      <c r="B11" s="100"/>
      <c r="C11" s="100"/>
      <c r="D11" s="100"/>
      <c r="E11" s="100"/>
      <c r="F11" s="100"/>
      <c r="G11" s="101"/>
    </row>
    <row r="12" spans="1:8" ht="18.75" x14ac:dyDescent="0.3">
      <c r="A12" s="64" t="s">
        <v>19</v>
      </c>
      <c r="B12" s="19"/>
      <c r="C12" s="19"/>
      <c r="D12" s="19"/>
      <c r="E12" s="19"/>
      <c r="F12" s="19"/>
      <c r="G12" s="20"/>
    </row>
    <row r="13" spans="1:8" ht="20.100000000000001" customHeight="1" x14ac:dyDescent="0.25">
      <c r="A13" s="27"/>
      <c r="B13" s="27" t="s">
        <v>2</v>
      </c>
      <c r="C13" s="28">
        <f>'Virtualized Cost Structure'!B20</f>
        <v>9099575.5319999997</v>
      </c>
      <c r="D13" s="28">
        <f>'Virtualized Cost Structure'!C20</f>
        <v>1737099.63784</v>
      </c>
      <c r="E13" s="28">
        <f>'Virtualized Cost Structure'!D20</f>
        <v>1803638.6612528001</v>
      </c>
      <c r="F13" s="28">
        <f>'Virtualized Cost Structure'!E20</f>
        <v>1840121.7760535362</v>
      </c>
      <c r="G13" s="28">
        <f>'Virtualized Cost Structure'!F20</f>
        <v>1877574.8633975573</v>
      </c>
    </row>
    <row r="14" spans="1:8" ht="20.100000000000001" customHeight="1" x14ac:dyDescent="0.25">
      <c r="A14" s="27"/>
      <c r="B14" s="80" t="s">
        <v>20</v>
      </c>
      <c r="C14" s="44">
        <f>'Virtualized Cost Structure'!B22</f>
        <v>16358010.470543893</v>
      </c>
      <c r="D14" s="27"/>
      <c r="E14" s="27"/>
      <c r="F14" s="27"/>
      <c r="G14" s="27"/>
    </row>
    <row r="15" spans="1:8" ht="20.100000000000001" customHeight="1" x14ac:dyDescent="0.25">
      <c r="A15" s="27"/>
      <c r="B15" s="27" t="s">
        <v>4</v>
      </c>
      <c r="C15" s="28">
        <f>'Virtualized Cost Structure'!B41</f>
        <v>44568375</v>
      </c>
      <c r="D15" s="28">
        <f>'Virtualized Cost Structure'!C41</f>
        <v>45459742.5</v>
      </c>
      <c r="E15" s="28">
        <f>'Virtualized Cost Structure'!D41</f>
        <v>46368937.350000001</v>
      </c>
      <c r="F15" s="28">
        <f>'Virtualized Cost Structure'!E41</f>
        <v>47296316.097000003</v>
      </c>
      <c r="G15" s="28">
        <f>'Virtualized Cost Structure'!F41</f>
        <v>48242242.418940015</v>
      </c>
    </row>
    <row r="16" spans="1:8" ht="20.100000000000001" customHeight="1" x14ac:dyDescent="0.25">
      <c r="A16" s="27"/>
      <c r="B16" s="80" t="s">
        <v>21</v>
      </c>
      <c r="C16" s="44">
        <f>'Virtualized Cost Structure'!B43</f>
        <v>231935613.36594003</v>
      </c>
      <c r="D16" s="27"/>
      <c r="E16" s="27"/>
      <c r="F16" s="27"/>
      <c r="G16" s="27"/>
    </row>
    <row r="17" spans="1:7" ht="20.100000000000001" customHeight="1" x14ac:dyDescent="0.25">
      <c r="A17" s="72" t="s">
        <v>144</v>
      </c>
      <c r="B17" s="23"/>
      <c r="C17" s="117">
        <f>'Virtualized Cost Structure'!B47</f>
        <v>248293623.83648393</v>
      </c>
      <c r="D17" s="118"/>
      <c r="E17" s="118"/>
      <c r="F17" s="118"/>
      <c r="G17" s="119"/>
    </row>
    <row r="18" spans="1:7" ht="18" customHeight="1" x14ac:dyDescent="0.25">
      <c r="A18" s="24"/>
      <c r="B18" s="25"/>
      <c r="C18" s="25"/>
      <c r="D18" s="25"/>
      <c r="E18" s="25"/>
      <c r="F18" s="25"/>
      <c r="G18" s="26"/>
    </row>
    <row r="19" spans="1:7" ht="15.75" x14ac:dyDescent="0.25">
      <c r="A19" s="124" t="s">
        <v>22</v>
      </c>
      <c r="B19" s="124"/>
      <c r="C19" s="74">
        <f>C7-C14</f>
        <v>9190478.0489143822</v>
      </c>
      <c r="D19" s="25"/>
      <c r="E19" s="25"/>
      <c r="F19" s="25"/>
      <c r="G19" s="26"/>
    </row>
    <row r="20" spans="1:7" ht="15.75" x14ac:dyDescent="0.25">
      <c r="A20" s="125" t="s">
        <v>23</v>
      </c>
      <c r="B20" s="125"/>
      <c r="C20" s="75">
        <f>C9-C16</f>
        <v>121742339.74550992</v>
      </c>
      <c r="D20" s="25"/>
      <c r="E20" s="25"/>
      <c r="F20" s="25"/>
      <c r="G20" s="26"/>
    </row>
    <row r="21" spans="1:7" ht="18.75" x14ac:dyDescent="0.3">
      <c r="A21" s="73"/>
      <c r="B21" s="76" t="s">
        <v>24</v>
      </c>
      <c r="C21" s="77">
        <f>C19+C20</f>
        <v>130932817.79442431</v>
      </c>
      <c r="D21" s="29"/>
      <c r="E21" s="29"/>
      <c r="F21" s="29"/>
      <c r="G21" s="30"/>
    </row>
    <row r="24" spans="1:7" x14ac:dyDescent="0.25">
      <c r="B24" s="37"/>
    </row>
  </sheetData>
  <mergeCells count="8">
    <mergeCell ref="A19:B19"/>
    <mergeCell ref="A20:B20"/>
    <mergeCell ref="A1:G1"/>
    <mergeCell ref="A11:G11"/>
    <mergeCell ref="A2:G2"/>
    <mergeCell ref="C3:G3"/>
    <mergeCell ref="C10:G10"/>
    <mergeCell ref="C17:G17"/>
  </mergeCells>
  <printOptions gridLines="1"/>
  <pageMargins left="0.7" right="0.48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87</vt:i4>
      </vt:variant>
    </vt:vector>
  </HeadingPairs>
  <TitlesOfParts>
    <vt:vector size="95" baseType="lpstr">
      <vt:lpstr>bad variable page</vt:lpstr>
      <vt:lpstr>Variable page for notes</vt:lpstr>
      <vt:lpstr>Constants</vt:lpstr>
      <vt:lpstr>Current - Variables</vt:lpstr>
      <vt:lpstr>Current Cost Structure</vt:lpstr>
      <vt:lpstr>Proposed - Variables</vt:lpstr>
      <vt:lpstr>Virtualized Cost Structure</vt:lpstr>
      <vt:lpstr>Project Cost Summary</vt:lpstr>
      <vt:lpstr>adminCostOnVirtualServer</vt:lpstr>
      <vt:lpstr>administrativeCostPerHourYear1</vt:lpstr>
      <vt:lpstr>administrativeRateIncrease</vt:lpstr>
      <vt:lpstr>backupTimeGroup1V</vt:lpstr>
      <vt:lpstr>backupTimeGroup2V</vt:lpstr>
      <vt:lpstr>backupTimeGroup3V</vt:lpstr>
      <vt:lpstr>backupTimeGroup4V</vt:lpstr>
      <vt:lpstr>costkwHYear1</vt:lpstr>
      <vt:lpstr>costNewGroup1Server</vt:lpstr>
      <vt:lpstr>costNewGroup2Server</vt:lpstr>
      <vt:lpstr>costNewGroup3Server</vt:lpstr>
      <vt:lpstr>costNewGroup4Server</vt:lpstr>
      <vt:lpstr>dataStorageMonthlyChargeYears1And2</vt:lpstr>
      <vt:lpstr>dataStorageMonthlyChargeYears3Thru5</vt:lpstr>
      <vt:lpstr>daysInAYear</vt:lpstr>
      <vt:lpstr>empsTrainedYears1And2</vt:lpstr>
      <vt:lpstr>empsTrainedYears3Thru5</vt:lpstr>
      <vt:lpstr>hoursInADay</vt:lpstr>
      <vt:lpstr>hoursInAdminDay</vt:lpstr>
      <vt:lpstr>hoursInAdminWeek</vt:lpstr>
      <vt:lpstr>hoursInAWeek</vt:lpstr>
      <vt:lpstr>hoursInAYear</vt:lpstr>
      <vt:lpstr>hoursPerBackupGroup1</vt:lpstr>
      <vt:lpstr>hoursPerBackupGroup2</vt:lpstr>
      <vt:lpstr>hoursPerBackupGroup3</vt:lpstr>
      <vt:lpstr>hoursPerBackupGroup4A</vt:lpstr>
      <vt:lpstr>hoursPerBackupGroup4B</vt:lpstr>
      <vt:lpstr>maintenanceCostYear1Group1</vt:lpstr>
      <vt:lpstr>maintenanceCostYear1Group2</vt:lpstr>
      <vt:lpstr>maintenanceCostYear1Group3</vt:lpstr>
      <vt:lpstr>maintenanceCostYear1Group4A</vt:lpstr>
      <vt:lpstr>maintenanceCostYear1Group4B</vt:lpstr>
      <vt:lpstr>monthsInAYear</vt:lpstr>
      <vt:lpstr>newServerPowerGroup1</vt:lpstr>
      <vt:lpstr>newServerPowerGroup2</vt:lpstr>
      <vt:lpstr>newServerPowerGroup3</vt:lpstr>
      <vt:lpstr>newServerPowerGroup4</vt:lpstr>
      <vt:lpstr>numberOfBackUpsGroup1V</vt:lpstr>
      <vt:lpstr>numberOfBackUpsGroup2V</vt:lpstr>
      <vt:lpstr>numberOfBackUpsGroup3V</vt:lpstr>
      <vt:lpstr>numberOfBackUpsGroup4V</vt:lpstr>
      <vt:lpstr>numberOfBackupsPerYearGroup1</vt:lpstr>
      <vt:lpstr>numberOfBackupsPerYearGroup2</vt:lpstr>
      <vt:lpstr>numberOfBackupsPerYearGroup3</vt:lpstr>
      <vt:lpstr>numberOfBackupsPerYearGroup4A</vt:lpstr>
      <vt:lpstr>numberOfBackupsPerYearGroup4B</vt:lpstr>
      <vt:lpstr>numNewServersGroup1</vt:lpstr>
      <vt:lpstr>numNewServersGroup2</vt:lpstr>
      <vt:lpstr>numNewServersGroup3</vt:lpstr>
      <vt:lpstr>numNewServersGroup4</vt:lpstr>
      <vt:lpstr>numServersGroup1</vt:lpstr>
      <vt:lpstr>numServersGroup2</vt:lpstr>
      <vt:lpstr>numServersGroup3</vt:lpstr>
      <vt:lpstr>numServersGroup4A</vt:lpstr>
      <vt:lpstr>numServersGroup4B</vt:lpstr>
      <vt:lpstr>numVirtualServersGroup1</vt:lpstr>
      <vt:lpstr>numVirtualServersGroup2</vt:lpstr>
      <vt:lpstr>numVirtualServersGroup3</vt:lpstr>
      <vt:lpstr>numVirtualServersGroup4</vt:lpstr>
      <vt:lpstr>powerRateIncrease</vt:lpstr>
      <vt:lpstr>securityFirmMonthlyCharge</vt:lpstr>
      <vt:lpstr>serverLoadGroup1</vt:lpstr>
      <vt:lpstr>serverLoadGroup2</vt:lpstr>
      <vt:lpstr>serverLoadGroup3</vt:lpstr>
      <vt:lpstr>serverLoadGroup4A</vt:lpstr>
      <vt:lpstr>serverLoadGroup4B</vt:lpstr>
      <vt:lpstr>serverMaintenanceRateIncrease</vt:lpstr>
      <vt:lpstr>serverPowerGroup1</vt:lpstr>
      <vt:lpstr>serverPowerGroup2</vt:lpstr>
      <vt:lpstr>serverPowerGroup3</vt:lpstr>
      <vt:lpstr>serverPowerGroup4A</vt:lpstr>
      <vt:lpstr>serverPowerGroup4B</vt:lpstr>
      <vt:lpstr>trainingCostPerEmployee</vt:lpstr>
      <vt:lpstr>virtualizationSoftwareCost</vt:lpstr>
      <vt:lpstr>virtualizationSoftwareMaintenanceRate</vt:lpstr>
      <vt:lpstr>wattsInAKilowatt</vt:lpstr>
      <vt:lpstr>weeksAdministrativeTimeGroup1</vt:lpstr>
      <vt:lpstr>weeksAdministrativeTimeGroup2</vt:lpstr>
      <vt:lpstr>weeksAdministrativeTimeGroup3</vt:lpstr>
      <vt:lpstr>weeksAdministrativeTImeGroup4A</vt:lpstr>
      <vt:lpstr>weeksAdministrativeTImeGroup4B</vt:lpstr>
      <vt:lpstr>weeksAdminTimeProposed</vt:lpstr>
      <vt:lpstr>weeksInAYear</vt:lpstr>
      <vt:lpstr>year1Group1ServerMaintenance</vt:lpstr>
      <vt:lpstr>year1Group2ServerMaintenance</vt:lpstr>
      <vt:lpstr>year1Group3ServerMaintenance</vt:lpstr>
      <vt:lpstr>year1Group4ServerMaintenance</vt:lpstr>
    </vt:vector>
  </TitlesOfParts>
  <Company>UCF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Llewellyn</dc:creator>
  <cp:lastModifiedBy>Lawton Pittenger</cp:lastModifiedBy>
  <cp:lastPrinted>2011-02-16T20:17:28Z</cp:lastPrinted>
  <dcterms:created xsi:type="dcterms:W3CDTF">2011-02-02T19:28:52Z</dcterms:created>
  <dcterms:modified xsi:type="dcterms:W3CDTF">2022-02-21T02:12:47Z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34a74cea-304a-4334-977e-d4b8a99cf599</vt:lpwstr>
  </property>
</Properties>
</file>