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xmandahal/Desktop/UCLA/Phd/Research/SurrogateModeling/DGP/LayoutDatabase/"/>
    </mc:Choice>
  </mc:AlternateContent>
  <xr:revisionPtr revIDLastSave="0" documentId="13_ncr:1_{7C99FEE6-BFA2-D840-B766-0516E8BACF69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Geometry" sheetId="7" r:id="rId1"/>
    <sheet name="Load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8" l="1"/>
  <c r="V40" i="7"/>
  <c r="T40" i="7"/>
  <c r="F40" i="7"/>
  <c r="E40" i="7"/>
  <c r="C40" i="7"/>
  <c r="O40" i="7"/>
  <c r="P40" i="7"/>
  <c r="Q40" i="7"/>
  <c r="N40" i="7"/>
  <c r="I40" i="7"/>
  <c r="J40" i="7"/>
  <c r="K40" i="7"/>
  <c r="H40" i="7"/>
  <c r="P26" i="7"/>
  <c r="K27" i="7"/>
  <c r="J26" i="7"/>
  <c r="M21" i="7"/>
  <c r="L21" i="7"/>
  <c r="L10" i="7"/>
  <c r="P23" i="7"/>
  <c r="R23" i="7"/>
  <c r="T23" i="7"/>
  <c r="N23" i="7"/>
  <c r="U22" i="7"/>
  <c r="E23" i="7"/>
  <c r="G23" i="7"/>
  <c r="I23" i="7"/>
  <c r="C23" i="7"/>
  <c r="D38" i="7"/>
  <c r="U38" i="7" s="1"/>
  <c r="U28" i="7"/>
  <c r="U29" i="7"/>
  <c r="U31" i="7"/>
  <c r="U33" i="7"/>
  <c r="U35" i="7"/>
  <c r="U25" i="7"/>
  <c r="D27" i="7"/>
  <c r="U27" i="7" s="1"/>
  <c r="S11" i="7"/>
  <c r="S12" i="7"/>
  <c r="S14" i="7"/>
  <c r="S16" i="7"/>
  <c r="S18" i="7"/>
  <c r="S21" i="7"/>
  <c r="S8" i="7"/>
  <c r="F21" i="7"/>
  <c r="Q21" i="7" s="1"/>
  <c r="O21" i="7"/>
  <c r="Q11" i="7"/>
  <c r="Q12" i="7"/>
  <c r="Q14" i="7"/>
  <c r="Q16" i="7"/>
  <c r="Q18" i="7"/>
  <c r="Q8" i="7"/>
  <c r="O11" i="7"/>
  <c r="O12" i="7"/>
  <c r="O14" i="7"/>
  <c r="O16" i="7"/>
  <c r="O18" i="7"/>
  <c r="O8" i="7"/>
  <c r="H9" i="7"/>
  <c r="S9" i="7" s="1"/>
  <c r="F9" i="7"/>
  <c r="Q9" i="7" s="1"/>
  <c r="D9" i="7"/>
  <c r="O9" i="7" s="1"/>
  <c r="I27" i="7"/>
  <c r="E27" i="7"/>
  <c r="S40" i="7"/>
  <c r="R40" i="7"/>
  <c r="G40" i="7"/>
  <c r="S27" i="7"/>
  <c r="M27" i="7"/>
  <c r="G27" i="7"/>
  <c r="T26" i="7"/>
  <c r="R26" i="7"/>
  <c r="N26" i="7"/>
  <c r="L26" i="7"/>
  <c r="H26" i="7"/>
  <c r="F26" i="7"/>
  <c r="W40" i="7" l="1"/>
  <c r="T9" i="7"/>
  <c r="R9" i="7"/>
  <c r="P9" i="7"/>
  <c r="J21" i="7"/>
  <c r="J10" i="7"/>
  <c r="K21" i="7"/>
  <c r="I9" i="7"/>
  <c r="G9" i="7"/>
  <c r="E9" i="7"/>
  <c r="E25" i="8"/>
  <c r="E24" i="8"/>
  <c r="K23" i="7" l="1"/>
  <c r="L23" i="7"/>
  <c r="M23" i="7"/>
  <c r="J23" i="7"/>
  <c r="U21" i="7"/>
  <c r="W39" i="7" l="1"/>
  <c r="U23" i="7"/>
  <c r="B3" i="7" l="1"/>
  <c r="W38" i="7" l="1"/>
  <c r="B25" i="8" s="1"/>
  <c r="C25" i="8" s="1"/>
  <c r="D25" i="8" s="1"/>
  <c r="B24" i="8"/>
  <c r="A7" i="7"/>
  <c r="C24" i="8" l="1"/>
  <c r="D24" i="8" s="1"/>
  <c r="B5" i="7"/>
  <c r="B4" i="7"/>
  <c r="B12" i="8" l="1"/>
  <c r="B58" i="7"/>
  <c r="F58" i="7" s="1"/>
  <c r="J58" i="7" s="1"/>
  <c r="G58" i="7"/>
  <c r="H58" i="7" s="1"/>
  <c r="I58" i="7" s="1"/>
  <c r="F13" i="8"/>
  <c r="E57" i="7"/>
  <c r="G13" i="8"/>
  <c r="B11" i="8"/>
  <c r="B57" i="7"/>
  <c r="J13" i="8"/>
  <c r="D13" i="8"/>
  <c r="H13" i="8"/>
  <c r="J57" i="7"/>
  <c r="I13" i="8"/>
  <c r="I57" i="7"/>
  <c r="C13" i="8"/>
  <c r="B13" i="8"/>
  <c r="E13" i="8"/>
  <c r="D11" i="8" l="1"/>
  <c r="E11" i="8"/>
  <c r="H11" i="8"/>
  <c r="D57" i="7"/>
  <c r="H57" i="7"/>
  <c r="F12" i="8"/>
  <c r="J12" i="8"/>
  <c r="G12" i="8"/>
  <c r="I12" i="8" l="1"/>
  <c r="H12" i="8"/>
  <c r="J11" i="8"/>
  <c r="I11" i="8"/>
  <c r="G17" i="8" l="1"/>
  <c r="F17" i="8"/>
  <c r="H17" i="8"/>
  <c r="B17" i="8"/>
  <c r="E17" i="8"/>
  <c r="J17" i="8"/>
  <c r="C17" i="8"/>
  <c r="D17" i="8"/>
  <c r="I17" i="8"/>
  <c r="E18" i="8"/>
  <c r="G18" i="8"/>
  <c r="B18" i="8"/>
  <c r="I18" i="8"/>
  <c r="J18" i="8"/>
  <c r="D18" i="8"/>
  <c r="F18" i="8"/>
  <c r="H18" i="8"/>
  <c r="E19" i="8"/>
  <c r="J19" i="8"/>
  <c r="B19" i="8"/>
  <c r="H19" i="8"/>
  <c r="C19" i="8"/>
  <c r="G19" i="8"/>
  <c r="D19" i="8"/>
  <c r="I19" i="8"/>
  <c r="F19" i="8"/>
  <c r="E20" i="8"/>
  <c r="B20" i="8"/>
  <c r="J20" i="8"/>
  <c r="C20" i="8"/>
  <c r="D20" i="8"/>
  <c r="G20" i="8"/>
  <c r="F20" i="8"/>
  <c r="H20" i="8"/>
  <c r="I20" i="8"/>
</calcChain>
</file>

<file path=xl/sharedStrings.xml><?xml version="1.0" encoding="utf-8"?>
<sst xmlns="http://schemas.openxmlformats.org/spreadsheetml/2006/main" count="118" uniqueCount="90">
  <si>
    <t xml:space="preserve">Floor Area </t>
  </si>
  <si>
    <t>ft^2</t>
  </si>
  <si>
    <t>floorMaximumXDimension</t>
  </si>
  <si>
    <t>in</t>
  </si>
  <si>
    <t>floorMaximumZDimension</t>
  </si>
  <si>
    <t>x</t>
  </si>
  <si>
    <t>z</t>
  </si>
  <si>
    <t>Length</t>
  </si>
  <si>
    <t>length</t>
  </si>
  <si>
    <t>width</t>
  </si>
  <si>
    <t>Height</t>
  </si>
  <si>
    <t>Panel 1 (X1)</t>
  </si>
  <si>
    <t>Panel 1 (Y1)</t>
  </si>
  <si>
    <t>Panel 2 (Y2)</t>
  </si>
  <si>
    <t>MFD</t>
  </si>
  <si>
    <t>Leaning Column Nodes</t>
  </si>
  <si>
    <t>X</t>
  </si>
  <si>
    <t>Z</t>
  </si>
  <si>
    <t>center point</t>
  </si>
  <si>
    <t>Archetype</t>
  </si>
  <si>
    <t>COM</t>
  </si>
  <si>
    <t>SFD</t>
  </si>
  <si>
    <t>Floor Live Load (Psf)</t>
  </si>
  <si>
    <t>Floor dead load including partitions (psf)</t>
  </si>
  <si>
    <t>Roof Dead Load (psf)</t>
  </si>
  <si>
    <t>Exterior Wall Deal Load (psf0</t>
  </si>
  <si>
    <t>Area (ft^2)</t>
  </si>
  <si>
    <t xml:space="preserve">X-axis </t>
  </si>
  <si>
    <t>Z-axis</t>
  </si>
  <si>
    <t>2nd Story</t>
  </si>
  <si>
    <t>3rd Story</t>
  </si>
  <si>
    <t>4th Story</t>
  </si>
  <si>
    <t>1st Story</t>
  </si>
  <si>
    <t>Total Wall Lengths (ft)</t>
  </si>
  <si>
    <t>FloorWeights</t>
  </si>
  <si>
    <t>Floor</t>
  </si>
  <si>
    <t>Roof</t>
  </si>
  <si>
    <t>Leaning Column Weight</t>
  </si>
  <si>
    <t xml:space="preserve">Floor </t>
  </si>
  <si>
    <t>First</t>
  </si>
  <si>
    <t>Second</t>
  </si>
  <si>
    <t>Third</t>
  </si>
  <si>
    <t>Grid A</t>
  </si>
  <si>
    <t>Grid B</t>
  </si>
  <si>
    <t>Grid C</t>
  </si>
  <si>
    <t>Grid 1</t>
  </si>
  <si>
    <t>Grid 2</t>
  </si>
  <si>
    <t>Grid 3</t>
  </si>
  <si>
    <t>Grid 4</t>
  </si>
  <si>
    <t>Grid 5</t>
  </si>
  <si>
    <t>Grid 6</t>
  </si>
  <si>
    <t>Grid 7</t>
  </si>
  <si>
    <t>Load Ratio per Grid</t>
  </si>
  <si>
    <t>Load Ratio per Wall</t>
  </si>
  <si>
    <t>Total</t>
  </si>
  <si>
    <t>Pinching4 Index</t>
  </si>
  <si>
    <t>Num of Stories</t>
  </si>
  <si>
    <t>Opensees Tag 1st story</t>
  </si>
  <si>
    <t>Tag Interior 1st story</t>
  </si>
  <si>
    <t>Opensees Tag 2nd story</t>
  </si>
  <si>
    <t>Tag Interior 2nd story</t>
  </si>
  <si>
    <t>Opensees Tag 3rd story</t>
  </si>
  <si>
    <t>Tag Interior 3rd story</t>
  </si>
  <si>
    <t>Opensees Tag 4th story</t>
  </si>
  <si>
    <t>Tag Interior 4th story</t>
  </si>
  <si>
    <t>Panel 2 (X2)</t>
  </si>
  <si>
    <t>Panel 3( X3)</t>
  </si>
  <si>
    <t>Panel 4 (X4)</t>
  </si>
  <si>
    <t>Panel 5 (X5A+B)</t>
  </si>
  <si>
    <t>Panel 6 (X6A+B)</t>
  </si>
  <si>
    <t>Panel 7 (X1)</t>
  </si>
  <si>
    <t>Panel 8 (X2)</t>
  </si>
  <si>
    <t>Panel 9( X3)</t>
  </si>
  <si>
    <t>Panel 10 (X4)</t>
  </si>
  <si>
    <t>Panel 3 (Y5)</t>
  </si>
  <si>
    <t>Panel 4 (Y6)</t>
  </si>
  <si>
    <t>Panel 5 (Y3A)</t>
  </si>
  <si>
    <t>Panel 6 (Y4A)</t>
  </si>
  <si>
    <t>Panel 7 (Y7)</t>
  </si>
  <si>
    <t>Panel 8 (Y8)</t>
  </si>
  <si>
    <t>Panel 9 (Y3A)</t>
  </si>
  <si>
    <t>Panel 10 (Y4A)</t>
  </si>
  <si>
    <t>Panel 11 (Y5)</t>
  </si>
  <si>
    <t>Panel 12 (Y6)</t>
  </si>
  <si>
    <t>Panel 13 (Y1)</t>
  </si>
  <si>
    <t>Panel 14 (Y2)</t>
  </si>
  <si>
    <t>Ref: ATC 116 Table A-10</t>
  </si>
  <si>
    <t>NSC Ext</t>
  </si>
  <si>
    <t>Panel 5 (Y3AB)</t>
  </si>
  <si>
    <t>Panel 6 (Y4B)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</si>
</sst>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165" fontId="1" fillId="2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43</xdr:row>
      <xdr:rowOff>165100</xdr:rowOff>
    </xdr:from>
    <xdr:to>
      <xdr:col>7</xdr:col>
      <xdr:colOff>914400</xdr:colOff>
      <xdr:row>47</xdr:row>
      <xdr:rowOff>3306814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53F164-DC88-9043-B4BA-FB23FC98C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0200" y="8356600"/>
          <a:ext cx="7023100" cy="3764014"/>
        </a:xfrm>
        <a:prstGeom prst="rect">
          <a:avLst/>
        </a:prstGeom>
      </xdr:spPr>
    </xdr:pic>
    <xdr:clientData/>
  </xdr:twoCellAnchor>
  <xdr:twoCellAnchor editAs="oneCell">
    <xdr:from>
      <xdr:col>23</xdr:col>
      <xdr:colOff>25400</xdr:colOff>
      <xdr:row>25</xdr:row>
      <xdr:rowOff>139699</xdr:rowOff>
    </xdr:from>
    <xdr:to>
      <xdr:col>30</xdr:col>
      <xdr:colOff>38100</xdr:colOff>
      <xdr:row>47</xdr:row>
      <xdr:rowOff>2773450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2C9C72-785D-5948-AE83-68C6655E2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43600" y="4902199"/>
          <a:ext cx="6921500" cy="6685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BC89-B4D5-466E-8E78-0C15710BFE7C}">
  <dimension ref="A1:AO118"/>
  <sheetViews>
    <sheetView tabSelected="1" topLeftCell="B1" zoomScale="70" zoomScaleNormal="70" workbookViewId="0">
      <selection activeCell="V13" sqref="V13"/>
    </sheetView>
  </sheetViews>
  <sheetFormatPr baseColWidth="10" defaultColWidth="9.1640625" defaultRowHeight="15" x14ac:dyDescent="0.2"/>
  <cols>
    <col min="1" max="1" width="37.5" style="2" bestFit="1" customWidth="1"/>
    <col min="2" max="2" width="18.6640625" style="2" bestFit="1" customWidth="1"/>
    <col min="3" max="3" width="11.33203125" style="2" bestFit="1" customWidth="1"/>
    <col min="4" max="5" width="12.5" style="2" bestFit="1" customWidth="1"/>
    <col min="6" max="6" width="12.5" style="2" customWidth="1"/>
    <col min="7" max="8" width="12.83203125" style="2" bestFit="1" customWidth="1"/>
    <col min="9" max="13" width="12.5" style="2" bestFit="1" customWidth="1"/>
    <col min="14" max="14" width="12.5" style="2" customWidth="1"/>
    <col min="15" max="16" width="12.5" style="2" bestFit="1" customWidth="1"/>
    <col min="17" max="17" width="13.6640625" style="2" bestFit="1" customWidth="1"/>
    <col min="18" max="18" width="13.5" style="2" bestFit="1" customWidth="1"/>
    <col min="19" max="19" width="13.83203125" style="2" bestFit="1" customWidth="1"/>
    <col min="20" max="20" width="13.6640625" style="2" bestFit="1" customWidth="1"/>
    <col min="21" max="21" width="13.83203125" style="2" bestFit="1" customWidth="1"/>
    <col min="22" max="22" width="13.6640625" style="2" bestFit="1" customWidth="1"/>
    <col min="23" max="24" width="13.33203125" style="2" bestFit="1" customWidth="1"/>
    <col min="25" max="25" width="13.6640625" style="2" bestFit="1" customWidth="1"/>
    <col min="26" max="28" width="12.5" style="2" bestFit="1" customWidth="1"/>
    <col min="29" max="29" width="13.6640625" style="2" bestFit="1" customWidth="1"/>
    <col min="30" max="30" width="12.5" style="2" bestFit="1" customWidth="1"/>
    <col min="31" max="31" width="13.6640625" style="2" bestFit="1" customWidth="1"/>
    <col min="32" max="32" width="12.5" style="2" bestFit="1" customWidth="1"/>
    <col min="33" max="33" width="13.6640625" style="2" bestFit="1" customWidth="1"/>
    <col min="34" max="34" width="12.5" style="2" bestFit="1" customWidth="1"/>
    <col min="35" max="35" width="13.6640625" style="2" bestFit="1" customWidth="1"/>
    <col min="36" max="36" width="12.5" style="2" bestFit="1" customWidth="1"/>
    <col min="37" max="37" width="12.33203125" style="2" bestFit="1" customWidth="1"/>
    <col min="38" max="38" width="11.1640625" style="2" bestFit="1" customWidth="1"/>
    <col min="39" max="16384" width="9.1640625" style="2"/>
  </cols>
  <sheetData>
    <row r="1" spans="1:21" x14ac:dyDescent="0.2">
      <c r="A1" s="2" t="s">
        <v>14</v>
      </c>
      <c r="B1" s="2" t="s">
        <v>8</v>
      </c>
      <c r="C1" s="2" t="s">
        <v>9</v>
      </c>
    </row>
    <row r="2" spans="1:21" x14ac:dyDescent="0.2">
      <c r="B2" s="2">
        <v>96</v>
      </c>
      <c r="C2" s="2">
        <v>48</v>
      </c>
    </row>
    <row r="3" spans="1:21" x14ac:dyDescent="0.2">
      <c r="A3" s="2" t="s">
        <v>0</v>
      </c>
      <c r="B3" s="2">
        <f>B2*C2</f>
        <v>4608</v>
      </c>
      <c r="C3" s="2" t="s">
        <v>1</v>
      </c>
    </row>
    <row r="4" spans="1:21" x14ac:dyDescent="0.2">
      <c r="A4" s="2" t="s">
        <v>2</v>
      </c>
      <c r="B4" s="2">
        <f>B2*12</f>
        <v>1152</v>
      </c>
      <c r="C4" s="2" t="s">
        <v>3</v>
      </c>
      <c r="F4" s="28"/>
      <c r="G4" s="28"/>
      <c r="H4" s="28"/>
    </row>
    <row r="5" spans="1:21" x14ac:dyDescent="0.2">
      <c r="A5" s="2" t="s">
        <v>4</v>
      </c>
      <c r="B5" s="2">
        <f>C2*12</f>
        <v>576</v>
      </c>
      <c r="C5" s="2" t="s">
        <v>3</v>
      </c>
      <c r="F5" s="13"/>
      <c r="G5" s="13"/>
      <c r="H5" s="13"/>
    </row>
    <row r="6" spans="1:21" x14ac:dyDescent="0.2">
      <c r="A6" s="2" t="s">
        <v>56</v>
      </c>
      <c r="B6" s="2">
        <v>4</v>
      </c>
    </row>
    <row r="7" spans="1:21" x14ac:dyDescent="0.2">
      <c r="A7" s="2" t="str">
        <f>CONCATENATE(A1,  " ", B2,  " x ", C2, " Wood Panel Properties " )</f>
        <v xml:space="preserve">MFD 96 x 48 Wood Panel Properties </v>
      </c>
      <c r="C7" s="29" t="s">
        <v>42</v>
      </c>
      <c r="D7" s="29"/>
      <c r="E7" s="29"/>
      <c r="F7" s="29"/>
      <c r="G7" s="29"/>
      <c r="H7" s="29"/>
      <c r="I7" s="29"/>
      <c r="J7" s="30" t="s">
        <v>43</v>
      </c>
      <c r="K7" s="30"/>
      <c r="L7" s="30"/>
      <c r="M7" s="30"/>
      <c r="N7" s="29" t="s">
        <v>44</v>
      </c>
      <c r="O7" s="29"/>
      <c r="P7" s="29"/>
      <c r="Q7" s="29"/>
      <c r="R7" s="29"/>
      <c r="S7" s="29"/>
      <c r="T7" s="29"/>
      <c r="U7" s="2" t="s">
        <v>54</v>
      </c>
    </row>
    <row r="8" spans="1:21" x14ac:dyDescent="0.2">
      <c r="C8" s="2" t="s">
        <v>11</v>
      </c>
      <c r="D8" s="20" t="s">
        <v>87</v>
      </c>
      <c r="E8" s="2" t="s">
        <v>65</v>
      </c>
      <c r="F8" s="20" t="s">
        <v>87</v>
      </c>
      <c r="G8" s="2" t="s">
        <v>66</v>
      </c>
      <c r="H8" s="20" t="s">
        <v>87</v>
      </c>
      <c r="I8" s="2" t="s">
        <v>67</v>
      </c>
      <c r="J8" s="2" t="s">
        <v>68</v>
      </c>
      <c r="K8" s="2" t="s">
        <v>69</v>
      </c>
      <c r="L8" s="21" t="s">
        <v>68</v>
      </c>
      <c r="M8" s="21" t="s">
        <v>69</v>
      </c>
      <c r="N8" s="15" t="s">
        <v>70</v>
      </c>
      <c r="O8" s="20" t="str">
        <f>D8</f>
        <v>NSC Ext</v>
      </c>
      <c r="P8" s="15" t="s">
        <v>71</v>
      </c>
      <c r="Q8" s="20" t="str">
        <f>F8</f>
        <v>NSC Ext</v>
      </c>
      <c r="R8" s="15" t="s">
        <v>72</v>
      </c>
      <c r="S8" s="20" t="str">
        <f>H8</f>
        <v>NSC Ext</v>
      </c>
      <c r="T8" s="15" t="s">
        <v>73</v>
      </c>
    </row>
    <row r="9" spans="1:21" x14ac:dyDescent="0.2">
      <c r="B9" s="2" t="s">
        <v>5</v>
      </c>
      <c r="C9" s="2">
        <v>24</v>
      </c>
      <c r="D9" s="20">
        <f>16*12</f>
        <v>192</v>
      </c>
      <c r="E9" s="2">
        <f>32*12</f>
        <v>384</v>
      </c>
      <c r="F9" s="20">
        <f>48*12</f>
        <v>576</v>
      </c>
      <c r="G9" s="2">
        <f>64*12</f>
        <v>768</v>
      </c>
      <c r="H9" s="20">
        <f>80*12</f>
        <v>960</v>
      </c>
      <c r="I9" s="2">
        <f>94*12</f>
        <v>1128</v>
      </c>
      <c r="J9" s="2">
        <v>384</v>
      </c>
      <c r="K9" s="2">
        <v>768</v>
      </c>
      <c r="L9" s="21">
        <v>384</v>
      </c>
      <c r="M9" s="21">
        <v>768</v>
      </c>
      <c r="N9" s="15">
        <v>24</v>
      </c>
      <c r="O9" s="20">
        <f t="shared" ref="O9:O21" si="0">D9</f>
        <v>192</v>
      </c>
      <c r="P9" s="15">
        <f>32*12</f>
        <v>384</v>
      </c>
      <c r="Q9" s="20">
        <f t="shared" ref="Q9:Q21" si="1">F9</f>
        <v>576</v>
      </c>
      <c r="R9" s="15">
        <f>64*12</f>
        <v>768</v>
      </c>
      <c r="S9" s="20">
        <f t="shared" ref="S9:S21" si="2">H9</f>
        <v>960</v>
      </c>
      <c r="T9" s="15">
        <f>94*12</f>
        <v>1128</v>
      </c>
    </row>
    <row r="10" spans="1:21" x14ac:dyDescent="0.2">
      <c r="B10" s="2" t="s">
        <v>6</v>
      </c>
      <c r="C10" s="2">
        <v>0</v>
      </c>
      <c r="D10" s="20">
        <v>0</v>
      </c>
      <c r="E10" s="7">
        <v>0</v>
      </c>
      <c r="F10" s="20">
        <v>0</v>
      </c>
      <c r="G10" s="20">
        <v>0</v>
      </c>
      <c r="H10" s="20">
        <v>0</v>
      </c>
      <c r="I10" s="7">
        <v>0</v>
      </c>
      <c r="J10" s="7">
        <f>24*12</f>
        <v>288</v>
      </c>
      <c r="K10" s="7">
        <v>288</v>
      </c>
      <c r="L10" s="21">
        <f>24*12</f>
        <v>288</v>
      </c>
      <c r="M10" s="21">
        <v>288</v>
      </c>
      <c r="N10" s="15">
        <v>576</v>
      </c>
      <c r="O10" s="20">
        <v>576</v>
      </c>
      <c r="P10" s="20">
        <v>576</v>
      </c>
      <c r="Q10" s="20">
        <v>576</v>
      </c>
      <c r="R10" s="20">
        <v>576</v>
      </c>
      <c r="S10" s="20">
        <v>576</v>
      </c>
      <c r="T10" s="20">
        <v>576</v>
      </c>
    </row>
    <row r="11" spans="1:21" x14ac:dyDescent="0.2">
      <c r="B11" s="2" t="s">
        <v>10</v>
      </c>
      <c r="C11" s="2">
        <v>120</v>
      </c>
      <c r="D11" s="20">
        <v>120</v>
      </c>
      <c r="E11" s="20">
        <v>120</v>
      </c>
      <c r="F11" s="20">
        <v>120</v>
      </c>
      <c r="G11" s="20">
        <v>120</v>
      </c>
      <c r="H11" s="20">
        <v>120</v>
      </c>
      <c r="I11" s="2">
        <v>120</v>
      </c>
      <c r="J11" s="2">
        <v>120</v>
      </c>
      <c r="K11" s="2">
        <v>120</v>
      </c>
      <c r="L11" s="21">
        <v>120</v>
      </c>
      <c r="M11" s="21">
        <v>120</v>
      </c>
      <c r="N11" s="15">
        <v>120</v>
      </c>
      <c r="O11" s="20">
        <f t="shared" si="0"/>
        <v>120</v>
      </c>
      <c r="P11" s="15">
        <v>120</v>
      </c>
      <c r="Q11" s="20">
        <f t="shared" si="1"/>
        <v>120</v>
      </c>
      <c r="R11" s="15">
        <v>120</v>
      </c>
      <c r="S11" s="20">
        <f t="shared" si="2"/>
        <v>120</v>
      </c>
      <c r="T11" s="15">
        <v>120</v>
      </c>
    </row>
    <row r="12" spans="1:21" x14ac:dyDescent="0.2">
      <c r="B12" s="2" t="s">
        <v>57</v>
      </c>
      <c r="C12" s="2">
        <v>1</v>
      </c>
      <c r="D12" s="20">
        <v>17</v>
      </c>
      <c r="E12" s="2">
        <v>1</v>
      </c>
      <c r="F12" s="20">
        <v>17</v>
      </c>
      <c r="G12" s="2">
        <v>1</v>
      </c>
      <c r="H12" s="20">
        <v>17</v>
      </c>
      <c r="I12" s="2">
        <v>1</v>
      </c>
      <c r="J12" s="2">
        <v>2</v>
      </c>
      <c r="K12" s="2">
        <v>9</v>
      </c>
      <c r="L12" s="21">
        <v>2</v>
      </c>
      <c r="M12" s="21">
        <v>9</v>
      </c>
      <c r="N12" s="15">
        <v>1</v>
      </c>
      <c r="O12" s="20">
        <f t="shared" si="0"/>
        <v>17</v>
      </c>
      <c r="P12" s="15">
        <v>1</v>
      </c>
      <c r="Q12" s="20">
        <f t="shared" si="1"/>
        <v>17</v>
      </c>
      <c r="R12" s="15">
        <v>1</v>
      </c>
      <c r="S12" s="20">
        <f t="shared" si="2"/>
        <v>17</v>
      </c>
      <c r="T12" s="15">
        <v>1</v>
      </c>
    </row>
    <row r="13" spans="1:21" x14ac:dyDescent="0.2">
      <c r="B13" s="2" t="s">
        <v>58</v>
      </c>
      <c r="C13" s="2">
        <v>18</v>
      </c>
      <c r="D13" s="27">
        <v>18</v>
      </c>
      <c r="E13" s="27">
        <v>18</v>
      </c>
      <c r="F13" s="27">
        <v>18</v>
      </c>
      <c r="G13" s="27">
        <v>18</v>
      </c>
      <c r="H13" s="27">
        <v>18</v>
      </c>
      <c r="I13" s="27">
        <v>18</v>
      </c>
      <c r="J13" s="2">
        <v>17</v>
      </c>
      <c r="K13" s="22">
        <v>17</v>
      </c>
      <c r="L13" s="22">
        <v>17</v>
      </c>
      <c r="M13" s="22">
        <v>17</v>
      </c>
      <c r="N13" s="27">
        <v>18</v>
      </c>
      <c r="O13" s="27">
        <v>18</v>
      </c>
      <c r="P13" s="27">
        <v>18</v>
      </c>
      <c r="Q13" s="27">
        <v>18</v>
      </c>
      <c r="R13" s="27">
        <v>18</v>
      </c>
      <c r="S13" s="27">
        <v>18</v>
      </c>
      <c r="T13" s="27">
        <v>18</v>
      </c>
    </row>
    <row r="14" spans="1:21" s="15" customFormat="1" x14ac:dyDescent="0.2">
      <c r="B14" s="15" t="s">
        <v>59</v>
      </c>
      <c r="C14" s="15">
        <v>1</v>
      </c>
      <c r="D14" s="20">
        <v>17</v>
      </c>
      <c r="E14" s="15">
        <v>1</v>
      </c>
      <c r="F14" s="20">
        <v>17</v>
      </c>
      <c r="G14" s="15">
        <v>1</v>
      </c>
      <c r="H14" s="20">
        <v>17</v>
      </c>
      <c r="I14" s="15">
        <v>1</v>
      </c>
      <c r="J14" s="15">
        <v>2</v>
      </c>
      <c r="K14" s="15">
        <v>2</v>
      </c>
      <c r="L14" s="21">
        <v>2</v>
      </c>
      <c r="M14" s="21">
        <v>2</v>
      </c>
      <c r="N14" s="15">
        <v>1</v>
      </c>
      <c r="O14" s="20">
        <f t="shared" si="0"/>
        <v>17</v>
      </c>
      <c r="P14" s="15">
        <v>1</v>
      </c>
      <c r="Q14" s="20">
        <f t="shared" si="1"/>
        <v>17</v>
      </c>
      <c r="R14" s="15">
        <v>1</v>
      </c>
      <c r="S14" s="20">
        <f t="shared" si="2"/>
        <v>17</v>
      </c>
      <c r="T14" s="15">
        <v>1</v>
      </c>
    </row>
    <row r="15" spans="1:21" s="15" customFormat="1" x14ac:dyDescent="0.2">
      <c r="B15" s="15" t="s">
        <v>60</v>
      </c>
      <c r="C15" s="27">
        <v>18</v>
      </c>
      <c r="D15" s="27">
        <v>18</v>
      </c>
      <c r="E15" s="27">
        <v>18</v>
      </c>
      <c r="F15" s="27">
        <v>18</v>
      </c>
      <c r="G15" s="27">
        <v>18</v>
      </c>
      <c r="H15" s="27">
        <v>18</v>
      </c>
      <c r="I15" s="27">
        <v>18</v>
      </c>
      <c r="J15" s="15">
        <v>17</v>
      </c>
      <c r="K15" s="22">
        <v>17</v>
      </c>
      <c r="L15" s="22">
        <v>17</v>
      </c>
      <c r="M15" s="22">
        <v>17</v>
      </c>
      <c r="N15" s="27">
        <v>18</v>
      </c>
      <c r="O15" s="27">
        <v>18</v>
      </c>
      <c r="P15" s="27">
        <v>18</v>
      </c>
      <c r="Q15" s="27">
        <v>18</v>
      </c>
      <c r="R15" s="27">
        <v>18</v>
      </c>
      <c r="S15" s="27">
        <v>18</v>
      </c>
      <c r="T15" s="27">
        <v>18</v>
      </c>
    </row>
    <row r="16" spans="1:21" s="15" customFormat="1" x14ac:dyDescent="0.2">
      <c r="B16" s="15" t="s">
        <v>61</v>
      </c>
      <c r="C16" s="15">
        <v>13</v>
      </c>
      <c r="D16" s="20">
        <v>17</v>
      </c>
      <c r="E16" s="15">
        <v>1</v>
      </c>
      <c r="F16" s="20">
        <v>17</v>
      </c>
      <c r="G16" s="15">
        <v>1</v>
      </c>
      <c r="H16" s="20">
        <v>17</v>
      </c>
      <c r="I16" s="15">
        <v>1</v>
      </c>
      <c r="J16" s="15">
        <v>1</v>
      </c>
      <c r="K16" s="15">
        <v>2</v>
      </c>
      <c r="L16" s="21">
        <v>1</v>
      </c>
      <c r="M16" s="21">
        <v>2</v>
      </c>
      <c r="N16" s="15">
        <v>13</v>
      </c>
      <c r="O16" s="20">
        <f t="shared" si="0"/>
        <v>17</v>
      </c>
      <c r="P16" s="15">
        <v>1</v>
      </c>
      <c r="Q16" s="20">
        <f t="shared" si="1"/>
        <v>17</v>
      </c>
      <c r="R16" s="15">
        <v>1</v>
      </c>
      <c r="S16" s="20">
        <f t="shared" si="2"/>
        <v>17</v>
      </c>
      <c r="T16" s="15">
        <v>1</v>
      </c>
    </row>
    <row r="17" spans="1:22" s="15" customFormat="1" x14ac:dyDescent="0.2">
      <c r="B17" s="15" t="s">
        <v>62</v>
      </c>
      <c r="C17" s="27">
        <v>18</v>
      </c>
      <c r="D17" s="27">
        <v>18</v>
      </c>
      <c r="E17" s="27">
        <v>18</v>
      </c>
      <c r="F17" s="27">
        <v>18</v>
      </c>
      <c r="G17" s="27">
        <v>18</v>
      </c>
      <c r="H17" s="27">
        <v>18</v>
      </c>
      <c r="I17" s="27">
        <v>18</v>
      </c>
      <c r="J17" s="15">
        <v>17</v>
      </c>
      <c r="K17" s="22">
        <v>17</v>
      </c>
      <c r="L17" s="22">
        <v>17</v>
      </c>
      <c r="M17" s="22">
        <v>17</v>
      </c>
      <c r="N17" s="27">
        <v>18</v>
      </c>
      <c r="O17" s="27">
        <v>18</v>
      </c>
      <c r="P17" s="27">
        <v>18</v>
      </c>
      <c r="Q17" s="27">
        <v>18</v>
      </c>
      <c r="R17" s="27">
        <v>18</v>
      </c>
      <c r="S17" s="27">
        <v>18</v>
      </c>
      <c r="T17" s="27">
        <v>18</v>
      </c>
    </row>
    <row r="18" spans="1:22" s="15" customFormat="1" x14ac:dyDescent="0.2">
      <c r="B18" s="15" t="s">
        <v>63</v>
      </c>
      <c r="C18" s="15">
        <v>13</v>
      </c>
      <c r="D18" s="20">
        <v>17</v>
      </c>
      <c r="E18" s="15">
        <v>1</v>
      </c>
      <c r="F18" s="20">
        <v>17</v>
      </c>
      <c r="G18" s="15">
        <v>13</v>
      </c>
      <c r="H18" s="20">
        <v>17</v>
      </c>
      <c r="I18" s="15">
        <v>13</v>
      </c>
      <c r="J18" s="15">
        <v>1</v>
      </c>
      <c r="K18" s="15">
        <v>1</v>
      </c>
      <c r="L18" s="21">
        <v>1</v>
      </c>
      <c r="M18" s="21">
        <v>1</v>
      </c>
      <c r="N18" s="15">
        <v>13</v>
      </c>
      <c r="O18" s="20">
        <f t="shared" si="0"/>
        <v>17</v>
      </c>
      <c r="P18" s="15">
        <v>1</v>
      </c>
      <c r="Q18" s="20">
        <f t="shared" si="1"/>
        <v>17</v>
      </c>
      <c r="R18" s="15">
        <v>17</v>
      </c>
      <c r="S18" s="20">
        <f t="shared" si="2"/>
        <v>17</v>
      </c>
      <c r="T18" s="15">
        <v>13</v>
      </c>
    </row>
    <row r="19" spans="1:22" s="15" customFormat="1" x14ac:dyDescent="0.2">
      <c r="B19" s="15" t="s">
        <v>64</v>
      </c>
      <c r="C19" s="27">
        <v>18</v>
      </c>
      <c r="D19" s="27">
        <v>18</v>
      </c>
      <c r="E19" s="27">
        <v>18</v>
      </c>
      <c r="F19" s="27">
        <v>18</v>
      </c>
      <c r="G19" s="27">
        <v>18</v>
      </c>
      <c r="H19" s="27">
        <v>18</v>
      </c>
      <c r="I19" s="27">
        <v>18</v>
      </c>
      <c r="J19" s="15">
        <v>17</v>
      </c>
      <c r="K19" s="22">
        <v>17</v>
      </c>
      <c r="L19" s="22">
        <v>17</v>
      </c>
      <c r="M19" s="22">
        <v>17</v>
      </c>
      <c r="N19" s="27">
        <v>18</v>
      </c>
      <c r="O19" s="27">
        <v>18</v>
      </c>
      <c r="P19" s="27">
        <v>18</v>
      </c>
      <c r="Q19" s="27">
        <v>18</v>
      </c>
      <c r="R19" s="27">
        <v>18</v>
      </c>
      <c r="S19" s="27">
        <v>18</v>
      </c>
      <c r="T19" s="27">
        <v>18</v>
      </c>
    </row>
    <row r="20" spans="1:22" s="8" customFormat="1" x14ac:dyDescent="0.2">
      <c r="B20" s="8" t="s">
        <v>55</v>
      </c>
      <c r="C20" s="8">
        <v>0</v>
      </c>
      <c r="D20" s="20">
        <v>1</v>
      </c>
      <c r="E20" s="21">
        <v>2</v>
      </c>
      <c r="F20" s="21">
        <v>3</v>
      </c>
      <c r="G20" s="21">
        <v>4</v>
      </c>
      <c r="H20" s="21">
        <v>5</v>
      </c>
      <c r="I20" s="21">
        <v>6</v>
      </c>
      <c r="J20" s="21">
        <v>7</v>
      </c>
      <c r="K20" s="21">
        <v>8</v>
      </c>
      <c r="L20" s="21">
        <v>9</v>
      </c>
      <c r="M20" s="21">
        <v>10</v>
      </c>
      <c r="N20" s="21">
        <v>11</v>
      </c>
      <c r="O20" s="21">
        <v>12</v>
      </c>
      <c r="P20" s="21">
        <v>13</v>
      </c>
      <c r="Q20" s="21">
        <v>14</v>
      </c>
      <c r="R20" s="21">
        <v>15</v>
      </c>
      <c r="S20" s="21">
        <v>16</v>
      </c>
      <c r="T20" s="21">
        <v>17</v>
      </c>
    </row>
    <row r="21" spans="1:22" x14ac:dyDescent="0.2">
      <c r="B21" s="2" t="s">
        <v>7</v>
      </c>
      <c r="C21" s="2">
        <v>96</v>
      </c>
      <c r="D21" s="20">
        <v>108</v>
      </c>
      <c r="E21" s="2">
        <v>120</v>
      </c>
      <c r="F21" s="20">
        <f>32*12-E21-G21</f>
        <v>144</v>
      </c>
      <c r="G21" s="2">
        <v>120</v>
      </c>
      <c r="H21" s="20">
        <v>192</v>
      </c>
      <c r="I21" s="2">
        <v>96</v>
      </c>
      <c r="J21" s="2">
        <f>24*12</f>
        <v>288</v>
      </c>
      <c r="K21" s="2">
        <f>28*12</f>
        <v>336</v>
      </c>
      <c r="L21" s="21">
        <f>24*12</f>
        <v>288</v>
      </c>
      <c r="M21" s="21">
        <f>28*12</f>
        <v>336</v>
      </c>
      <c r="N21" s="15">
        <v>96</v>
      </c>
      <c r="O21" s="20">
        <f t="shared" si="0"/>
        <v>108</v>
      </c>
      <c r="P21" s="15">
        <v>120</v>
      </c>
      <c r="Q21" s="20">
        <f t="shared" si="1"/>
        <v>144</v>
      </c>
      <c r="R21" s="15">
        <v>120</v>
      </c>
      <c r="S21" s="20">
        <f t="shared" si="2"/>
        <v>192</v>
      </c>
      <c r="T21" s="15">
        <v>96</v>
      </c>
      <c r="U21" s="2">
        <f>SUM(C21:K21)</f>
        <v>1500</v>
      </c>
    </row>
    <row r="22" spans="1:22" s="7" customFormat="1" x14ac:dyDescent="0.2">
      <c r="B22" s="7" t="s">
        <v>52</v>
      </c>
      <c r="C22" s="28">
        <v>0.2</v>
      </c>
      <c r="D22" s="28"/>
      <c r="E22" s="28"/>
      <c r="F22" s="28"/>
      <c r="G22" s="28"/>
      <c r="H22" s="28"/>
      <c r="I22" s="28"/>
      <c r="J22" s="13">
        <v>0.6</v>
      </c>
      <c r="K22" s="13"/>
      <c r="L22" s="13"/>
      <c r="M22" s="13"/>
      <c r="N22" s="28">
        <v>0.2</v>
      </c>
      <c r="O22" s="28"/>
      <c r="P22" s="28"/>
      <c r="Q22" s="28"/>
      <c r="R22" s="28"/>
      <c r="S22" s="28"/>
      <c r="T22" s="28"/>
      <c r="U22" s="7">
        <f>SUM(C22:T22)</f>
        <v>1</v>
      </c>
    </row>
    <row r="23" spans="1:22" s="10" customFormat="1" x14ac:dyDescent="0.2">
      <c r="B23" s="10" t="s">
        <v>53</v>
      </c>
      <c r="C23" s="10">
        <f>$C$22*C21/SUM($C$21+$E21+$G21+$I$21)</f>
        <v>4.4444444444444453E-2</v>
      </c>
      <c r="D23" s="10">
        <v>0</v>
      </c>
      <c r="E23" s="10">
        <f t="shared" ref="E23:I23" si="3">$C$22*E21/SUM($C$21+$E21+$G21+$I$21)</f>
        <v>5.5555555555555552E-2</v>
      </c>
      <c r="F23" s="10">
        <v>0</v>
      </c>
      <c r="G23" s="10">
        <f t="shared" si="3"/>
        <v>5.5555555555555552E-2</v>
      </c>
      <c r="H23" s="10">
        <v>0</v>
      </c>
      <c r="I23" s="10">
        <f t="shared" si="3"/>
        <v>4.4444444444444453E-2</v>
      </c>
      <c r="J23" s="10">
        <f>$J22*J21/SUM($J21:$M21)</f>
        <v>0.13846153846153844</v>
      </c>
      <c r="K23" s="10">
        <f t="shared" ref="K23:M23" si="4">$J22*K21/SUM($J21:$M21)</f>
        <v>0.16153846153846155</v>
      </c>
      <c r="L23" s="10">
        <f t="shared" si="4"/>
        <v>0.13846153846153844</v>
      </c>
      <c r="M23" s="10">
        <f t="shared" si="4"/>
        <v>0.16153846153846155</v>
      </c>
      <c r="N23" s="10">
        <f>$N$22*N21/SUM($N$21+$P21+$R21+$T$21)</f>
        <v>4.4444444444444453E-2</v>
      </c>
      <c r="O23" s="10">
        <v>0</v>
      </c>
      <c r="P23" s="10">
        <f>$N$22*P21/SUM($N$21+$P21+$R21+$T$21)</f>
        <v>5.5555555555555552E-2</v>
      </c>
      <c r="Q23" s="10">
        <v>0</v>
      </c>
      <c r="R23" s="10">
        <f>$N$22*R21/SUM($N$21+$P21+$R21+$T$21)</f>
        <v>5.5555555555555552E-2</v>
      </c>
      <c r="S23" s="10">
        <v>0</v>
      </c>
      <c r="T23" s="10">
        <f>$N$22*T21/SUM($N$21+$P21+$R21+$T$21)</f>
        <v>4.4444444444444453E-2</v>
      </c>
      <c r="U23" s="10">
        <f>SUM(C23:T23)</f>
        <v>1</v>
      </c>
    </row>
    <row r="24" spans="1:22" s="7" customFormat="1" x14ac:dyDescent="0.2">
      <c r="B24" s="16"/>
      <c r="C24" s="32" t="s">
        <v>45</v>
      </c>
      <c r="D24" s="32"/>
      <c r="E24" s="32"/>
      <c r="F24" s="33" t="s">
        <v>46</v>
      </c>
      <c r="G24" s="33"/>
      <c r="H24" s="24" t="s">
        <v>47</v>
      </c>
      <c r="I24" s="24"/>
      <c r="J24" s="24"/>
      <c r="K24" s="24"/>
      <c r="L24" s="25" t="s">
        <v>48</v>
      </c>
      <c r="M24" s="25"/>
      <c r="N24" s="24" t="s">
        <v>49</v>
      </c>
      <c r="O24" s="24"/>
      <c r="P24" s="24"/>
      <c r="Q24" s="24"/>
      <c r="R24" s="25" t="s">
        <v>50</v>
      </c>
      <c r="S24" s="25"/>
      <c r="T24" s="32" t="s">
        <v>51</v>
      </c>
      <c r="U24" s="32"/>
      <c r="V24" s="32"/>
    </row>
    <row r="25" spans="1:22" x14ac:dyDescent="0.2">
      <c r="A25" s="3"/>
      <c r="B25" s="17"/>
      <c r="C25" s="17" t="s">
        <v>12</v>
      </c>
      <c r="D25" s="17" t="s">
        <v>87</v>
      </c>
      <c r="E25" s="17" t="s">
        <v>13</v>
      </c>
      <c r="F25" s="17" t="s">
        <v>74</v>
      </c>
      <c r="G25" s="17" t="s">
        <v>75</v>
      </c>
      <c r="H25" s="17" t="s">
        <v>76</v>
      </c>
      <c r="I25" s="17" t="s">
        <v>77</v>
      </c>
      <c r="J25" s="17" t="s">
        <v>88</v>
      </c>
      <c r="K25" s="17" t="s">
        <v>89</v>
      </c>
      <c r="L25" s="17" t="s">
        <v>78</v>
      </c>
      <c r="M25" s="17" t="s">
        <v>79</v>
      </c>
      <c r="N25" s="17" t="s">
        <v>80</v>
      </c>
      <c r="O25" s="17" t="s">
        <v>81</v>
      </c>
      <c r="P25" s="17" t="s">
        <v>80</v>
      </c>
      <c r="Q25" s="17" t="s">
        <v>81</v>
      </c>
      <c r="R25" s="17" t="s">
        <v>82</v>
      </c>
      <c r="S25" s="17" t="s">
        <v>83</v>
      </c>
      <c r="T25" s="17" t="s">
        <v>84</v>
      </c>
      <c r="U25" s="17" t="str">
        <f>D25</f>
        <v>NSC Ext</v>
      </c>
      <c r="V25" s="17" t="s">
        <v>85</v>
      </c>
    </row>
    <row r="26" spans="1:22" x14ac:dyDescent="0.2">
      <c r="A26" s="3"/>
      <c r="B26" s="17" t="s">
        <v>5</v>
      </c>
      <c r="C26" s="17">
        <v>0</v>
      </c>
      <c r="D26" s="17">
        <v>0</v>
      </c>
      <c r="E26" s="17">
        <v>0</v>
      </c>
      <c r="F26" s="17">
        <f>16*12</f>
        <v>192</v>
      </c>
      <c r="G26" s="17">
        <v>192</v>
      </c>
      <c r="H26" s="17">
        <f>32*12</f>
        <v>384</v>
      </c>
      <c r="I26" s="17">
        <v>384</v>
      </c>
      <c r="J26" s="17">
        <f>32*12</f>
        <v>384</v>
      </c>
      <c r="K26" s="17">
        <v>384</v>
      </c>
      <c r="L26" s="17">
        <f>48*12</f>
        <v>576</v>
      </c>
      <c r="M26" s="17">
        <v>576</v>
      </c>
      <c r="N26" s="17">
        <f>64*12</f>
        <v>768</v>
      </c>
      <c r="O26" s="17">
        <v>768</v>
      </c>
      <c r="P26" s="17">
        <f>64*12</f>
        <v>768</v>
      </c>
      <c r="Q26" s="17">
        <v>768</v>
      </c>
      <c r="R26" s="17">
        <f>80*12</f>
        <v>960</v>
      </c>
      <c r="S26" s="17">
        <v>960</v>
      </c>
      <c r="T26" s="17">
        <f>96*12</f>
        <v>1152</v>
      </c>
      <c r="U26" s="17">
        <v>1152</v>
      </c>
      <c r="V26" s="17">
        <v>1152</v>
      </c>
    </row>
    <row r="27" spans="1:22" x14ac:dyDescent="0.2">
      <c r="A27" s="3"/>
      <c r="B27" s="17" t="s">
        <v>6</v>
      </c>
      <c r="C27" s="17">
        <v>48</v>
      </c>
      <c r="D27" s="17">
        <f>24*12</f>
        <v>288</v>
      </c>
      <c r="E27" s="17">
        <f>44*12</f>
        <v>528</v>
      </c>
      <c r="F27" s="17">
        <v>144</v>
      </c>
      <c r="G27" s="17">
        <f>36*12</f>
        <v>432</v>
      </c>
      <c r="H27" s="17">
        <v>120</v>
      </c>
      <c r="I27" s="17">
        <f>38*12</f>
        <v>456</v>
      </c>
      <c r="J27" s="17">
        <v>120</v>
      </c>
      <c r="K27" s="17">
        <f>38*12</f>
        <v>456</v>
      </c>
      <c r="L27" s="17">
        <v>144</v>
      </c>
      <c r="M27" s="17">
        <f>36*12</f>
        <v>432</v>
      </c>
      <c r="N27" s="17">
        <v>120</v>
      </c>
      <c r="O27" s="17">
        <v>456</v>
      </c>
      <c r="P27" s="17">
        <v>120</v>
      </c>
      <c r="Q27" s="17">
        <v>456</v>
      </c>
      <c r="R27" s="17">
        <v>144</v>
      </c>
      <c r="S27" s="17">
        <f>36*12</f>
        <v>432</v>
      </c>
      <c r="T27" s="17">
        <v>48</v>
      </c>
      <c r="U27" s="17">
        <f t="shared" ref="U27:U38" si="5">D27</f>
        <v>288</v>
      </c>
      <c r="V27" s="17">
        <v>528</v>
      </c>
    </row>
    <row r="28" spans="1:22" x14ac:dyDescent="0.2">
      <c r="A28" s="3"/>
      <c r="B28" s="17" t="s">
        <v>10</v>
      </c>
      <c r="C28" s="17">
        <v>120</v>
      </c>
      <c r="D28" s="17">
        <v>120</v>
      </c>
      <c r="E28" s="17">
        <v>120</v>
      </c>
      <c r="F28" s="17">
        <v>120</v>
      </c>
      <c r="G28" s="17">
        <v>120</v>
      </c>
      <c r="H28" s="17">
        <v>120</v>
      </c>
      <c r="I28" s="17">
        <v>120</v>
      </c>
      <c r="J28" s="17">
        <v>120</v>
      </c>
      <c r="K28" s="17">
        <v>120</v>
      </c>
      <c r="L28" s="17">
        <v>120</v>
      </c>
      <c r="M28" s="17">
        <v>120</v>
      </c>
      <c r="N28" s="17">
        <v>120</v>
      </c>
      <c r="O28" s="17">
        <v>120</v>
      </c>
      <c r="P28" s="17">
        <v>120</v>
      </c>
      <c r="Q28" s="17">
        <v>120</v>
      </c>
      <c r="R28" s="17">
        <v>120</v>
      </c>
      <c r="S28" s="17">
        <v>120</v>
      </c>
      <c r="T28" s="17">
        <v>120</v>
      </c>
      <c r="U28" s="17">
        <f t="shared" si="5"/>
        <v>120</v>
      </c>
      <c r="V28" s="17">
        <v>120</v>
      </c>
    </row>
    <row r="29" spans="1:22" x14ac:dyDescent="0.2">
      <c r="A29" s="3"/>
      <c r="B29" s="17" t="s">
        <v>57</v>
      </c>
      <c r="C29" s="17">
        <v>2</v>
      </c>
      <c r="D29" s="17">
        <v>17</v>
      </c>
      <c r="E29" s="17">
        <v>2</v>
      </c>
      <c r="F29" s="17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>
        <v>1</v>
      </c>
      <c r="R29" s="17">
        <v>1</v>
      </c>
      <c r="S29" s="17">
        <v>1</v>
      </c>
      <c r="T29" s="17">
        <v>2</v>
      </c>
      <c r="U29" s="17">
        <f t="shared" si="5"/>
        <v>17</v>
      </c>
      <c r="V29" s="17">
        <v>2</v>
      </c>
    </row>
    <row r="30" spans="1:22" x14ac:dyDescent="0.2">
      <c r="A30" s="3"/>
      <c r="B30" s="17" t="s">
        <v>58</v>
      </c>
      <c r="C30" s="17">
        <v>18</v>
      </c>
      <c r="D30" s="17">
        <v>18</v>
      </c>
      <c r="E30" s="17">
        <v>18</v>
      </c>
      <c r="F30" s="17">
        <v>15</v>
      </c>
      <c r="G30" s="17">
        <v>15</v>
      </c>
      <c r="H30" s="17">
        <v>17</v>
      </c>
      <c r="I30" s="23">
        <v>17</v>
      </c>
      <c r="J30" s="23">
        <v>17</v>
      </c>
      <c r="K30" s="23">
        <v>17</v>
      </c>
      <c r="L30" s="17">
        <v>15</v>
      </c>
      <c r="M30" s="17">
        <v>15</v>
      </c>
      <c r="N30" s="17">
        <v>17</v>
      </c>
      <c r="O30" s="23">
        <v>17</v>
      </c>
      <c r="P30" s="23">
        <v>17</v>
      </c>
      <c r="Q30" s="23">
        <v>17</v>
      </c>
      <c r="R30" s="17">
        <v>15</v>
      </c>
      <c r="S30" s="17">
        <v>15</v>
      </c>
      <c r="T30" s="26">
        <v>18</v>
      </c>
      <c r="U30" s="26">
        <v>18</v>
      </c>
      <c r="V30" s="26">
        <v>18</v>
      </c>
    </row>
    <row r="31" spans="1:22" s="15" customFormat="1" x14ac:dyDescent="0.2">
      <c r="A31" s="14"/>
      <c r="B31" s="17" t="s">
        <v>59</v>
      </c>
      <c r="C31" s="17">
        <v>1</v>
      </c>
      <c r="D31" s="17">
        <v>17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  <c r="P31" s="17">
        <v>1</v>
      </c>
      <c r="Q31" s="17">
        <v>1</v>
      </c>
      <c r="R31" s="17">
        <v>1</v>
      </c>
      <c r="S31" s="17">
        <v>1</v>
      </c>
      <c r="T31" s="17">
        <v>1</v>
      </c>
      <c r="U31" s="17">
        <f t="shared" si="5"/>
        <v>17</v>
      </c>
      <c r="V31" s="17">
        <v>1</v>
      </c>
    </row>
    <row r="32" spans="1:22" s="15" customFormat="1" x14ac:dyDescent="0.2">
      <c r="A32" s="14"/>
      <c r="B32" s="17" t="s">
        <v>60</v>
      </c>
      <c r="C32" s="26">
        <v>18</v>
      </c>
      <c r="D32" s="26">
        <v>18</v>
      </c>
      <c r="E32" s="26">
        <v>18</v>
      </c>
      <c r="F32" s="17">
        <v>15</v>
      </c>
      <c r="G32" s="17">
        <v>15</v>
      </c>
      <c r="H32" s="17">
        <v>17</v>
      </c>
      <c r="I32" s="23">
        <v>17</v>
      </c>
      <c r="J32" s="23">
        <v>17</v>
      </c>
      <c r="K32" s="23">
        <v>17</v>
      </c>
      <c r="L32" s="17">
        <v>15</v>
      </c>
      <c r="M32" s="17">
        <v>15</v>
      </c>
      <c r="N32" s="23">
        <v>17</v>
      </c>
      <c r="O32" s="23">
        <v>17</v>
      </c>
      <c r="P32" s="23">
        <v>17</v>
      </c>
      <c r="Q32" s="23">
        <v>17</v>
      </c>
      <c r="R32" s="17">
        <v>15</v>
      </c>
      <c r="S32" s="17">
        <v>15</v>
      </c>
      <c r="T32" s="26">
        <v>18</v>
      </c>
      <c r="U32" s="26">
        <v>18</v>
      </c>
      <c r="V32" s="26">
        <v>18</v>
      </c>
    </row>
    <row r="33" spans="1:39" s="15" customFormat="1" x14ac:dyDescent="0.2">
      <c r="A33" s="14"/>
      <c r="B33" s="17" t="s">
        <v>61</v>
      </c>
      <c r="C33" s="17">
        <v>1</v>
      </c>
      <c r="D33" s="17">
        <v>17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7">
        <v>1</v>
      </c>
      <c r="N33" s="17">
        <v>1</v>
      </c>
      <c r="O33" s="17">
        <v>1</v>
      </c>
      <c r="P33" s="17">
        <v>1</v>
      </c>
      <c r="Q33" s="17">
        <v>1</v>
      </c>
      <c r="R33" s="17">
        <v>1</v>
      </c>
      <c r="S33" s="17">
        <v>1</v>
      </c>
      <c r="T33" s="17">
        <v>1</v>
      </c>
      <c r="U33" s="17">
        <f t="shared" si="5"/>
        <v>17</v>
      </c>
      <c r="V33" s="17">
        <v>1</v>
      </c>
    </row>
    <row r="34" spans="1:39" s="15" customFormat="1" x14ac:dyDescent="0.2">
      <c r="A34" s="14"/>
      <c r="B34" s="17" t="s">
        <v>62</v>
      </c>
      <c r="C34" s="26">
        <v>18</v>
      </c>
      <c r="D34" s="26">
        <v>18</v>
      </c>
      <c r="E34" s="26">
        <v>18</v>
      </c>
      <c r="F34" s="17">
        <v>15</v>
      </c>
      <c r="G34" s="17">
        <v>15</v>
      </c>
      <c r="H34" s="17">
        <v>17</v>
      </c>
      <c r="I34" s="23">
        <v>17</v>
      </c>
      <c r="J34" s="23">
        <v>17</v>
      </c>
      <c r="K34" s="23">
        <v>17</v>
      </c>
      <c r="L34" s="17">
        <v>15</v>
      </c>
      <c r="M34" s="17">
        <v>15</v>
      </c>
      <c r="N34" s="23">
        <v>17</v>
      </c>
      <c r="O34" s="23">
        <v>17</v>
      </c>
      <c r="P34" s="23">
        <v>17</v>
      </c>
      <c r="Q34" s="23">
        <v>17</v>
      </c>
      <c r="R34" s="17">
        <v>15</v>
      </c>
      <c r="S34" s="17">
        <v>15</v>
      </c>
      <c r="T34" s="26">
        <v>18</v>
      </c>
      <c r="U34" s="26">
        <v>18</v>
      </c>
      <c r="V34" s="26">
        <v>18</v>
      </c>
    </row>
    <row r="35" spans="1:39" s="15" customFormat="1" x14ac:dyDescent="0.2">
      <c r="A35" s="14"/>
      <c r="B35" s="17" t="s">
        <v>63</v>
      </c>
      <c r="C35" s="17">
        <v>1</v>
      </c>
      <c r="D35" s="17">
        <v>17</v>
      </c>
      <c r="E35" s="17">
        <v>13</v>
      </c>
      <c r="F35" s="17">
        <v>15</v>
      </c>
      <c r="G35" s="17">
        <v>15</v>
      </c>
      <c r="H35" s="17">
        <v>1</v>
      </c>
      <c r="I35" s="17">
        <v>1</v>
      </c>
      <c r="J35" s="17">
        <v>1</v>
      </c>
      <c r="K35" s="17">
        <v>1</v>
      </c>
      <c r="L35" s="17">
        <v>15</v>
      </c>
      <c r="M35" s="17">
        <v>15</v>
      </c>
      <c r="N35" s="17">
        <v>1</v>
      </c>
      <c r="O35" s="17">
        <v>1</v>
      </c>
      <c r="P35" s="17">
        <v>1</v>
      </c>
      <c r="Q35" s="17">
        <v>1</v>
      </c>
      <c r="R35" s="17">
        <v>15</v>
      </c>
      <c r="S35" s="17">
        <v>15</v>
      </c>
      <c r="T35" s="17">
        <v>1</v>
      </c>
      <c r="U35" s="17">
        <f t="shared" si="5"/>
        <v>17</v>
      </c>
      <c r="V35" s="17">
        <v>13</v>
      </c>
    </row>
    <row r="36" spans="1:39" s="15" customFormat="1" x14ac:dyDescent="0.2">
      <c r="A36" s="14"/>
      <c r="B36" s="17" t="s">
        <v>64</v>
      </c>
      <c r="C36" s="26">
        <v>18</v>
      </c>
      <c r="D36" s="26">
        <v>18</v>
      </c>
      <c r="E36" s="26">
        <v>18</v>
      </c>
      <c r="F36" s="17">
        <v>15</v>
      </c>
      <c r="G36" s="17">
        <v>15</v>
      </c>
      <c r="H36" s="17">
        <v>17</v>
      </c>
      <c r="I36" s="23">
        <v>17</v>
      </c>
      <c r="J36" s="23">
        <v>17</v>
      </c>
      <c r="K36" s="23">
        <v>17</v>
      </c>
      <c r="L36" s="17">
        <v>15</v>
      </c>
      <c r="M36" s="17">
        <v>15</v>
      </c>
      <c r="N36" s="23">
        <v>17</v>
      </c>
      <c r="O36" s="23">
        <v>17</v>
      </c>
      <c r="P36" s="23">
        <v>17</v>
      </c>
      <c r="Q36" s="23">
        <v>17</v>
      </c>
      <c r="R36" s="17">
        <v>15</v>
      </c>
      <c r="S36" s="17">
        <v>15</v>
      </c>
      <c r="T36" s="26">
        <v>18</v>
      </c>
      <c r="U36" s="26">
        <v>18</v>
      </c>
      <c r="V36" s="26">
        <v>18</v>
      </c>
    </row>
    <row r="37" spans="1:39" s="8" customFormat="1" x14ac:dyDescent="0.2">
      <c r="A37" s="9"/>
      <c r="B37" s="17" t="s">
        <v>55</v>
      </c>
      <c r="C37" s="17">
        <v>0</v>
      </c>
      <c r="D37" s="17">
        <v>1</v>
      </c>
      <c r="E37" s="17">
        <v>2</v>
      </c>
      <c r="F37" s="17">
        <v>3</v>
      </c>
      <c r="G37" s="17">
        <v>4</v>
      </c>
      <c r="H37" s="17">
        <v>5</v>
      </c>
      <c r="I37" s="17">
        <v>6</v>
      </c>
      <c r="J37" s="17">
        <v>7</v>
      </c>
      <c r="K37" s="17">
        <v>8</v>
      </c>
      <c r="L37" s="17">
        <v>9</v>
      </c>
      <c r="M37" s="17">
        <v>10</v>
      </c>
      <c r="N37" s="17">
        <v>11</v>
      </c>
      <c r="O37" s="17">
        <v>12</v>
      </c>
      <c r="P37" s="17">
        <v>13</v>
      </c>
      <c r="Q37" s="17">
        <v>14</v>
      </c>
      <c r="R37" s="17">
        <v>15</v>
      </c>
      <c r="S37" s="17">
        <v>16</v>
      </c>
      <c r="T37" s="17">
        <v>17</v>
      </c>
      <c r="U37" s="17">
        <v>18</v>
      </c>
      <c r="V37" s="17">
        <v>19</v>
      </c>
    </row>
    <row r="38" spans="1:39" x14ac:dyDescent="0.2">
      <c r="A38" s="3"/>
      <c r="B38" s="17" t="s">
        <v>7</v>
      </c>
      <c r="C38" s="17">
        <v>60</v>
      </c>
      <c r="D38" s="17">
        <f>48*12-C38-E38</f>
        <v>456</v>
      </c>
      <c r="E38" s="17">
        <v>60</v>
      </c>
      <c r="F38" s="17">
        <v>60</v>
      </c>
      <c r="G38" s="17">
        <v>60</v>
      </c>
      <c r="H38" s="17">
        <v>192</v>
      </c>
      <c r="I38" s="17">
        <v>192</v>
      </c>
      <c r="J38" s="17">
        <v>192</v>
      </c>
      <c r="K38" s="17">
        <v>192</v>
      </c>
      <c r="L38" s="17">
        <v>108</v>
      </c>
      <c r="M38" s="17">
        <v>108</v>
      </c>
      <c r="N38" s="17">
        <v>192</v>
      </c>
      <c r="O38" s="17">
        <v>192</v>
      </c>
      <c r="P38" s="17">
        <v>192</v>
      </c>
      <c r="Q38" s="17">
        <v>192</v>
      </c>
      <c r="R38" s="17">
        <v>60</v>
      </c>
      <c r="S38" s="17">
        <v>60</v>
      </c>
      <c r="T38" s="17">
        <v>60</v>
      </c>
      <c r="U38" s="17">
        <f t="shared" si="5"/>
        <v>456</v>
      </c>
      <c r="V38" s="17">
        <v>60</v>
      </c>
      <c r="W38" s="2">
        <f>SUM(C38:V38)</f>
        <v>3144</v>
      </c>
    </row>
    <row r="39" spans="1:39" s="7" customFormat="1" x14ac:dyDescent="0.2">
      <c r="A39" s="3"/>
      <c r="B39" s="17" t="s">
        <v>52</v>
      </c>
      <c r="C39" s="31">
        <v>0.05</v>
      </c>
      <c r="D39" s="31"/>
      <c r="E39" s="31"/>
      <c r="F39" s="18">
        <v>0.05</v>
      </c>
      <c r="G39" s="18"/>
      <c r="H39" s="18">
        <v>0.35</v>
      </c>
      <c r="I39" s="18"/>
      <c r="J39" s="18"/>
      <c r="K39" s="18"/>
      <c r="L39" s="18">
        <v>0.1</v>
      </c>
      <c r="M39" s="18"/>
      <c r="N39" s="18">
        <v>0.35</v>
      </c>
      <c r="O39" s="18"/>
      <c r="P39" s="18"/>
      <c r="Q39" s="18"/>
      <c r="R39" s="18">
        <v>0.05</v>
      </c>
      <c r="S39" s="18"/>
      <c r="T39" s="31">
        <v>0.05</v>
      </c>
      <c r="U39" s="31"/>
      <c r="V39" s="31"/>
      <c r="W39" s="7">
        <f>SUM(C39:V39)</f>
        <v>1</v>
      </c>
    </row>
    <row r="40" spans="1:39" s="12" customFormat="1" x14ac:dyDescent="0.2">
      <c r="A40" s="11"/>
      <c r="B40" s="19" t="s">
        <v>53</v>
      </c>
      <c r="C40" s="19">
        <f>$C39*C38/SUM($C38+$E38)</f>
        <v>2.5000000000000001E-2</v>
      </c>
      <c r="D40" s="19"/>
      <c r="E40" s="19">
        <f t="shared" ref="E40" si="6">$C39*E38/SUM($C38+$E38)</f>
        <v>2.5000000000000001E-2</v>
      </c>
      <c r="F40" s="19">
        <f>$F39*F38/SUM($F38:$G38)</f>
        <v>2.5000000000000001E-2</v>
      </c>
      <c r="G40" s="19">
        <f>$F39*G38/SUM($F38:$G38)</f>
        <v>2.5000000000000001E-2</v>
      </c>
      <c r="H40" s="19">
        <f>$H39*H38/SUM($H38:$K38)</f>
        <v>8.7499999999999981E-2</v>
      </c>
      <c r="I40" s="19">
        <f t="shared" ref="I40:K40" si="7">$H39*I38/SUM($H38:$K38)</f>
        <v>8.7499999999999981E-2</v>
      </c>
      <c r="J40" s="19">
        <f t="shared" si="7"/>
        <v>8.7499999999999981E-2</v>
      </c>
      <c r="K40" s="19">
        <f t="shared" si="7"/>
        <v>8.7499999999999981E-2</v>
      </c>
      <c r="L40" s="19">
        <v>0.5</v>
      </c>
      <c r="M40" s="19">
        <v>0.5</v>
      </c>
      <c r="N40" s="19">
        <f>$N39*N38/SUM($N38:$Q38)</f>
        <v>8.7499999999999981E-2</v>
      </c>
      <c r="O40" s="19">
        <f t="shared" ref="O40:Q40" si="8">$N39*O38/SUM($N38:$Q38)</f>
        <v>8.7499999999999981E-2</v>
      </c>
      <c r="P40" s="19">
        <f t="shared" si="8"/>
        <v>8.7499999999999981E-2</v>
      </c>
      <c r="Q40" s="19">
        <f t="shared" si="8"/>
        <v>8.7499999999999981E-2</v>
      </c>
      <c r="R40" s="19">
        <f>$F39*R38/SUM($F38:$G38)</f>
        <v>2.5000000000000001E-2</v>
      </c>
      <c r="S40" s="19">
        <f>$F39*S38/SUM($F38:$G38)</f>
        <v>2.5000000000000001E-2</v>
      </c>
      <c r="T40" s="19">
        <f>$T39*$T38/($T38+$V38)</f>
        <v>2.5000000000000001E-2</v>
      </c>
      <c r="U40" s="19">
        <v>0</v>
      </c>
      <c r="V40" s="19">
        <f t="shared" ref="V40" si="9">$T39*$T38/($T38+$V38)</f>
        <v>2.5000000000000001E-2</v>
      </c>
      <c r="W40" s="12">
        <f>SUM(C40:V40)</f>
        <v>1.8999999999999992</v>
      </c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39" s="8" customForma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39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4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284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4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4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4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4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4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4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4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41" x14ac:dyDescent="0.2">
      <c r="A56" s="1" t="s">
        <v>15</v>
      </c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">
      <c r="A57" s="2" t="s">
        <v>16</v>
      </c>
      <c r="B57" s="1">
        <f>B4/2</f>
        <v>576</v>
      </c>
      <c r="C57" s="1">
        <v>0</v>
      </c>
      <c r="D57" s="1">
        <f>B57</f>
        <v>576</v>
      </c>
      <c r="E57" s="1">
        <f>B4</f>
        <v>1152</v>
      </c>
      <c r="F57" s="1">
        <v>0</v>
      </c>
      <c r="G57" s="1">
        <v>0</v>
      </c>
      <c r="H57" s="1">
        <f>B57</f>
        <v>576</v>
      </c>
      <c r="I57" s="1">
        <f>B4</f>
        <v>1152</v>
      </c>
      <c r="J57" s="1">
        <f>B4</f>
        <v>1152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41" x14ac:dyDescent="0.2">
      <c r="A58" s="1" t="s">
        <v>17</v>
      </c>
      <c r="B58" s="1">
        <f>B5/2</f>
        <v>288</v>
      </c>
      <c r="C58" s="1">
        <v>0</v>
      </c>
      <c r="D58" s="1">
        <v>0</v>
      </c>
      <c r="E58" s="1">
        <v>0</v>
      </c>
      <c r="F58" s="1">
        <f>B58</f>
        <v>288</v>
      </c>
      <c r="G58" s="1">
        <f>B5</f>
        <v>576</v>
      </c>
      <c r="H58" s="1">
        <f>G58</f>
        <v>576</v>
      </c>
      <c r="I58" s="1">
        <f>H58</f>
        <v>576</v>
      </c>
      <c r="J58" s="1">
        <f>F58</f>
        <v>288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41" x14ac:dyDescent="0.2">
      <c r="A59" s="1"/>
      <c r="B59" s="2" t="s">
        <v>18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4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4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4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4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4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2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2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2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2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2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23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23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23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23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23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23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23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</row>
  </sheetData>
  <mergeCells count="11">
    <mergeCell ref="C39:E39"/>
    <mergeCell ref="T39:V39"/>
    <mergeCell ref="C24:E24"/>
    <mergeCell ref="F24:G24"/>
    <mergeCell ref="T24:V24"/>
    <mergeCell ref="F4:H4"/>
    <mergeCell ref="C7:I7"/>
    <mergeCell ref="N7:T7"/>
    <mergeCell ref="C22:I22"/>
    <mergeCell ref="N22:T22"/>
    <mergeCell ref="J7:M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94D2-DE84-7E49-913E-A6F4B3800FB8}">
  <dimension ref="A1:O25"/>
  <sheetViews>
    <sheetView workbookViewId="0">
      <selection activeCell="H33" sqref="H33"/>
    </sheetView>
  </sheetViews>
  <sheetFormatPr baseColWidth="10" defaultRowHeight="15" x14ac:dyDescent="0.2"/>
  <cols>
    <col min="1" max="1" width="18.5" bestFit="1" customWidth="1"/>
    <col min="2" max="2" width="16" bestFit="1" customWidth="1"/>
    <col min="3" max="3" width="32.33203125" bestFit="1" customWidth="1"/>
    <col min="4" max="4" width="16.5" bestFit="1" customWidth="1"/>
    <col min="5" max="5" width="23" bestFit="1" customWidth="1"/>
    <col min="14" max="14" width="11.33203125" bestFit="1" customWidth="1"/>
  </cols>
  <sheetData>
    <row r="1" spans="1:15" x14ac:dyDescent="0.2">
      <c r="A1" s="5" t="s">
        <v>19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15" x14ac:dyDescent="0.2">
      <c r="A2" s="1" t="s">
        <v>20</v>
      </c>
      <c r="B2" s="1">
        <v>50</v>
      </c>
      <c r="C2" s="1">
        <v>45</v>
      </c>
      <c r="D2" s="1">
        <v>27</v>
      </c>
      <c r="E2" s="1">
        <v>16</v>
      </c>
    </row>
    <row r="3" spans="1:15" x14ac:dyDescent="0.2">
      <c r="A3" s="1" t="s">
        <v>14</v>
      </c>
      <c r="B3" s="1">
        <v>40</v>
      </c>
      <c r="C3" s="1">
        <v>41</v>
      </c>
      <c r="D3" s="1">
        <v>27</v>
      </c>
      <c r="E3" s="1">
        <v>16</v>
      </c>
    </row>
    <row r="4" spans="1:15" x14ac:dyDescent="0.2">
      <c r="A4" s="1" t="s">
        <v>21</v>
      </c>
      <c r="B4" s="1">
        <v>40</v>
      </c>
      <c r="C4" s="1">
        <v>29</v>
      </c>
      <c r="D4" s="1">
        <v>26</v>
      </c>
      <c r="E4" s="1">
        <v>16</v>
      </c>
    </row>
    <row r="9" spans="1:15" x14ac:dyDescent="0.2">
      <c r="M9" t="s">
        <v>35</v>
      </c>
      <c r="N9" t="s">
        <v>34</v>
      </c>
    </row>
    <row r="10" spans="1:15" x14ac:dyDescent="0.2">
      <c r="A10" s="1" t="s">
        <v>15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/>
      <c r="M10" s="1">
        <v>1</v>
      </c>
      <c r="N10">
        <v>237</v>
      </c>
      <c r="O10" t="s">
        <v>86</v>
      </c>
    </row>
    <row r="11" spans="1:15" x14ac:dyDescent="0.2">
      <c r="A11" s="4" t="s">
        <v>16</v>
      </c>
      <c r="B11" s="1">
        <f>Geometry!B4/2</f>
        <v>576</v>
      </c>
      <c r="C11" s="1">
        <v>0</v>
      </c>
      <c r="D11" s="1">
        <f>B11</f>
        <v>576</v>
      </c>
      <c r="E11" s="1">
        <f>B11*2</f>
        <v>1152</v>
      </c>
      <c r="F11" s="1">
        <v>0</v>
      </c>
      <c r="G11" s="1">
        <v>0</v>
      </c>
      <c r="H11" s="1">
        <f>B11</f>
        <v>576</v>
      </c>
      <c r="I11" s="1">
        <f>E11</f>
        <v>1152</v>
      </c>
      <c r="J11" s="1">
        <f>E11</f>
        <v>1152</v>
      </c>
      <c r="K11" s="1"/>
      <c r="M11" s="1">
        <v>2</v>
      </c>
      <c r="N11">
        <v>237</v>
      </c>
    </row>
    <row r="12" spans="1:15" x14ac:dyDescent="0.2">
      <c r="A12" s="1" t="s">
        <v>17</v>
      </c>
      <c r="B12" s="1">
        <f>Geometry!B5/2</f>
        <v>288</v>
      </c>
      <c r="C12" s="1">
        <v>0</v>
      </c>
      <c r="D12" s="1">
        <v>0</v>
      </c>
      <c r="E12" s="1">
        <v>0</v>
      </c>
      <c r="F12" s="1">
        <f>B12</f>
        <v>288</v>
      </c>
      <c r="G12" s="1">
        <f>B12*2</f>
        <v>576</v>
      </c>
      <c r="H12" s="1">
        <f>G12</f>
        <v>576</v>
      </c>
      <c r="I12" s="1">
        <f>G12</f>
        <v>576</v>
      </c>
      <c r="J12" s="1">
        <f>B12</f>
        <v>288</v>
      </c>
      <c r="K12" s="1"/>
      <c r="M12" s="1">
        <v>3</v>
      </c>
      <c r="N12">
        <v>237</v>
      </c>
    </row>
    <row r="13" spans="1:15" x14ac:dyDescent="0.2">
      <c r="A13" s="1" t="s">
        <v>26</v>
      </c>
      <c r="B13">
        <f>(Geometry!$B$4/2)*(Geometry!$B$5/2)/144</f>
        <v>1152</v>
      </c>
      <c r="C13">
        <f>(Geometry!$B$4/4)*(Geometry!$B$5/4)/144</f>
        <v>288</v>
      </c>
      <c r="D13">
        <f>(Geometry!$B$4/2)*(Geometry!$B$5/4)/144</f>
        <v>576</v>
      </c>
      <c r="E13">
        <f>(Geometry!$B$4/4)*(Geometry!$B$5/4)/144</f>
        <v>288</v>
      </c>
      <c r="F13">
        <f>(Geometry!$B$4/2)*(Geometry!$B$5/4)/144</f>
        <v>576</v>
      </c>
      <c r="G13">
        <f>(Geometry!$B$4/4)*(Geometry!$B$5/4)/144</f>
        <v>288</v>
      </c>
      <c r="H13">
        <f>(Geometry!$B$4/2)*(Geometry!$B$5/4)/144</f>
        <v>576</v>
      </c>
      <c r="I13">
        <f>(Geometry!$B$4/4)*(Geometry!$B$5/4)/144</f>
        <v>288</v>
      </c>
      <c r="J13">
        <f>(Geometry!$B$4/2)*(Geometry!$B$5/4)/144</f>
        <v>576</v>
      </c>
      <c r="M13" s="1" t="s">
        <v>36</v>
      </c>
      <c r="N13">
        <v>149</v>
      </c>
    </row>
    <row r="14" spans="1:15" x14ac:dyDescent="0.2">
      <c r="A14" s="1"/>
      <c r="M14" s="1"/>
    </row>
    <row r="15" spans="1:15" x14ac:dyDescent="0.2">
      <c r="A15" s="5"/>
      <c r="B15" s="34" t="s">
        <v>37</v>
      </c>
      <c r="C15" s="34"/>
      <c r="D15" s="34"/>
      <c r="E15" s="34"/>
      <c r="F15" s="34"/>
      <c r="G15" s="34"/>
      <c r="H15" s="34"/>
      <c r="I15" s="34"/>
      <c r="J15" s="34"/>
    </row>
    <row r="16" spans="1:15" x14ac:dyDescent="0.2">
      <c r="A16" s="5" t="s">
        <v>38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</row>
    <row r="17" spans="1:10" x14ac:dyDescent="0.2">
      <c r="A17" s="5" t="s">
        <v>39</v>
      </c>
      <c r="B17">
        <f>$N10*B$13/(Geometry!$B$3)</f>
        <v>59.25</v>
      </c>
      <c r="C17">
        <f>$N$10*C$13/(Geometry!$B$3)</f>
        <v>14.8125</v>
      </c>
      <c r="D17">
        <f>$N$10*D$13/(Geometry!$B$3)</f>
        <v>29.625</v>
      </c>
      <c r="E17">
        <f>$N$10*E$13/(Geometry!$B$3)</f>
        <v>14.8125</v>
      </c>
      <c r="F17">
        <f>$N$10*F$13/(Geometry!$B$3)</f>
        <v>29.625</v>
      </c>
      <c r="G17">
        <f>$N$10*G$13/(Geometry!$B$3)</f>
        <v>14.8125</v>
      </c>
      <c r="H17">
        <f>$N$10*H$13/(Geometry!$B$3)</f>
        <v>29.625</v>
      </c>
      <c r="I17">
        <f>$N$10*I$13/(Geometry!$B$3)</f>
        <v>14.8125</v>
      </c>
      <c r="J17">
        <f>$N$10*J$13/(Geometry!$B$3)</f>
        <v>29.625</v>
      </c>
    </row>
    <row r="18" spans="1:10" x14ac:dyDescent="0.2">
      <c r="A18" s="5" t="s">
        <v>40</v>
      </c>
      <c r="B18">
        <f>$N11*B$13/(Geometry!$B$3)</f>
        <v>59.25</v>
      </c>
      <c r="C18">
        <f>$N11*C$13/(Geometry!$B$3)</f>
        <v>14.8125</v>
      </c>
      <c r="D18">
        <f>$N11*D$13/(Geometry!$B$3)</f>
        <v>29.625</v>
      </c>
      <c r="E18">
        <f>$N11*E$13/(Geometry!$B$3)</f>
        <v>14.8125</v>
      </c>
      <c r="F18">
        <f>$N11*F$13/(Geometry!$B$3)</f>
        <v>29.625</v>
      </c>
      <c r="G18">
        <f>$N11*G$13/(Geometry!$B$3)</f>
        <v>14.8125</v>
      </c>
      <c r="H18">
        <f>$N11*H$13/(Geometry!$B$3)</f>
        <v>29.625</v>
      </c>
      <c r="I18">
        <f>$N11*I$13/(Geometry!$B$3)</f>
        <v>14.8125</v>
      </c>
      <c r="J18">
        <f>$N11*J$13/(Geometry!$B$3)</f>
        <v>29.625</v>
      </c>
    </row>
    <row r="19" spans="1:10" x14ac:dyDescent="0.2">
      <c r="A19" s="5" t="s">
        <v>41</v>
      </c>
      <c r="B19">
        <f>$N12*B$13/(Geometry!$B$3)</f>
        <v>59.25</v>
      </c>
      <c r="C19">
        <f>$N12*C$13/(Geometry!$B$3)</f>
        <v>14.8125</v>
      </c>
      <c r="D19">
        <f>$N12*D$13/(Geometry!$B$3)</f>
        <v>29.625</v>
      </c>
      <c r="E19">
        <f>$N12*E$13/(Geometry!$B$3)</f>
        <v>14.8125</v>
      </c>
      <c r="F19">
        <f>$N12*F$13/(Geometry!$B$3)</f>
        <v>29.625</v>
      </c>
      <c r="G19">
        <f>$N12*G$13/(Geometry!$B$3)</f>
        <v>14.8125</v>
      </c>
      <c r="H19">
        <f>$N12*H$13/(Geometry!$B$3)</f>
        <v>29.625</v>
      </c>
      <c r="I19">
        <f>$N12*I$13/(Geometry!$B$3)</f>
        <v>14.8125</v>
      </c>
      <c r="J19">
        <f>$N12*J$13/(Geometry!$B$3)</f>
        <v>29.625</v>
      </c>
    </row>
    <row r="20" spans="1:10" x14ac:dyDescent="0.2">
      <c r="A20" s="5" t="s">
        <v>36</v>
      </c>
      <c r="B20">
        <f>$N13*B$13/(Geometry!$B$3)</f>
        <v>37.25</v>
      </c>
      <c r="C20">
        <f>$N13*C$13/(Geometry!$B$3)</f>
        <v>9.3125</v>
      </c>
      <c r="D20">
        <f>$N13*D$13/(Geometry!$B$3)</f>
        <v>18.625</v>
      </c>
      <c r="E20">
        <f>$N13*E$13/(Geometry!$B$3)</f>
        <v>9.3125</v>
      </c>
      <c r="F20">
        <f>$N13*F$13/(Geometry!$B$3)</f>
        <v>18.625</v>
      </c>
      <c r="G20">
        <f>$N13*G$13/(Geometry!$B$3)</f>
        <v>9.3125</v>
      </c>
      <c r="H20">
        <f>$N13*H$13/(Geometry!$B$3)</f>
        <v>18.625</v>
      </c>
      <c r="I20">
        <f>$N13*I$13/(Geometry!$B$3)</f>
        <v>9.3125</v>
      </c>
      <c r="J20">
        <f>$N13*J$13/(Geometry!$B$3)</f>
        <v>18.625</v>
      </c>
    </row>
    <row r="21" spans="1:10" x14ac:dyDescent="0.2">
      <c r="A21" s="1"/>
    </row>
    <row r="23" spans="1:10" x14ac:dyDescent="0.2">
      <c r="A23" s="5" t="s">
        <v>33</v>
      </c>
      <c r="B23" s="6" t="s">
        <v>32</v>
      </c>
      <c r="C23" s="6" t="s">
        <v>29</v>
      </c>
      <c r="D23" s="6" t="s">
        <v>30</v>
      </c>
      <c r="E23" s="6" t="s">
        <v>31</v>
      </c>
    </row>
    <row r="24" spans="1:10" x14ac:dyDescent="0.2">
      <c r="A24" s="1" t="s">
        <v>27</v>
      </c>
      <c r="B24">
        <f>Geometry!U21/12</f>
        <v>125</v>
      </c>
      <c r="C24">
        <f>B24</f>
        <v>125</v>
      </c>
      <c r="D24">
        <f>C24</f>
        <v>125</v>
      </c>
      <c r="E24" t="e">
        <f>Geometry!#REF!/12</f>
        <v>#REF!</v>
      </c>
    </row>
    <row r="25" spans="1:10" x14ac:dyDescent="0.2">
      <c r="A25" s="1" t="s">
        <v>28</v>
      </c>
      <c r="B25">
        <f>Geometry!W38/12</f>
        <v>262</v>
      </c>
      <c r="C25">
        <f>B25</f>
        <v>262</v>
      </c>
      <c r="D25">
        <f>C25</f>
        <v>262</v>
      </c>
      <c r="E25" t="e">
        <f>Geometry!#REF!/12</f>
        <v>#REF!</v>
      </c>
    </row>
  </sheetData>
  <mergeCells count="1">
    <mergeCell ref="B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Geometry</vt:lpstr>
      <vt:lpstr>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Zhengxiang Yi</dc:creator>
  <cp:lastModifiedBy>Microsoft Office User</cp:lastModifiedBy>
  <dcterms:created xsi:type="dcterms:W3CDTF">2018-06-29T18:41:42Z</dcterms:created>
  <dcterms:modified xsi:type="dcterms:W3CDTF">2022-06-04T16:47:38Z</dcterms:modified>
</cp:coreProperties>
</file>